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E:\GitHubAsencat\asencat\socis\procediments\"/>
    </mc:Choice>
  </mc:AlternateContent>
  <xr:revisionPtr revIDLastSave="0" documentId="13_ncr:1_{35CC8D1F-EB8F-4623-AE43-53D04DC5D267}" xr6:coauthVersionLast="46" xr6:coauthVersionMax="46" xr10:uidLastSave="{00000000-0000-0000-0000-000000000000}"/>
  <bookViews>
    <workbookView xWindow="4215" yWindow="2340" windowWidth="12390" windowHeight="7785" tabRatio="795" xr2:uid="{00000000-000D-0000-FFFF-FFFF00000000}"/>
  </bookViews>
  <sheets>
    <sheet name="INSTRUCCIONS" sheetId="12" r:id="rId1"/>
    <sheet name="Inversió inicial" sheetId="1" r:id="rId2"/>
    <sheet name="Ingressos" sheetId="3" r:id="rId3"/>
    <sheet name="Despeses fixes" sheetId="4" r:id="rId4"/>
    <sheet name="Resultats 1er any" sheetId="5" r:id="rId5"/>
    <sheet name="Resultats a tres anys" sheetId="6" r:id="rId6"/>
    <sheet name="Balanç" sheetId="7" r:id="rId7"/>
    <sheet name="OiA Fons" sheetId="8" state="hidden" r:id="rId8"/>
    <sheet name="Càlculs" sheetId="10" state="hidden" r:id="rId9"/>
  </sheets>
  <definedNames>
    <definedName name="_1Àrea_d_impressió" localSheetId="6">Balanç!$A$1:$O$37</definedName>
    <definedName name="_2Àrea_d_impressió" localSheetId="3">'Despeses fixes'!$C$3:$L$46</definedName>
    <definedName name="_3Àrea_d_impressió" localSheetId="2">Ingressos!$C$2:$X$48</definedName>
    <definedName name="_4Àrea_d_impressió" localSheetId="1">'Inversió inicial'!$B$1:$S$43</definedName>
    <definedName name="_5Àrea_d_impressió" localSheetId="7">'OiA Fons'!$A$1:$E$21</definedName>
    <definedName name="_6Àrea_d_impressió" localSheetId="4">'Resultats 1er any'!$C$3:$Q$55</definedName>
    <definedName name="_7Àrea_d_impressió" localSheetId="5">'Resultats a tres anys'!$B$2:$M$43,'Resultats a tres anys'!$B$46:$M$85</definedName>
    <definedName name="_xlnm.Print_Area" localSheetId="0">INSTRUCCIONS!$B$1:$B$42</definedName>
    <definedName name="_xlnm.Print_Area" localSheetId="5">'Resultats a tres anys'!$B$2:$M$82</definedName>
  </definedNames>
  <calcPr calcId="181029"/>
</workbook>
</file>

<file path=xl/calcChain.xml><?xml version="1.0" encoding="utf-8"?>
<calcChain xmlns="http://schemas.openxmlformats.org/spreadsheetml/2006/main">
  <c r="C3" i="4" l="1"/>
  <c r="H31" i="1"/>
  <c r="D37" i="1"/>
  <c r="V11" i="3"/>
  <c r="V12" i="3"/>
  <c r="V13" i="3"/>
  <c r="V14" i="3"/>
  <c r="V15" i="3"/>
  <c r="V16" i="3"/>
  <c r="V17" i="3"/>
  <c r="V18" i="3"/>
  <c r="V19" i="3"/>
  <c r="V20" i="3"/>
  <c r="V21" i="3"/>
  <c r="V22" i="3"/>
  <c r="B64" i="10"/>
  <c r="D40" i="5"/>
  <c r="Q40" i="5" s="1"/>
  <c r="B63" i="10"/>
  <c r="B117" i="10" s="1"/>
  <c r="B65" i="10"/>
  <c r="B148" i="10"/>
  <c r="D154" i="10" s="1"/>
  <c r="D157" i="10" s="1"/>
  <c r="B146" i="10"/>
  <c r="C152" i="10" s="1"/>
  <c r="D152" i="10" s="1"/>
  <c r="F154" i="10"/>
  <c r="F157" i="10" s="1"/>
  <c r="B91" i="10"/>
  <c r="B90" i="10"/>
  <c r="B92" i="10"/>
  <c r="B89" i="10"/>
  <c r="B167" i="10"/>
  <c r="E173" i="10" s="1"/>
  <c r="C221" i="10"/>
  <c r="B221" i="10"/>
  <c r="C222" i="10"/>
  <c r="D222" i="10" s="1"/>
  <c r="B222" i="10"/>
  <c r="C223" i="10"/>
  <c r="B223" i="10"/>
  <c r="C224" i="10"/>
  <c r="D224" i="10" s="1"/>
  <c r="E224" i="10" s="1"/>
  <c r="F224" i="10" s="1"/>
  <c r="G224" i="10" s="1"/>
  <c r="H224" i="10" s="1"/>
  <c r="C225" i="10"/>
  <c r="D225" i="10" s="1"/>
  <c r="E225" i="10" s="1"/>
  <c r="F225" i="10" s="1"/>
  <c r="G225" i="10" s="1"/>
  <c r="H225" i="10" s="1"/>
  <c r="B225" i="10"/>
  <c r="C226" i="10"/>
  <c r="D226" i="10" s="1"/>
  <c r="C227" i="10"/>
  <c r="D227" i="10"/>
  <c r="C228" i="10"/>
  <c r="D228" i="10" s="1"/>
  <c r="C229" i="10"/>
  <c r="D229" i="10"/>
  <c r="C230" i="10"/>
  <c r="D230" i="10" s="1"/>
  <c r="B147" i="10"/>
  <c r="B149" i="10"/>
  <c r="Q19" i="1" s="1"/>
  <c r="D156" i="10"/>
  <c r="D209" i="10" s="1"/>
  <c r="B118" i="10"/>
  <c r="B119" i="10"/>
  <c r="B116" i="10"/>
  <c r="M125" i="10" s="1"/>
  <c r="X22" i="3"/>
  <c r="W22" i="3"/>
  <c r="H10" i="1"/>
  <c r="H11" i="1"/>
  <c r="H12" i="1"/>
  <c r="H13" i="1"/>
  <c r="H14" i="1"/>
  <c r="H15" i="1"/>
  <c r="H16" i="1"/>
  <c r="H17" i="1"/>
  <c r="H18" i="1"/>
  <c r="G45" i="1"/>
  <c r="G46" i="1"/>
  <c r="H22" i="1"/>
  <c r="H23" i="1"/>
  <c r="H32" i="1"/>
  <c r="H33" i="1"/>
  <c r="H34" i="1"/>
  <c r="H35" i="1"/>
  <c r="H36" i="1"/>
  <c r="D19" i="1"/>
  <c r="D9" i="7" s="1"/>
  <c r="F18" i="4"/>
  <c r="I18" i="4" s="1"/>
  <c r="F19" i="4"/>
  <c r="F20" i="4"/>
  <c r="F22" i="4"/>
  <c r="I22" i="4" s="1"/>
  <c r="L22" i="4" s="1"/>
  <c r="F23" i="4"/>
  <c r="I23" i="4" s="1"/>
  <c r="L23" i="4" s="1"/>
  <c r="F24" i="4"/>
  <c r="I24" i="4" s="1"/>
  <c r="L24" i="4" s="1"/>
  <c r="F25" i="4"/>
  <c r="F26" i="4"/>
  <c r="F27" i="4"/>
  <c r="F28" i="4"/>
  <c r="I28" i="4" s="1"/>
  <c r="L28" i="4" s="1"/>
  <c r="F29" i="4"/>
  <c r="F30" i="4"/>
  <c r="I30" i="4" s="1"/>
  <c r="L30" i="4" s="1"/>
  <c r="F31" i="4"/>
  <c r="I31" i="4" s="1"/>
  <c r="L31" i="4" s="1"/>
  <c r="F32" i="4"/>
  <c r="I32" i="4" s="1"/>
  <c r="L32" i="4" s="1"/>
  <c r="F33" i="4"/>
  <c r="F34" i="4"/>
  <c r="I34" i="4" s="1"/>
  <c r="L34" i="4" s="1"/>
  <c r="F35" i="4"/>
  <c r="I35" i="4" s="1"/>
  <c r="L35" i="4" s="1"/>
  <c r="F36" i="4"/>
  <c r="I36" i="4" s="1"/>
  <c r="L36" i="4" s="1"/>
  <c r="F37" i="4"/>
  <c r="F41" i="4"/>
  <c r="I41" i="4" s="1"/>
  <c r="L41" i="4" s="1"/>
  <c r="F39" i="4"/>
  <c r="I39" i="4" s="1"/>
  <c r="F40" i="4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F13" i="4"/>
  <c r="F14" i="4"/>
  <c r="I14" i="4" s="1"/>
  <c r="L14" i="4" s="1"/>
  <c r="F15" i="4"/>
  <c r="F16" i="4"/>
  <c r="I16" i="4" s="1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D15" i="6" s="1"/>
  <c r="D27" i="1"/>
  <c r="D42" i="5"/>
  <c r="Q42" i="5" s="1"/>
  <c r="J17" i="6" s="1"/>
  <c r="E19" i="7" s="1"/>
  <c r="Q41" i="5"/>
  <c r="D46" i="5"/>
  <c r="B224" i="10"/>
  <c r="B226" i="10"/>
  <c r="B227" i="10"/>
  <c r="B229" i="10"/>
  <c r="M24" i="10"/>
  <c r="N24" i="10" s="1"/>
  <c r="E15" i="6" s="1"/>
  <c r="I13" i="4"/>
  <c r="L13" i="4" s="1"/>
  <c r="I15" i="4"/>
  <c r="L15" i="4" s="1"/>
  <c r="I19" i="4"/>
  <c r="L19" i="4" s="1"/>
  <c r="I20" i="4"/>
  <c r="L20" i="4" s="1"/>
  <c r="I25" i="4"/>
  <c r="I26" i="4"/>
  <c r="L26" i="4" s="1"/>
  <c r="I27" i="4"/>
  <c r="L27" i="4" s="1"/>
  <c r="I29" i="4"/>
  <c r="I33" i="4"/>
  <c r="I37" i="4"/>
  <c r="L37" i="4" s="1"/>
  <c r="I40" i="4"/>
  <c r="E227" i="10"/>
  <c r="E229" i="10"/>
  <c r="C231" i="10"/>
  <c r="E231" i="10" s="1"/>
  <c r="B231" i="10"/>
  <c r="B165" i="10"/>
  <c r="E171" i="10" s="1"/>
  <c r="E156" i="10"/>
  <c r="B166" i="10"/>
  <c r="E175" i="10"/>
  <c r="F156" i="10"/>
  <c r="G156" i="10"/>
  <c r="G154" i="10"/>
  <c r="G157" i="10" s="1"/>
  <c r="H156" i="10"/>
  <c r="H154" i="10"/>
  <c r="H157" i="10" s="1"/>
  <c r="I156" i="10"/>
  <c r="I154" i="10"/>
  <c r="I157" i="10" s="1"/>
  <c r="J156" i="10"/>
  <c r="J154" i="10"/>
  <c r="J157" i="10" s="1"/>
  <c r="K156" i="10"/>
  <c r="K154" i="10"/>
  <c r="K157" i="10" s="1"/>
  <c r="L156" i="10"/>
  <c r="L154" i="10"/>
  <c r="L157" i="10" s="1"/>
  <c r="M156" i="10"/>
  <c r="M154" i="10"/>
  <c r="M157" i="10" s="1"/>
  <c r="G175" i="10"/>
  <c r="H175" i="10"/>
  <c r="K175" i="10"/>
  <c r="L175" i="10"/>
  <c r="B184" i="10"/>
  <c r="F190" i="10" s="1"/>
  <c r="G190" i="10" s="1"/>
  <c r="H190" i="10" s="1"/>
  <c r="I190" i="10" s="1"/>
  <c r="J190" i="10" s="1"/>
  <c r="K190" i="10" s="1"/>
  <c r="L190" i="10" s="1"/>
  <c r="M190" i="10" s="1"/>
  <c r="B186" i="10"/>
  <c r="K194" i="10" s="1"/>
  <c r="B185" i="10"/>
  <c r="F194" i="10"/>
  <c r="H192" i="10"/>
  <c r="H195" i="10" s="1"/>
  <c r="J192" i="10"/>
  <c r="J195" i="10" s="1"/>
  <c r="K192" i="10"/>
  <c r="M194" i="10"/>
  <c r="M50" i="10"/>
  <c r="N50" i="10" s="1"/>
  <c r="F15" i="6" s="1"/>
  <c r="L25" i="4"/>
  <c r="L29" i="4"/>
  <c r="L33" i="4"/>
  <c r="L40" i="4"/>
  <c r="F227" i="10"/>
  <c r="F229" i="10"/>
  <c r="C232" i="10"/>
  <c r="B232" i="10"/>
  <c r="B38" i="8"/>
  <c r="F42" i="4"/>
  <c r="I42" i="4" s="1"/>
  <c r="L42" i="4" s="1"/>
  <c r="F43" i="4"/>
  <c r="I43" i="4" s="1"/>
  <c r="L43" i="4" s="1"/>
  <c r="F44" i="4"/>
  <c r="I44" i="4" s="1"/>
  <c r="L44" i="4" s="1"/>
  <c r="D19" i="7"/>
  <c r="B12" i="8" s="1"/>
  <c r="A1" i="8"/>
  <c r="C3" i="7"/>
  <c r="C211" i="10"/>
  <c r="C210" i="10"/>
  <c r="C209" i="10"/>
  <c r="C207" i="10"/>
  <c r="C206" i="10"/>
  <c r="Q125" i="10"/>
  <c r="Q126" i="10"/>
  <c r="Q127" i="10" s="1"/>
  <c r="Q128" i="10" s="1"/>
  <c r="Q129" i="10" s="1"/>
  <c r="Q130" i="10" s="1"/>
  <c r="Q131" i="10" s="1"/>
  <c r="Q132" i="10" s="1"/>
  <c r="Q133" i="10" s="1"/>
  <c r="Q134" i="10" s="1"/>
  <c r="Q135" i="10" s="1"/>
  <c r="Q136" i="10" s="1"/>
  <c r="V125" i="10" s="1"/>
  <c r="V126" i="10" s="1"/>
  <c r="V127" i="10" s="1"/>
  <c r="V128" i="10" s="1"/>
  <c r="V129" i="10" s="1"/>
  <c r="V130" i="10" s="1"/>
  <c r="V131" i="10" s="1"/>
  <c r="V132" i="10" s="1"/>
  <c r="V133" i="10" s="1"/>
  <c r="V134" i="10" s="1"/>
  <c r="V135" i="10" s="1"/>
  <c r="V136" i="10" s="1"/>
  <c r="K98" i="10"/>
  <c r="K99" i="10"/>
  <c r="K100" i="10" s="1"/>
  <c r="K101" i="10" s="1"/>
  <c r="K102" i="10" s="1"/>
  <c r="K103" i="10" s="1"/>
  <c r="K104" i="10" s="1"/>
  <c r="K105" i="10" s="1"/>
  <c r="K106" i="10" s="1"/>
  <c r="K107" i="10" s="1"/>
  <c r="K108" i="10" s="1"/>
  <c r="K109" i="10" s="1"/>
  <c r="P98" i="10" s="1"/>
  <c r="P99" i="10" s="1"/>
  <c r="P100" i="10" s="1"/>
  <c r="P101" i="10" s="1"/>
  <c r="P102" i="10" s="1"/>
  <c r="P103" i="10" s="1"/>
  <c r="P104" i="10" s="1"/>
  <c r="P105" i="10" s="1"/>
  <c r="P106" i="10" s="1"/>
  <c r="P107" i="10" s="1"/>
  <c r="P108" i="10" s="1"/>
  <c r="P109" i="10" s="1"/>
  <c r="U98" i="10" s="1"/>
  <c r="U99" i="10" s="1"/>
  <c r="U100" i="10" s="1"/>
  <c r="U101" i="10" s="1"/>
  <c r="U102" i="10" s="1"/>
  <c r="U103" i="10" s="1"/>
  <c r="U104" i="10" s="1"/>
  <c r="U105" i="10" s="1"/>
  <c r="U106" i="10" s="1"/>
  <c r="U107" i="10" s="1"/>
  <c r="U108" i="10" s="1"/>
  <c r="U109" i="10" s="1"/>
  <c r="A72" i="10"/>
  <c r="A73" i="10"/>
  <c r="A74" i="10" s="1"/>
  <c r="A75" i="10" s="1"/>
  <c r="A76" i="10" s="1"/>
  <c r="A77" i="10" s="1"/>
  <c r="A78" i="10" s="1"/>
  <c r="A79" i="10" s="1"/>
  <c r="A80" i="10" s="1"/>
  <c r="A81" i="10" s="1"/>
  <c r="A82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I223" i="10"/>
  <c r="J223" i="10"/>
  <c r="K223" i="10"/>
  <c r="L223" i="10"/>
  <c r="M223" i="10"/>
  <c r="M224" i="10"/>
  <c r="I225" i="10"/>
  <c r="J225" i="10"/>
  <c r="K225" i="10"/>
  <c r="L225" i="10"/>
  <c r="M225" i="10"/>
  <c r="M226" i="10"/>
  <c r="M227" i="10"/>
  <c r="M228" i="10"/>
  <c r="M229" i="10"/>
  <c r="M230" i="10"/>
  <c r="M231" i="10"/>
  <c r="L224" i="10"/>
  <c r="L227" i="10"/>
  <c r="L229" i="10"/>
  <c r="L231" i="10"/>
  <c r="I232" i="10"/>
  <c r="K224" i="10"/>
  <c r="K226" i="10"/>
  <c r="K227" i="10"/>
  <c r="K228" i="10"/>
  <c r="K229" i="10"/>
  <c r="K231" i="10"/>
  <c r="J224" i="10"/>
  <c r="J226" i="10"/>
  <c r="J227" i="10"/>
  <c r="J228" i="10"/>
  <c r="J229" i="10"/>
  <c r="G231" i="10"/>
  <c r="H231" i="10"/>
  <c r="I231" i="10"/>
  <c r="J231" i="10"/>
  <c r="I224" i="10"/>
  <c r="I226" i="10"/>
  <c r="I227" i="10"/>
  <c r="I228" i="10"/>
  <c r="I229" i="10"/>
  <c r="I230" i="10"/>
  <c r="H227" i="10"/>
  <c r="H228" i="10"/>
  <c r="H229" i="10"/>
  <c r="H230" i="10"/>
  <c r="G227" i="10"/>
  <c r="G228" i="10"/>
  <c r="G229" i="10"/>
  <c r="B228" i="10"/>
  <c r="A229" i="10"/>
  <c r="A228" i="10"/>
  <c r="A227" i="10"/>
  <c r="A226" i="10"/>
  <c r="A225" i="10"/>
  <c r="A224" i="10"/>
  <c r="A223" i="10"/>
  <c r="A222" i="10"/>
  <c r="A221" i="10"/>
  <c r="A20" i="10"/>
  <c r="A46" i="10"/>
  <c r="A45" i="10"/>
  <c r="A44" i="10"/>
  <c r="A43" i="10"/>
  <c r="A19" i="10"/>
  <c r="A18" i="10"/>
  <c r="A17" i="10"/>
  <c r="A14" i="10"/>
  <c r="A13" i="10"/>
  <c r="E20" i="7"/>
  <c r="C2" i="3"/>
  <c r="C3" i="6" s="1"/>
  <c r="C11" i="6"/>
  <c r="C12" i="6"/>
  <c r="C13" i="6"/>
  <c r="I15" i="6"/>
  <c r="I17" i="6"/>
  <c r="E8" i="5"/>
  <c r="F8" i="5" s="1"/>
  <c r="C11" i="5"/>
  <c r="C12" i="5"/>
  <c r="C13" i="5"/>
  <c r="Q33" i="5"/>
  <c r="N12" i="3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U12" i="3"/>
  <c r="U13" i="3"/>
  <c r="U14" i="3" s="1"/>
  <c r="U15" i="3" s="1"/>
  <c r="U16" i="3" s="1"/>
  <c r="U17" i="3" s="1"/>
  <c r="U18" i="3" s="1"/>
  <c r="U19" i="3" s="1"/>
  <c r="U20" i="3" s="1"/>
  <c r="U21" i="3" s="1"/>
  <c r="U22" i="3" s="1"/>
  <c r="H24" i="1"/>
  <c r="H27" i="1" s="1"/>
  <c r="H25" i="1"/>
  <c r="H26" i="1"/>
  <c r="G47" i="1"/>
  <c r="G48" i="1"/>
  <c r="G49" i="1"/>
  <c r="G50" i="1"/>
  <c r="E17" i="5"/>
  <c r="Q17" i="5" s="1"/>
  <c r="D17" i="6" s="1"/>
  <c r="F17" i="5"/>
  <c r="G17" i="5"/>
  <c r="H17" i="5"/>
  <c r="I17" i="5"/>
  <c r="J17" i="5"/>
  <c r="K17" i="5"/>
  <c r="L17" i="5"/>
  <c r="M17" i="5"/>
  <c r="N17" i="5"/>
  <c r="O17" i="5"/>
  <c r="P17" i="5"/>
  <c r="D13" i="7"/>
  <c r="E13" i="7" s="1"/>
  <c r="F13" i="7" s="1"/>
  <c r="G13" i="7" s="1"/>
  <c r="F33" i="5" l="1"/>
  <c r="G8" i="5"/>
  <c r="D44" i="5"/>
  <c r="Q44" i="5" s="1"/>
  <c r="J19" i="6" s="1"/>
  <c r="I19" i="6"/>
  <c r="E17" i="6"/>
  <c r="L16" i="4"/>
  <c r="F17" i="6" s="1"/>
  <c r="E33" i="5"/>
  <c r="C3" i="5"/>
  <c r="L226" i="10"/>
  <c r="F230" i="10"/>
  <c r="E226" i="10"/>
  <c r="F226" i="10" s="1"/>
  <c r="G226" i="10" s="1"/>
  <c r="H226" i="10" s="1"/>
  <c r="E209" i="10"/>
  <c r="E154" i="10"/>
  <c r="E157" i="10" s="1"/>
  <c r="L228" i="10"/>
  <c r="F228" i="10"/>
  <c r="E228" i="10"/>
  <c r="F38" i="4"/>
  <c r="L39" i="4"/>
  <c r="L38" i="4" s="1"/>
  <c r="I38" i="4"/>
  <c r="F12" i="4"/>
  <c r="H16" i="5" s="1"/>
  <c r="L12" i="4"/>
  <c r="I39" i="3"/>
  <c r="H10" i="5" s="1"/>
  <c r="J39" i="3"/>
  <c r="M9" i="5" s="1"/>
  <c r="D223" i="10"/>
  <c r="D221" i="10"/>
  <c r="E221" i="10" s="1"/>
  <c r="F221" i="10" s="1"/>
  <c r="G221" i="10" s="1"/>
  <c r="H221" i="10" s="1"/>
  <c r="I221" i="10" s="1"/>
  <c r="J221" i="10" s="1"/>
  <c r="K221" i="10" s="1"/>
  <c r="L221" i="10" s="1"/>
  <c r="M221" i="10" s="1"/>
  <c r="H37" i="1"/>
  <c r="E45" i="5" s="1"/>
  <c r="Q45" i="5" s="1"/>
  <c r="J20" i="6" s="1"/>
  <c r="E222" i="10"/>
  <c r="F222" i="10" s="1"/>
  <c r="G222" i="10" s="1"/>
  <c r="H222" i="10" s="1"/>
  <c r="I222" i="10" s="1"/>
  <c r="J222" i="10" s="1"/>
  <c r="K222" i="10" s="1"/>
  <c r="L222" i="10" s="1"/>
  <c r="M222" i="10" s="1"/>
  <c r="H19" i="1"/>
  <c r="D43" i="5" s="1"/>
  <c r="E9" i="7"/>
  <c r="F9" i="7" s="1"/>
  <c r="G9" i="7" s="1"/>
  <c r="E17" i="8" s="1"/>
  <c r="B17" i="8"/>
  <c r="I12" i="4"/>
  <c r="E16" i="6" s="1"/>
  <c r="I21" i="4"/>
  <c r="L21" i="4"/>
  <c r="F21" i="4"/>
  <c r="L18" i="4"/>
  <c r="F16" i="6"/>
  <c r="K16" i="5"/>
  <c r="G16" i="5"/>
  <c r="P16" i="5"/>
  <c r="I16" i="5"/>
  <c r="F16" i="5"/>
  <c r="N16" i="5"/>
  <c r="D22" i="7"/>
  <c r="C205" i="10"/>
  <c r="B93" i="10"/>
  <c r="T102" i="10" s="1"/>
  <c r="B62" i="10"/>
  <c r="B66" i="10" s="1"/>
  <c r="J15" i="6"/>
  <c r="E223" i="10"/>
  <c r="F223" i="10" s="1"/>
  <c r="G223" i="10" s="1"/>
  <c r="H223" i="10" s="1"/>
  <c r="D233" i="10"/>
  <c r="E37" i="5" s="1"/>
  <c r="F37" i="5" s="1"/>
  <c r="G37" i="5" s="1"/>
  <c r="H37" i="5" s="1"/>
  <c r="I37" i="5" s="1"/>
  <c r="J37" i="5" s="1"/>
  <c r="K37" i="5" s="1"/>
  <c r="L37" i="5" s="1"/>
  <c r="M37" i="5" s="1"/>
  <c r="N37" i="5" s="1"/>
  <c r="O37" i="5" s="1"/>
  <c r="P37" i="5" s="1"/>
  <c r="D11" i="7"/>
  <c r="D207" i="10"/>
  <c r="F19" i="7"/>
  <c r="G19" i="7" s="1"/>
  <c r="C12" i="8"/>
  <c r="F158" i="10"/>
  <c r="D153" i="10"/>
  <c r="E153" i="10" s="1"/>
  <c r="F153" i="10" s="1"/>
  <c r="G153" i="10" s="1"/>
  <c r="H153" i="10" s="1"/>
  <c r="I153" i="10" s="1"/>
  <c r="J153" i="10" s="1"/>
  <c r="K153" i="10" s="1"/>
  <c r="L153" i="10" s="1"/>
  <c r="M153" i="10" s="1"/>
  <c r="L158" i="10"/>
  <c r="J158" i="10"/>
  <c r="H158" i="10"/>
  <c r="E158" i="10"/>
  <c r="D205" i="10"/>
  <c r="E152" i="10"/>
  <c r="F152" i="10" s="1"/>
  <c r="G152" i="10" s="1"/>
  <c r="H152" i="10" s="1"/>
  <c r="I152" i="10" s="1"/>
  <c r="J152" i="10" s="1"/>
  <c r="K152" i="10" s="1"/>
  <c r="L152" i="10" s="1"/>
  <c r="M152" i="10" s="1"/>
  <c r="D210" i="10"/>
  <c r="H161" i="10"/>
  <c r="D158" i="10"/>
  <c r="M158" i="10"/>
  <c r="K158" i="10"/>
  <c r="I158" i="10"/>
  <c r="G158" i="10"/>
  <c r="G230" i="10"/>
  <c r="K230" i="10"/>
  <c r="L230" i="10"/>
  <c r="I194" i="10"/>
  <c r="G192" i="10"/>
  <c r="G195" i="10" s="1"/>
  <c r="M173" i="10"/>
  <c r="M176" i="10" s="1"/>
  <c r="J175" i="10"/>
  <c r="F175" i="10"/>
  <c r="G98" i="10"/>
  <c r="H98" i="10" s="1"/>
  <c r="J98" i="10" s="1"/>
  <c r="I98" i="10" s="1"/>
  <c r="J230" i="10"/>
  <c r="K209" i="10"/>
  <c r="M175" i="10"/>
  <c r="I175" i="10"/>
  <c r="I177" i="10" s="1"/>
  <c r="E230" i="10"/>
  <c r="F173" i="10"/>
  <c r="F176" i="10" s="1"/>
  <c r="E176" i="10"/>
  <c r="E210" i="10" s="1"/>
  <c r="E207" i="10"/>
  <c r="E172" i="10"/>
  <c r="F172" i="10" s="1"/>
  <c r="F171" i="10"/>
  <c r="F209" i="10"/>
  <c r="F231" i="10"/>
  <c r="L192" i="10"/>
  <c r="J194" i="10"/>
  <c r="J209" i="10" s="1"/>
  <c r="G194" i="10"/>
  <c r="G196" i="10" s="1"/>
  <c r="F192" i="10"/>
  <c r="F191" i="10" s="1"/>
  <c r="L173" i="10"/>
  <c r="L176" i="10" s="1"/>
  <c r="L177" i="10" s="1"/>
  <c r="K173" i="10"/>
  <c r="K176" i="10" s="1"/>
  <c r="K177" i="10" s="1"/>
  <c r="J173" i="10"/>
  <c r="I173" i="10"/>
  <c r="I176" i="10" s="1"/>
  <c r="H173" i="10"/>
  <c r="H176" i="10" s="1"/>
  <c r="H210" i="10" s="1"/>
  <c r="G173" i="10"/>
  <c r="B168" i="10"/>
  <c r="B120" i="10"/>
  <c r="K195" i="10"/>
  <c r="K210" i="10" s="1"/>
  <c r="F232" i="10"/>
  <c r="M232" i="10"/>
  <c r="J232" i="10"/>
  <c r="G232" i="10"/>
  <c r="K232" i="10"/>
  <c r="H232" i="10"/>
  <c r="L232" i="10"/>
  <c r="L195" i="10"/>
  <c r="L210" i="10" s="1"/>
  <c r="B187" i="10"/>
  <c r="H194" i="10"/>
  <c r="I192" i="10"/>
  <c r="L194" i="10"/>
  <c r="M192" i="10"/>
  <c r="J196" i="10"/>
  <c r="N125" i="10"/>
  <c r="I209" i="10" l="1"/>
  <c r="M177" i="10"/>
  <c r="F177" i="10"/>
  <c r="G33" i="5"/>
  <c r="H8" i="5"/>
  <c r="F207" i="10"/>
  <c r="F195" i="10"/>
  <c r="F17" i="4"/>
  <c r="J18" i="5" s="1"/>
  <c r="I17" i="4"/>
  <c r="I45" i="4" s="1"/>
  <c r="I46" i="4" s="1"/>
  <c r="J16" i="5"/>
  <c r="E16" i="5"/>
  <c r="O16" i="5"/>
  <c r="L16" i="5"/>
  <c r="M16" i="5"/>
  <c r="N9" i="5"/>
  <c r="N11" i="5" s="1"/>
  <c r="O10" i="5"/>
  <c r="J10" i="5"/>
  <c r="M10" i="5"/>
  <c r="E10" i="5"/>
  <c r="E52" i="5" s="1"/>
  <c r="E36" i="5" s="1"/>
  <c r="K10" i="5"/>
  <c r="F10" i="5"/>
  <c r="P10" i="5"/>
  <c r="G10" i="5"/>
  <c r="L10" i="5"/>
  <c r="N10" i="5"/>
  <c r="I10" i="5"/>
  <c r="I9" i="5"/>
  <c r="I11" i="5" s="1"/>
  <c r="H9" i="5"/>
  <c r="H13" i="5" s="1"/>
  <c r="O9" i="5"/>
  <c r="O13" i="5" s="1"/>
  <c r="J9" i="5"/>
  <c r="J13" i="5" s="1"/>
  <c r="E9" i="5"/>
  <c r="E13" i="5" s="1"/>
  <c r="P9" i="5"/>
  <c r="P11" i="5" s="1"/>
  <c r="K9" i="5"/>
  <c r="K11" i="5" s="1"/>
  <c r="F9" i="5"/>
  <c r="F13" i="5" s="1"/>
  <c r="L9" i="5"/>
  <c r="L11" i="5" s="1"/>
  <c r="G9" i="5"/>
  <c r="G11" i="5" s="1"/>
  <c r="Y100" i="10"/>
  <c r="T98" i="10"/>
  <c r="Y106" i="10"/>
  <c r="T108" i="10"/>
  <c r="C17" i="8"/>
  <c r="I233" i="10"/>
  <c r="D17" i="8"/>
  <c r="I18" i="6"/>
  <c r="I25" i="6" s="1"/>
  <c r="Q43" i="5"/>
  <c r="J18" i="6" s="1"/>
  <c r="D47" i="5"/>
  <c r="D16" i="7" s="1"/>
  <c r="H28" i="1"/>
  <c r="D15" i="7" s="1"/>
  <c r="H233" i="10"/>
  <c r="F233" i="10"/>
  <c r="B52" i="10" s="1"/>
  <c r="G233" i="10"/>
  <c r="M233" i="10"/>
  <c r="E233" i="10"/>
  <c r="B26" i="10" s="1"/>
  <c r="C26" i="10" s="1"/>
  <c r="E19" i="5"/>
  <c r="F19" i="5" s="1"/>
  <c r="G19" i="5" s="1"/>
  <c r="L17" i="4"/>
  <c r="F18" i="6" s="1"/>
  <c r="Q16" i="5"/>
  <c r="D16" i="6" s="1"/>
  <c r="G13" i="5"/>
  <c r="M13" i="5"/>
  <c r="M11" i="5"/>
  <c r="M12" i="5"/>
  <c r="H12" i="5"/>
  <c r="F12" i="5"/>
  <c r="F11" i="5"/>
  <c r="B71" i="10"/>
  <c r="C71" i="10" s="1"/>
  <c r="D12" i="8"/>
  <c r="Y109" i="10"/>
  <c r="Y103" i="10"/>
  <c r="Y108" i="10"/>
  <c r="Y98" i="10"/>
  <c r="T105" i="10"/>
  <c r="Y107" i="10"/>
  <c r="Y102" i="10"/>
  <c r="T99" i="10"/>
  <c r="T109" i="10"/>
  <c r="T103" i="10"/>
  <c r="Y104" i="10"/>
  <c r="Y99" i="10"/>
  <c r="T104" i="10"/>
  <c r="T107" i="10"/>
  <c r="T101" i="10"/>
  <c r="Y105" i="10"/>
  <c r="Y101" i="10"/>
  <c r="T106" i="10"/>
  <c r="T100" i="10"/>
  <c r="B230" i="10"/>
  <c r="B233" i="10" s="1"/>
  <c r="L233" i="10"/>
  <c r="J233" i="10"/>
  <c r="E206" i="10"/>
  <c r="D206" i="10"/>
  <c r="Y82" i="10"/>
  <c r="Y74" i="10"/>
  <c r="Y78" i="10"/>
  <c r="Y71" i="10"/>
  <c r="Y75" i="10"/>
  <c r="Y79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Y83" i="10"/>
  <c r="Y72" i="10"/>
  <c r="Y76" i="10"/>
  <c r="Y80" i="10"/>
  <c r="M19" i="1"/>
  <c r="O71" i="10"/>
  <c r="O72" i="10"/>
  <c r="O73" i="10"/>
  <c r="O74" i="10"/>
  <c r="O75" i="10"/>
  <c r="O76" i="10"/>
  <c r="O77" i="10"/>
  <c r="O78" i="10"/>
  <c r="O79" i="10"/>
  <c r="O80" i="10"/>
  <c r="O81" i="10"/>
  <c r="O82" i="10"/>
  <c r="Y73" i="10"/>
  <c r="Y77" i="10"/>
  <c r="Y81" i="10"/>
  <c r="E205" i="10"/>
  <c r="D211" i="10"/>
  <c r="C159" i="10"/>
  <c r="F205" i="10"/>
  <c r="G99" i="10"/>
  <c r="H99" i="10" s="1"/>
  <c r="M209" i="10"/>
  <c r="K233" i="10"/>
  <c r="G191" i="10"/>
  <c r="H191" i="10" s="1"/>
  <c r="I191" i="10" s="1"/>
  <c r="J191" i="10" s="1"/>
  <c r="K191" i="10" s="1"/>
  <c r="L191" i="10" s="1"/>
  <c r="M191" i="10" s="1"/>
  <c r="K196" i="10"/>
  <c r="K211" i="10" s="1"/>
  <c r="G171" i="10"/>
  <c r="G205" i="10" s="1"/>
  <c r="K207" i="10"/>
  <c r="H207" i="10"/>
  <c r="Z126" i="10"/>
  <c r="Z130" i="10"/>
  <c r="Z134" i="10"/>
  <c r="Z127" i="10"/>
  <c r="Z131" i="10"/>
  <c r="Z135" i="10"/>
  <c r="Z136" i="10"/>
  <c r="Z128" i="10"/>
  <c r="Z132" i="10"/>
  <c r="Z125" i="10"/>
  <c r="Z129" i="10"/>
  <c r="Z133" i="10"/>
  <c r="J176" i="10"/>
  <c r="J207" i="10"/>
  <c r="G209" i="10"/>
  <c r="G176" i="10"/>
  <c r="G207" i="10"/>
  <c r="L207" i="10"/>
  <c r="E177" i="10"/>
  <c r="H177" i="10"/>
  <c r="H196" i="10"/>
  <c r="H209" i="10"/>
  <c r="H199" i="10"/>
  <c r="F210" i="10"/>
  <c r="E12" i="8"/>
  <c r="M195" i="10"/>
  <c r="M207" i="10"/>
  <c r="Q37" i="5"/>
  <c r="J12" i="6" s="1"/>
  <c r="F196" i="10"/>
  <c r="P125" i="10"/>
  <c r="O125" i="10" s="1"/>
  <c r="L196" i="10"/>
  <c r="L211" i="10" s="1"/>
  <c r="L209" i="10"/>
  <c r="H171" i="10"/>
  <c r="G172" i="10"/>
  <c r="F206" i="10"/>
  <c r="I207" i="10"/>
  <c r="I195" i="10"/>
  <c r="H33" i="5" l="1"/>
  <c r="I8" i="5"/>
  <c r="J12" i="5"/>
  <c r="J52" i="5"/>
  <c r="J36" i="5" s="1"/>
  <c r="K52" i="5"/>
  <c r="K36" i="5" s="1"/>
  <c r="G18" i="5"/>
  <c r="H18" i="5"/>
  <c r="K18" i="5"/>
  <c r="L18" i="5"/>
  <c r="P18" i="5"/>
  <c r="I18" i="5"/>
  <c r="E18" i="5"/>
  <c r="O18" i="5"/>
  <c r="F45" i="4"/>
  <c r="F18" i="5"/>
  <c r="M18" i="5"/>
  <c r="N18" i="5"/>
  <c r="E18" i="6"/>
  <c r="L45" i="4"/>
  <c r="L46" i="4" s="1"/>
  <c r="B51" i="10" s="1"/>
  <c r="C51" i="10" s="1"/>
  <c r="D51" i="10" s="1"/>
  <c r="E51" i="10" s="1"/>
  <c r="F51" i="10" s="1"/>
  <c r="G51" i="10" s="1"/>
  <c r="H51" i="10" s="1"/>
  <c r="I51" i="10" s="1"/>
  <c r="J51" i="10" s="1"/>
  <c r="K51" i="10" s="1"/>
  <c r="L51" i="10" s="1"/>
  <c r="M51" i="10" s="1"/>
  <c r="N51" i="10" s="1"/>
  <c r="P13" i="5"/>
  <c r="J11" i="5"/>
  <c r="G52" i="5"/>
  <c r="G36" i="5" s="1"/>
  <c r="O12" i="5"/>
  <c r="K12" i="5"/>
  <c r="H52" i="5"/>
  <c r="H36" i="5" s="1"/>
  <c r="I13" i="5"/>
  <c r="E51" i="5"/>
  <c r="E35" i="5" s="1"/>
  <c r="N52" i="5"/>
  <c r="N36" i="5" s="1"/>
  <c r="M52" i="5"/>
  <c r="M36" i="5" s="1"/>
  <c r="P52" i="5"/>
  <c r="P36" i="5" s="1"/>
  <c r="E12" i="5"/>
  <c r="N13" i="5"/>
  <c r="Q10" i="5"/>
  <c r="D10" i="6" s="1"/>
  <c r="L52" i="5"/>
  <c r="L36" i="5" s="1"/>
  <c r="I51" i="5"/>
  <c r="I35" i="5" s="1"/>
  <c r="F52" i="5"/>
  <c r="F36" i="5" s="1"/>
  <c r="P51" i="5"/>
  <c r="P35" i="5" s="1"/>
  <c r="O51" i="5"/>
  <c r="O35" i="5" s="1"/>
  <c r="J51" i="5"/>
  <c r="J35" i="5" s="1"/>
  <c r="O52" i="5"/>
  <c r="O36" i="5" s="1"/>
  <c r="P12" i="5"/>
  <c r="P14" i="5" s="1"/>
  <c r="P26" i="5" s="1"/>
  <c r="I12" i="5"/>
  <c r="N12" i="5"/>
  <c r="H11" i="5"/>
  <c r="G12" i="5"/>
  <c r="G14" i="5" s="1"/>
  <c r="G26" i="5" s="1"/>
  <c r="K51" i="5"/>
  <c r="K35" i="5" s="1"/>
  <c r="I52" i="5"/>
  <c r="I36" i="5" s="1"/>
  <c r="L51" i="5"/>
  <c r="L35" i="5" s="1"/>
  <c r="L13" i="5"/>
  <c r="H51" i="5"/>
  <c r="H35" i="5" s="1"/>
  <c r="K13" i="5"/>
  <c r="K14" i="5" s="1"/>
  <c r="K26" i="5" s="1"/>
  <c r="Q9" i="5"/>
  <c r="D9" i="6" s="1"/>
  <c r="O11" i="5"/>
  <c r="M51" i="5"/>
  <c r="M35" i="5" s="1"/>
  <c r="G51" i="5"/>
  <c r="G35" i="5" s="1"/>
  <c r="L12" i="5"/>
  <c r="F51" i="5"/>
  <c r="F35" i="5" s="1"/>
  <c r="E11" i="5"/>
  <c r="N51" i="5"/>
  <c r="N35" i="5" s="1"/>
  <c r="H14" i="5"/>
  <c r="H26" i="5" s="1"/>
  <c r="K12" i="6"/>
  <c r="L12" i="6"/>
  <c r="D43" i="1"/>
  <c r="K24" i="6"/>
  <c r="E48" i="5"/>
  <c r="G25" i="10"/>
  <c r="E25" i="10"/>
  <c r="J25" i="10"/>
  <c r="I25" i="10"/>
  <c r="H25" i="10"/>
  <c r="F25" i="10"/>
  <c r="L25" i="10"/>
  <c r="K25" i="10"/>
  <c r="B25" i="10"/>
  <c r="D25" i="10"/>
  <c r="C25" i="10"/>
  <c r="M25" i="10"/>
  <c r="M14" i="5"/>
  <c r="M26" i="5" s="1"/>
  <c r="J14" i="5"/>
  <c r="J26" i="5" s="1"/>
  <c r="I14" i="5"/>
  <c r="I26" i="5" s="1"/>
  <c r="F14" i="5"/>
  <c r="F26" i="5" s="1"/>
  <c r="E15" i="7"/>
  <c r="D17" i="7"/>
  <c r="D18" i="7" s="1"/>
  <c r="B37" i="8"/>
  <c r="B39" i="8" s="1"/>
  <c r="B40" i="8" s="1"/>
  <c r="E71" i="10"/>
  <c r="D71" i="10" s="1"/>
  <c r="D159" i="10"/>
  <c r="H162" i="10"/>
  <c r="C212" i="10"/>
  <c r="E21" i="5"/>
  <c r="G210" i="10"/>
  <c r="G177" i="10"/>
  <c r="G211" i="10" s="1"/>
  <c r="D26" i="10"/>
  <c r="H180" i="10"/>
  <c r="H211" i="10"/>
  <c r="E211" i="10"/>
  <c r="J210" i="10"/>
  <c r="J177" i="10"/>
  <c r="J211" i="10" s="1"/>
  <c r="F211" i="10"/>
  <c r="J99" i="10"/>
  <c r="I99" i="10" s="1"/>
  <c r="H19" i="5"/>
  <c r="I210" i="10"/>
  <c r="I196" i="10"/>
  <c r="I211" i="10" s="1"/>
  <c r="I171" i="10"/>
  <c r="H205" i="10"/>
  <c r="M126" i="10"/>
  <c r="C52" i="10"/>
  <c r="H172" i="10"/>
  <c r="G206" i="10"/>
  <c r="M210" i="10"/>
  <c r="M196" i="10"/>
  <c r="M211" i="10" s="1"/>
  <c r="J8" i="5" l="1"/>
  <c r="I33" i="5"/>
  <c r="E14" i="5"/>
  <c r="E26" i="5" s="1"/>
  <c r="O14" i="5"/>
  <c r="O26" i="5" s="1"/>
  <c r="F20" i="5"/>
  <c r="F28" i="5" s="1"/>
  <c r="Q18" i="5"/>
  <c r="D18" i="6" s="1"/>
  <c r="E20" i="5"/>
  <c r="E27" i="5" s="1"/>
  <c r="Q52" i="5"/>
  <c r="Q36" i="5"/>
  <c r="J11" i="6" s="1"/>
  <c r="E29" i="7" s="1"/>
  <c r="O23" i="3"/>
  <c r="P23" i="3" s="1"/>
  <c r="B12" i="10" s="1"/>
  <c r="N14" i="5"/>
  <c r="N26" i="5" s="1"/>
  <c r="Q13" i="5"/>
  <c r="D13" i="6" s="1"/>
  <c r="V23" i="3"/>
  <c r="W23" i="3" s="1"/>
  <c r="I16" i="10" s="1"/>
  <c r="L14" i="5"/>
  <c r="L26" i="5" s="1"/>
  <c r="Q12" i="5"/>
  <c r="D12" i="6" s="1"/>
  <c r="G20" i="5"/>
  <c r="G27" i="5" s="1"/>
  <c r="Q51" i="5"/>
  <c r="Q11" i="5"/>
  <c r="D11" i="6" s="1"/>
  <c r="Q35" i="5"/>
  <c r="J10" i="6" s="1"/>
  <c r="E14" i="7" s="1"/>
  <c r="N25" i="10"/>
  <c r="B14" i="8"/>
  <c r="B20" i="8"/>
  <c r="B21" i="8" s="1"/>
  <c r="B72" i="10"/>
  <c r="E46" i="5"/>
  <c r="C33" i="8"/>
  <c r="D212" i="10"/>
  <c r="E159" i="10"/>
  <c r="F159" i="10" s="1"/>
  <c r="G159" i="10" s="1"/>
  <c r="H159" i="10" s="1"/>
  <c r="I159" i="10" s="1"/>
  <c r="J159" i="10" s="1"/>
  <c r="K159" i="10" s="1"/>
  <c r="L159" i="10" s="1"/>
  <c r="M159" i="10" s="1"/>
  <c r="C178" i="10"/>
  <c r="E178" i="10" s="1"/>
  <c r="H181" i="10"/>
  <c r="E26" i="10"/>
  <c r="I19" i="5"/>
  <c r="H20" i="5"/>
  <c r="D52" i="10"/>
  <c r="N126" i="10"/>
  <c r="C197" i="10"/>
  <c r="I172" i="10"/>
  <c r="H206" i="10"/>
  <c r="J171" i="10"/>
  <c r="I205" i="10"/>
  <c r="G100" i="10"/>
  <c r="K8" i="5" l="1"/>
  <c r="J33" i="5"/>
  <c r="Q14" i="5"/>
  <c r="Q26" i="5" s="1"/>
  <c r="E22" i="5"/>
  <c r="E34" i="5" s="1"/>
  <c r="E39" i="5" s="1"/>
  <c r="E47" i="5" s="1"/>
  <c r="E49" i="5" s="1"/>
  <c r="F48" i="5" s="1"/>
  <c r="F27" i="5"/>
  <c r="E28" i="5"/>
  <c r="G28" i="5"/>
  <c r="K12" i="10"/>
  <c r="K19" i="10" s="1"/>
  <c r="D12" i="10"/>
  <c r="M12" i="10"/>
  <c r="M19" i="10" s="1"/>
  <c r="G16" i="10"/>
  <c r="L16" i="10"/>
  <c r="F16" i="10"/>
  <c r="W24" i="3"/>
  <c r="X23" i="3" s="1"/>
  <c r="D42" i="10" s="1"/>
  <c r="D16" i="10"/>
  <c r="M16" i="10"/>
  <c r="H16" i="10"/>
  <c r="C16" i="10"/>
  <c r="B16" i="10"/>
  <c r="B14" i="10" s="1"/>
  <c r="K16" i="10"/>
  <c r="J16" i="10"/>
  <c r="E16" i="10"/>
  <c r="I12" i="10"/>
  <c r="I17" i="10" s="1"/>
  <c r="P24" i="3"/>
  <c r="Q23" i="3" s="1"/>
  <c r="H38" i="10" s="1"/>
  <c r="E12" i="10"/>
  <c r="E18" i="10" s="1"/>
  <c r="J12" i="10"/>
  <c r="J19" i="10" s="1"/>
  <c r="L12" i="10"/>
  <c r="L19" i="10" s="1"/>
  <c r="G12" i="10"/>
  <c r="G19" i="10" s="1"/>
  <c r="F12" i="10"/>
  <c r="F17" i="10" s="1"/>
  <c r="H12" i="10"/>
  <c r="H19" i="10" s="1"/>
  <c r="C12" i="10"/>
  <c r="C18" i="10" s="1"/>
  <c r="D14" i="6"/>
  <c r="D26" i="6" s="1"/>
  <c r="E17" i="10"/>
  <c r="B17" i="10"/>
  <c r="B13" i="10"/>
  <c r="B19" i="10"/>
  <c r="B18" i="10"/>
  <c r="D17" i="10"/>
  <c r="D18" i="10"/>
  <c r="D19" i="10"/>
  <c r="C72" i="10"/>
  <c r="C13" i="8"/>
  <c r="D33" i="8"/>
  <c r="D13" i="8" s="1"/>
  <c r="F26" i="10"/>
  <c r="F178" i="10"/>
  <c r="G178" i="10" s="1"/>
  <c r="H178" i="10" s="1"/>
  <c r="I178" i="10" s="1"/>
  <c r="J178" i="10" s="1"/>
  <c r="K178" i="10" s="1"/>
  <c r="E212" i="10"/>
  <c r="I206" i="10"/>
  <c r="J172" i="10"/>
  <c r="H27" i="5"/>
  <c r="H28" i="5"/>
  <c r="H100" i="10"/>
  <c r="J205" i="10"/>
  <c r="K171" i="10"/>
  <c r="E52" i="10"/>
  <c r="J19" i="5"/>
  <c r="I20" i="5"/>
  <c r="P126" i="10"/>
  <c r="O126" i="10" s="1"/>
  <c r="H200" i="10"/>
  <c r="F197" i="10"/>
  <c r="K33" i="5" l="1"/>
  <c r="L8" i="5"/>
  <c r="J14" i="10"/>
  <c r="G14" i="10"/>
  <c r="K14" i="10"/>
  <c r="M14" i="10"/>
  <c r="F42" i="10"/>
  <c r="L42" i="10"/>
  <c r="C42" i="10"/>
  <c r="L14" i="10"/>
  <c r="M42" i="10"/>
  <c r="K17" i="10"/>
  <c r="K42" i="10"/>
  <c r="M18" i="10"/>
  <c r="X24" i="3"/>
  <c r="E42" i="10"/>
  <c r="G42" i="10"/>
  <c r="J17" i="10"/>
  <c r="M17" i="10"/>
  <c r="B42" i="10"/>
  <c r="H42" i="10"/>
  <c r="K18" i="10"/>
  <c r="B38" i="10"/>
  <c r="B43" i="10" s="1"/>
  <c r="D14" i="10"/>
  <c r="J18" i="10"/>
  <c r="K38" i="10"/>
  <c r="K43" i="10" s="1"/>
  <c r="I38" i="10"/>
  <c r="I45" i="10" s="1"/>
  <c r="C38" i="10"/>
  <c r="C43" i="10" s="1"/>
  <c r="L38" i="10"/>
  <c r="L43" i="10" s="1"/>
  <c r="J42" i="10"/>
  <c r="I42" i="10"/>
  <c r="G18" i="10"/>
  <c r="H18" i="10"/>
  <c r="J38" i="10"/>
  <c r="J43" i="10" s="1"/>
  <c r="D38" i="10"/>
  <c r="D45" i="10" s="1"/>
  <c r="E14" i="10"/>
  <c r="N16" i="10"/>
  <c r="L17" i="10"/>
  <c r="H13" i="10"/>
  <c r="F14" i="10"/>
  <c r="H14" i="10"/>
  <c r="G13" i="10"/>
  <c r="C13" i="10"/>
  <c r="F13" i="10"/>
  <c r="G17" i="10"/>
  <c r="I13" i="10"/>
  <c r="H17" i="10"/>
  <c r="G38" i="10"/>
  <c r="G43" i="10" s="1"/>
  <c r="F38" i="10"/>
  <c r="F44" i="10" s="1"/>
  <c r="E38" i="10"/>
  <c r="E43" i="10" s="1"/>
  <c r="I14" i="10"/>
  <c r="Q24" i="3"/>
  <c r="M38" i="10"/>
  <c r="M44" i="10" s="1"/>
  <c r="C14" i="10"/>
  <c r="F19" i="10"/>
  <c r="I18" i="10"/>
  <c r="E19" i="10"/>
  <c r="E20" i="10" s="1"/>
  <c r="E22" i="10" s="1"/>
  <c r="L13" i="10"/>
  <c r="F18" i="10"/>
  <c r="F20" i="10" s="1"/>
  <c r="F22" i="10" s="1"/>
  <c r="F23" i="10" s="1"/>
  <c r="L18" i="10"/>
  <c r="I19" i="10"/>
  <c r="J13" i="10"/>
  <c r="K13" i="10"/>
  <c r="E13" i="10"/>
  <c r="M13" i="10"/>
  <c r="C17" i="10"/>
  <c r="D13" i="10"/>
  <c r="N12" i="10"/>
  <c r="E9" i="6" s="1"/>
  <c r="C19" i="10"/>
  <c r="K20" i="10"/>
  <c r="K22" i="10" s="1"/>
  <c r="K23" i="10" s="1"/>
  <c r="D20" i="10"/>
  <c r="D22" i="10" s="1"/>
  <c r="D27" i="10" s="1"/>
  <c r="D28" i="10" s="1"/>
  <c r="K44" i="10"/>
  <c r="H44" i="10"/>
  <c r="H45" i="10"/>
  <c r="H43" i="10"/>
  <c r="B20" i="10"/>
  <c r="B22" i="10" s="1"/>
  <c r="C45" i="10"/>
  <c r="L44" i="10"/>
  <c r="B40" i="10"/>
  <c r="E10" i="6"/>
  <c r="C40" i="10"/>
  <c r="E72" i="10"/>
  <c r="D72" i="10" s="1"/>
  <c r="F21" i="5"/>
  <c r="E33" i="8"/>
  <c r="E13" i="8" s="1"/>
  <c r="G26" i="10"/>
  <c r="G197" i="10"/>
  <c r="F212" i="10"/>
  <c r="L178" i="10"/>
  <c r="K172" i="10"/>
  <c r="J206" i="10"/>
  <c r="M127" i="10"/>
  <c r="I27" i="5"/>
  <c r="I28" i="5"/>
  <c r="F52" i="10"/>
  <c r="J100" i="10"/>
  <c r="I100" i="10" s="1"/>
  <c r="K19" i="5"/>
  <c r="J20" i="5"/>
  <c r="L171" i="10"/>
  <c r="K205" i="10"/>
  <c r="M8" i="5" l="1"/>
  <c r="L33" i="5"/>
  <c r="B44" i="10"/>
  <c r="I43" i="10"/>
  <c r="B45" i="10"/>
  <c r="J45" i="10"/>
  <c r="D44" i="10"/>
  <c r="N42" i="10"/>
  <c r="I40" i="10"/>
  <c r="L40" i="10"/>
  <c r="L45" i="10"/>
  <c r="F43" i="10"/>
  <c r="E40" i="10"/>
  <c r="D40" i="10"/>
  <c r="M40" i="10"/>
  <c r="E45" i="10"/>
  <c r="J44" i="10"/>
  <c r="N14" i="10"/>
  <c r="K11" i="6" s="1"/>
  <c r="F29" i="7" s="1"/>
  <c r="H40" i="10"/>
  <c r="G40" i="10"/>
  <c r="K40" i="10"/>
  <c r="F40" i="10"/>
  <c r="B39" i="10"/>
  <c r="I44" i="10"/>
  <c r="D43" i="10"/>
  <c r="H20" i="10"/>
  <c r="H22" i="10" s="1"/>
  <c r="H23" i="10" s="1"/>
  <c r="J40" i="10"/>
  <c r="K39" i="10"/>
  <c r="J20" i="10"/>
  <c r="J22" i="10" s="1"/>
  <c r="J23" i="10" s="1"/>
  <c r="M20" i="10"/>
  <c r="M22" i="10" s="1"/>
  <c r="M23" i="10" s="1"/>
  <c r="C44" i="10"/>
  <c r="C46" i="10" s="1"/>
  <c r="C48" i="10" s="1"/>
  <c r="C53" i="10" s="1"/>
  <c r="C54" i="10" s="1"/>
  <c r="K45" i="10"/>
  <c r="L39" i="10"/>
  <c r="C39" i="10"/>
  <c r="D39" i="10"/>
  <c r="G45" i="10"/>
  <c r="M39" i="10"/>
  <c r="G20" i="10"/>
  <c r="G22" i="10" s="1"/>
  <c r="G23" i="10" s="1"/>
  <c r="I39" i="10"/>
  <c r="J39" i="10"/>
  <c r="H39" i="10"/>
  <c r="F45" i="10"/>
  <c r="F46" i="10" s="1"/>
  <c r="F48" i="10" s="1"/>
  <c r="F49" i="10" s="1"/>
  <c r="M45" i="10"/>
  <c r="M46" i="10" s="1"/>
  <c r="M48" i="10" s="1"/>
  <c r="M49" i="10" s="1"/>
  <c r="N17" i="10"/>
  <c r="E11" i="6" s="1"/>
  <c r="G39" i="10"/>
  <c r="L20" i="10"/>
  <c r="L22" i="10" s="1"/>
  <c r="L23" i="10" s="1"/>
  <c r="E44" i="10"/>
  <c r="D23" i="10"/>
  <c r="N38" i="10"/>
  <c r="F9" i="6" s="1"/>
  <c r="E39" i="10"/>
  <c r="N18" i="10"/>
  <c r="E12" i="6" s="1"/>
  <c r="I20" i="10"/>
  <c r="I22" i="10" s="1"/>
  <c r="I23" i="10" s="1"/>
  <c r="E27" i="10"/>
  <c r="E28" i="10" s="1"/>
  <c r="E23" i="10"/>
  <c r="F39" i="10"/>
  <c r="G44" i="10"/>
  <c r="G46" i="10" s="1"/>
  <c r="G48" i="10" s="1"/>
  <c r="G49" i="10" s="1"/>
  <c r="M43" i="10"/>
  <c r="N43" i="10" s="1"/>
  <c r="F11" i="6" s="1"/>
  <c r="N13" i="10"/>
  <c r="K10" i="6" s="1"/>
  <c r="F14" i="7" s="1"/>
  <c r="C20" i="10"/>
  <c r="C22" i="10" s="1"/>
  <c r="N19" i="10"/>
  <c r="E13" i="6" s="1"/>
  <c r="F27" i="10"/>
  <c r="F28" i="10" s="1"/>
  <c r="H46" i="10"/>
  <c r="H48" i="10" s="1"/>
  <c r="H49" i="10" s="1"/>
  <c r="L46" i="10"/>
  <c r="L48" i="10" s="1"/>
  <c r="L49" i="10" s="1"/>
  <c r="I46" i="10"/>
  <c r="I48" i="10" s="1"/>
  <c r="I49" i="10" s="1"/>
  <c r="J46" i="10"/>
  <c r="J48" i="10" s="1"/>
  <c r="J49" i="10" s="1"/>
  <c r="D46" i="10"/>
  <c r="D48" i="10" s="1"/>
  <c r="D53" i="10" s="1"/>
  <c r="D54" i="10" s="1"/>
  <c r="K46" i="10"/>
  <c r="K48" i="10" s="1"/>
  <c r="K49" i="10" s="1"/>
  <c r="B46" i="10"/>
  <c r="B48" i="10" s="1"/>
  <c r="B23" i="10"/>
  <c r="B27" i="10"/>
  <c r="B28" i="10" s="1"/>
  <c r="F10" i="6"/>
  <c r="F22" i="5"/>
  <c r="F34" i="5" s="1"/>
  <c r="F39" i="5" s="1"/>
  <c r="F46" i="5"/>
  <c r="B73" i="10"/>
  <c r="H26" i="10"/>
  <c r="G101" i="10"/>
  <c r="L19" i="5"/>
  <c r="K20" i="5"/>
  <c r="L172" i="10"/>
  <c r="K206" i="10"/>
  <c r="M178" i="10"/>
  <c r="G52" i="10"/>
  <c r="N127" i="10"/>
  <c r="J28" i="5"/>
  <c r="J27" i="5"/>
  <c r="H197" i="10"/>
  <c r="G212" i="10"/>
  <c r="M171" i="10"/>
  <c r="M205" i="10" s="1"/>
  <c r="L205" i="10"/>
  <c r="N8" i="5" l="1"/>
  <c r="M33" i="5"/>
  <c r="E46" i="10"/>
  <c r="E48" i="10" s="1"/>
  <c r="E53" i="10" s="1"/>
  <c r="E54" i="10" s="1"/>
  <c r="N40" i="10"/>
  <c r="L11" i="6" s="1"/>
  <c r="G29" i="7" s="1"/>
  <c r="G27" i="10"/>
  <c r="G28" i="10" s="1"/>
  <c r="N22" i="10"/>
  <c r="N23" i="10" s="1"/>
  <c r="N45" i="10"/>
  <c r="F13" i="6" s="1"/>
  <c r="N20" i="10"/>
  <c r="N39" i="10"/>
  <c r="L10" i="6" s="1"/>
  <c r="G14" i="7" s="1"/>
  <c r="E14" i="6"/>
  <c r="E26" i="6" s="1"/>
  <c r="N44" i="10"/>
  <c r="F12" i="6" s="1"/>
  <c r="D49" i="10"/>
  <c r="C49" i="10"/>
  <c r="E49" i="10"/>
  <c r="C27" i="10"/>
  <c r="C28" i="10" s="1"/>
  <c r="C23" i="10"/>
  <c r="F53" i="10"/>
  <c r="F54" i="10" s="1"/>
  <c r="N46" i="10"/>
  <c r="B49" i="10"/>
  <c r="N48" i="10"/>
  <c r="N49" i="10" s="1"/>
  <c r="B53" i="10"/>
  <c r="B54" i="10" s="1"/>
  <c r="C73" i="10"/>
  <c r="F47" i="5"/>
  <c r="F49" i="5" s="1"/>
  <c r="G48" i="5" s="1"/>
  <c r="I26" i="10"/>
  <c r="H27" i="10"/>
  <c r="I197" i="10"/>
  <c r="H212" i="10"/>
  <c r="K28" i="5"/>
  <c r="K27" i="5"/>
  <c r="H101" i="10"/>
  <c r="J101" i="10" s="1"/>
  <c r="P127" i="10"/>
  <c r="O127" i="10" s="1"/>
  <c r="M19" i="5"/>
  <c r="L20" i="5"/>
  <c r="H52" i="10"/>
  <c r="G53" i="10"/>
  <c r="L206" i="10"/>
  <c r="M172" i="10"/>
  <c r="M206" i="10" s="1"/>
  <c r="O8" i="5" l="1"/>
  <c r="N33" i="5"/>
  <c r="F14" i="6"/>
  <c r="F26" i="6" s="1"/>
  <c r="E73" i="10"/>
  <c r="D73" i="10" s="1"/>
  <c r="G21" i="5"/>
  <c r="H28" i="10"/>
  <c r="J26" i="10"/>
  <c r="I27" i="10"/>
  <c r="I28" i="10" s="1"/>
  <c r="M128" i="10"/>
  <c r="I52" i="10"/>
  <c r="H53" i="10"/>
  <c r="I101" i="10"/>
  <c r="G54" i="10"/>
  <c r="L27" i="5"/>
  <c r="L28" i="5"/>
  <c r="N19" i="5"/>
  <c r="M20" i="5"/>
  <c r="J197" i="10"/>
  <c r="I212" i="10"/>
  <c r="O33" i="5" l="1"/>
  <c r="P8" i="5"/>
  <c r="P33" i="5" s="1"/>
  <c r="G46" i="5"/>
  <c r="B74" i="10"/>
  <c r="G22" i="5"/>
  <c r="G34" i="5" s="1"/>
  <c r="G39" i="5" s="1"/>
  <c r="J27" i="10"/>
  <c r="J28" i="10" s="1"/>
  <c r="K26" i="10"/>
  <c r="G102" i="10"/>
  <c r="K197" i="10"/>
  <c r="J212" i="10"/>
  <c r="O19" i="5"/>
  <c r="N20" i="5"/>
  <c r="H54" i="10"/>
  <c r="N128" i="10"/>
  <c r="P128" i="10" s="1"/>
  <c r="M27" i="5"/>
  <c r="M28" i="5"/>
  <c r="J52" i="10"/>
  <c r="I53" i="10"/>
  <c r="G47" i="5" l="1"/>
  <c r="G49" i="5" s="1"/>
  <c r="H48" i="5" s="1"/>
  <c r="C74" i="10"/>
  <c r="E74" i="10" s="1"/>
  <c r="L26" i="10"/>
  <c r="K27" i="10"/>
  <c r="I54" i="10"/>
  <c r="K52" i="10"/>
  <c r="J53" i="10"/>
  <c r="L197" i="10"/>
  <c r="K212" i="10"/>
  <c r="O128" i="10"/>
  <c r="N28" i="5"/>
  <c r="N27" i="5"/>
  <c r="H102" i="10"/>
  <c r="J102" i="10" s="1"/>
  <c r="P19" i="5"/>
  <c r="O20" i="5"/>
  <c r="D74" i="10" l="1"/>
  <c r="H21" i="5"/>
  <c r="K28" i="10"/>
  <c r="M26" i="10"/>
  <c r="M27" i="10" s="1"/>
  <c r="M28" i="10" s="1"/>
  <c r="L27" i="10"/>
  <c r="L28" i="10" s="1"/>
  <c r="O28" i="5"/>
  <c r="O27" i="5"/>
  <c r="M129" i="10"/>
  <c r="L52" i="10"/>
  <c r="K53" i="10"/>
  <c r="P20" i="5"/>
  <c r="Q19" i="5"/>
  <c r="D19" i="6" s="1"/>
  <c r="I102" i="10"/>
  <c r="M197" i="10"/>
  <c r="M212" i="10" s="1"/>
  <c r="L212" i="10"/>
  <c r="J54" i="10"/>
  <c r="H22" i="5" l="1"/>
  <c r="H34" i="5" s="1"/>
  <c r="H39" i="5" s="1"/>
  <c r="H46" i="5"/>
  <c r="B75" i="10"/>
  <c r="N27" i="10"/>
  <c r="N28" i="10" s="1"/>
  <c r="N26" i="10"/>
  <c r="E19" i="6" s="1"/>
  <c r="G103" i="10"/>
  <c r="E10" i="7"/>
  <c r="C10" i="8"/>
  <c r="D20" i="6"/>
  <c r="N129" i="10"/>
  <c r="P129" i="10" s="1"/>
  <c r="M52" i="10"/>
  <c r="L53" i="10"/>
  <c r="P27" i="5"/>
  <c r="P28" i="5"/>
  <c r="Q28" i="5" s="1"/>
  <c r="Q20" i="5"/>
  <c r="Q27" i="5" s="1"/>
  <c r="K54" i="10"/>
  <c r="C75" i="10" l="1"/>
  <c r="E75" i="10" s="1"/>
  <c r="H47" i="5"/>
  <c r="H49" i="5" s="1"/>
  <c r="I48" i="5" s="1"/>
  <c r="E20" i="6"/>
  <c r="D10" i="8"/>
  <c r="L54" i="10"/>
  <c r="E11" i="7"/>
  <c r="F10" i="7"/>
  <c r="M53" i="10"/>
  <c r="N52" i="10"/>
  <c r="F19" i="6" s="1"/>
  <c r="D27" i="6"/>
  <c r="D28" i="6"/>
  <c r="O129" i="10"/>
  <c r="H103" i="10"/>
  <c r="J103" i="10" s="1"/>
  <c r="D75" i="10" l="1"/>
  <c r="I21" i="5"/>
  <c r="E28" i="6"/>
  <c r="E27" i="6"/>
  <c r="M54" i="10"/>
  <c r="N53" i="10"/>
  <c r="N54" i="10" s="1"/>
  <c r="I103" i="10"/>
  <c r="G104" i="10" s="1"/>
  <c r="E10" i="8"/>
  <c r="F20" i="6"/>
  <c r="F11" i="7"/>
  <c r="G10" i="7"/>
  <c r="G11" i="7" s="1"/>
  <c r="M130" i="10"/>
  <c r="I46" i="5" l="1"/>
  <c r="B76" i="10"/>
  <c r="I22" i="5"/>
  <c r="N130" i="10"/>
  <c r="F28" i="6"/>
  <c r="F27" i="6"/>
  <c r="H104" i="10"/>
  <c r="J104" i="10" s="1"/>
  <c r="O130" i="10" l="1"/>
  <c r="M131" i="10" s="1"/>
  <c r="P130" i="10"/>
  <c r="I34" i="5"/>
  <c r="C76" i="10"/>
  <c r="E76" i="10" s="1"/>
  <c r="N131" i="10"/>
  <c r="I104" i="10"/>
  <c r="G105" i="10" s="1"/>
  <c r="P131" i="10" l="1"/>
  <c r="O131" i="10" s="1"/>
  <c r="M132" i="10" s="1"/>
  <c r="N132" i="10" s="1"/>
  <c r="D76" i="10"/>
  <c r="J21" i="5"/>
  <c r="I39" i="5"/>
  <c r="H105" i="10"/>
  <c r="J105" i="10" s="1"/>
  <c r="P132" i="10" l="1"/>
  <c r="O132" i="10" s="1"/>
  <c r="M133" i="10" s="1"/>
  <c r="N133" i="10" s="1"/>
  <c r="J22" i="5"/>
  <c r="I47" i="5"/>
  <c r="I49" i="5" s="1"/>
  <c r="J48" i="5" s="1"/>
  <c r="J46" i="5"/>
  <c r="B77" i="10"/>
  <c r="I105" i="10"/>
  <c r="G106" i="10" s="1"/>
  <c r="P133" i="10" l="1"/>
  <c r="O133" i="10" s="1"/>
  <c r="M134" i="10" s="1"/>
  <c r="N134" i="10" s="1"/>
  <c r="C77" i="10"/>
  <c r="E77" i="10" s="1"/>
  <c r="J34" i="5"/>
  <c r="H106" i="10"/>
  <c r="J106" i="10" s="1"/>
  <c r="P134" i="10" l="1"/>
  <c r="O134" i="10" s="1"/>
  <c r="M135" i="10" s="1"/>
  <c r="N135" i="10" s="1"/>
  <c r="J39" i="5"/>
  <c r="K21" i="5"/>
  <c r="K22" i="5" s="1"/>
  <c r="D77" i="10"/>
  <c r="I106" i="10"/>
  <c r="G107" i="10" s="1"/>
  <c r="P135" i="10" l="1"/>
  <c r="O135" i="10" s="1"/>
  <c r="M136" i="10" s="1"/>
  <c r="N136" i="10" s="1"/>
  <c r="P136" i="10" s="1"/>
  <c r="K46" i="5"/>
  <c r="B78" i="10"/>
  <c r="K34" i="5"/>
  <c r="J47" i="5"/>
  <c r="J49" i="5" s="1"/>
  <c r="K48" i="5" s="1"/>
  <c r="H107" i="10"/>
  <c r="J107" i="10" s="1"/>
  <c r="C78" i="10" l="1"/>
  <c r="E78" i="10" s="1"/>
  <c r="K39" i="5"/>
  <c r="O136" i="10"/>
  <c r="N137" i="10"/>
  <c r="I107" i="10"/>
  <c r="G108" i="10" s="1"/>
  <c r="K47" i="5" l="1"/>
  <c r="K49" i="5" s="1"/>
  <c r="L48" i="5" s="1"/>
  <c r="L21" i="5"/>
  <c r="L22" i="5" s="1"/>
  <c r="D78" i="10"/>
  <c r="H108" i="10"/>
  <c r="J108" i="10" s="1"/>
  <c r="O137" i="10"/>
  <c r="R125" i="10"/>
  <c r="L46" i="5" l="1"/>
  <c r="B79" i="10"/>
  <c r="L34" i="5"/>
  <c r="S125" i="10"/>
  <c r="U125" i="10" s="1"/>
  <c r="P137" i="10"/>
  <c r="O139" i="10"/>
  <c r="I108" i="10"/>
  <c r="G109" i="10" s="1"/>
  <c r="L39" i="5" l="1"/>
  <c r="C79" i="10"/>
  <c r="E79" i="10" s="1"/>
  <c r="O140" i="10"/>
  <c r="H109" i="10"/>
  <c r="J109" i="10" s="1"/>
  <c r="T125" i="10"/>
  <c r="M21" i="5" l="1"/>
  <c r="M22" i="5" s="1"/>
  <c r="D79" i="10"/>
  <c r="L47" i="5"/>
  <c r="L49" i="5" s="1"/>
  <c r="M48" i="5" s="1"/>
  <c r="I109" i="10"/>
  <c r="H110" i="10"/>
  <c r="R126" i="10"/>
  <c r="M46" i="5" l="1"/>
  <c r="B80" i="10"/>
  <c r="M34" i="5"/>
  <c r="I110" i="10"/>
  <c r="I112" i="10" s="1"/>
  <c r="L98" i="10"/>
  <c r="S126" i="10"/>
  <c r="U126" i="10" s="1"/>
  <c r="J110" i="10" l="1"/>
  <c r="M39" i="5"/>
  <c r="C80" i="10"/>
  <c r="E80" i="10" s="1"/>
  <c r="M98" i="10"/>
  <c r="O98" i="10" s="1"/>
  <c r="T126" i="10"/>
  <c r="I113" i="10"/>
  <c r="D80" i="10" l="1"/>
  <c r="N21" i="5"/>
  <c r="N22" i="5" s="1"/>
  <c r="N34" i="5" s="1"/>
  <c r="N39" i="5" s="1"/>
  <c r="M47" i="5"/>
  <c r="M49" i="5" s="1"/>
  <c r="N48" i="5" s="1"/>
  <c r="N98" i="10"/>
  <c r="R127" i="10"/>
  <c r="N46" i="5" l="1"/>
  <c r="N47" i="5" s="1"/>
  <c r="N49" i="5" s="1"/>
  <c r="O48" i="5" s="1"/>
  <c r="B81" i="10"/>
  <c r="L99" i="10"/>
  <c r="S127" i="10"/>
  <c r="U127" i="10" s="1"/>
  <c r="C81" i="10" l="1"/>
  <c r="E81" i="10" s="1"/>
  <c r="T127" i="10"/>
  <c r="M99" i="10"/>
  <c r="O99" i="10" s="1"/>
  <c r="D81" i="10" l="1"/>
  <c r="O21" i="5"/>
  <c r="O22" i="5" s="1"/>
  <c r="O34" i="5" s="1"/>
  <c r="O39" i="5" s="1"/>
  <c r="N99" i="10"/>
  <c r="R128" i="10"/>
  <c r="O46" i="5" l="1"/>
  <c r="O47" i="5" s="1"/>
  <c r="O49" i="5" s="1"/>
  <c r="P48" i="5" s="1"/>
  <c r="B82" i="10"/>
  <c r="L100" i="10"/>
  <c r="S128" i="10"/>
  <c r="U128" i="10" s="1"/>
  <c r="C82" i="10" l="1"/>
  <c r="E82" i="10" s="1"/>
  <c r="M100" i="10"/>
  <c r="O100" i="10" s="1"/>
  <c r="T128" i="10"/>
  <c r="P21" i="5" l="1"/>
  <c r="D82" i="10"/>
  <c r="C83" i="10"/>
  <c r="R129" i="10"/>
  <c r="N100" i="10"/>
  <c r="P46" i="5" l="1"/>
  <c r="Q46" i="5" s="1"/>
  <c r="D83" i="10"/>
  <c r="D85" i="10" s="1"/>
  <c r="G71" i="10"/>
  <c r="P22" i="5"/>
  <c r="Q21" i="5"/>
  <c r="D21" i="6" s="1"/>
  <c r="L101" i="10"/>
  <c r="S129" i="10"/>
  <c r="U129" i="10" s="1"/>
  <c r="H71" i="10" l="1"/>
  <c r="J71" i="10" s="1"/>
  <c r="D86" i="10"/>
  <c r="D24" i="7"/>
  <c r="J21" i="6"/>
  <c r="D26" i="7"/>
  <c r="D33" i="6"/>
  <c r="D22" i="6"/>
  <c r="P34" i="5"/>
  <c r="Q22" i="5"/>
  <c r="E83" i="10"/>
  <c r="M101" i="10"/>
  <c r="O101" i="10" s="1"/>
  <c r="T129" i="10"/>
  <c r="C239" i="10" l="1"/>
  <c r="C240" i="10" s="1"/>
  <c r="C241" i="10" s="1"/>
  <c r="Q23" i="5" s="1"/>
  <c r="Q24" i="5" s="1"/>
  <c r="P39" i="5"/>
  <c r="Q34" i="5"/>
  <c r="P31" i="10"/>
  <c r="D31" i="7"/>
  <c r="B32" i="8"/>
  <c r="I71" i="10"/>
  <c r="B29" i="10"/>
  <c r="R130" i="10"/>
  <c r="N101" i="10"/>
  <c r="B34" i="8" l="1"/>
  <c r="B13" i="8"/>
  <c r="B15" i="8" s="1"/>
  <c r="B30" i="10"/>
  <c r="P47" i="5"/>
  <c r="P49" i="5" s="1"/>
  <c r="Q39" i="5"/>
  <c r="Q49" i="5" s="1"/>
  <c r="G72" i="10"/>
  <c r="D23" i="6"/>
  <c r="Q38" i="5"/>
  <c r="L102" i="10"/>
  <c r="S130" i="10"/>
  <c r="U130" i="10" l="1"/>
  <c r="T130" i="10" s="1"/>
  <c r="R131" i="10" s="1"/>
  <c r="S131" i="10" s="1"/>
  <c r="H72" i="10"/>
  <c r="J72" i="10" s="1"/>
  <c r="B32" i="10"/>
  <c r="K22" i="6"/>
  <c r="J13" i="6"/>
  <c r="E28" i="7"/>
  <c r="D24" i="6"/>
  <c r="E41" i="6" s="1"/>
  <c r="M102" i="10"/>
  <c r="O102" i="10" s="1"/>
  <c r="U131" i="10" l="1"/>
  <c r="T131" i="10" s="1"/>
  <c r="R132" i="10" s="1"/>
  <c r="S132" i="10" s="1"/>
  <c r="K23" i="6"/>
  <c r="D18" i="8"/>
  <c r="C38" i="8"/>
  <c r="E30" i="7"/>
  <c r="C9" i="8"/>
  <c r="C11" i="8" s="1"/>
  <c r="J9" i="6"/>
  <c r="J14" i="6" s="1"/>
  <c r="J27" i="6" s="1"/>
  <c r="E21" i="7"/>
  <c r="E22" i="7" s="1"/>
  <c r="E42" i="6"/>
  <c r="F20" i="7" s="1"/>
  <c r="I72" i="10"/>
  <c r="C29" i="10"/>
  <c r="N102" i="10"/>
  <c r="U132" i="10" l="1"/>
  <c r="T132" i="10" s="1"/>
  <c r="R133" i="10" s="1"/>
  <c r="S133" i="10" s="1"/>
  <c r="K26" i="6"/>
  <c r="E16" i="7"/>
  <c r="C30" i="10"/>
  <c r="G73" i="10"/>
  <c r="L103" i="10"/>
  <c r="U133" i="10" l="1"/>
  <c r="T133" i="10" s="1"/>
  <c r="R134" i="10" s="1"/>
  <c r="S134" i="10" s="1"/>
  <c r="C32" i="10"/>
  <c r="H73" i="10"/>
  <c r="J73" i="10" s="1"/>
  <c r="E17" i="7"/>
  <c r="E18" i="7" s="1"/>
  <c r="C37" i="8"/>
  <c r="C39" i="8" s="1"/>
  <c r="C40" i="8" s="1"/>
  <c r="M103" i="10"/>
  <c r="O103" i="10" s="1"/>
  <c r="U134" i="10" l="1"/>
  <c r="T134" i="10" s="1"/>
  <c r="R135" i="10" s="1"/>
  <c r="S135" i="10" s="1"/>
  <c r="I73" i="10"/>
  <c r="D29" i="10"/>
  <c r="C14" i="8"/>
  <c r="C15" i="8" s="1"/>
  <c r="C20" i="8"/>
  <c r="N103" i="10"/>
  <c r="L104" i="10" s="1"/>
  <c r="U135" i="10" l="1"/>
  <c r="T135" i="10" s="1"/>
  <c r="R136" i="10" s="1"/>
  <c r="S136" i="10" s="1"/>
  <c r="U136" i="10" s="1"/>
  <c r="D30" i="10"/>
  <c r="G74" i="10"/>
  <c r="M104" i="10"/>
  <c r="O104" i="10" s="1"/>
  <c r="H74" i="10" l="1"/>
  <c r="J74" i="10" s="1"/>
  <c r="D32" i="10"/>
  <c r="N104" i="10"/>
  <c r="L105" i="10" s="1"/>
  <c r="T136" i="10"/>
  <c r="S137" i="10"/>
  <c r="I74" i="10" l="1"/>
  <c r="E29" i="10"/>
  <c r="M105" i="10"/>
  <c r="O105" i="10" s="1"/>
  <c r="T137" i="10"/>
  <c r="W125" i="10"/>
  <c r="E30" i="10" l="1"/>
  <c r="G75" i="10"/>
  <c r="X125" i="10"/>
  <c r="T139" i="10"/>
  <c r="U137" i="10"/>
  <c r="N105" i="10"/>
  <c r="L106" i="10" s="1"/>
  <c r="H75" i="10" l="1"/>
  <c r="J75" i="10" s="1"/>
  <c r="E32" i="10"/>
  <c r="T140" i="10"/>
  <c r="Y139" i="10"/>
  <c r="Z140" i="10" s="1"/>
  <c r="M106" i="10"/>
  <c r="O106" i="10" s="1"/>
  <c r="Y125" i="10"/>
  <c r="I75" i="10" l="1"/>
  <c r="F29" i="10"/>
  <c r="N106" i="10"/>
  <c r="L107" i="10" s="1"/>
  <c r="W126" i="10"/>
  <c r="F30" i="10" l="1"/>
  <c r="G76" i="10"/>
  <c r="X126" i="10"/>
  <c r="M107" i="10"/>
  <c r="O107" i="10" s="1"/>
  <c r="H76" i="10" l="1"/>
  <c r="J76" i="10" s="1"/>
  <c r="F32" i="10"/>
  <c r="N107" i="10"/>
  <c r="L108" i="10" s="1"/>
  <c r="Y126" i="10"/>
  <c r="I76" i="10" l="1"/>
  <c r="G77" i="10" s="1"/>
  <c r="G29" i="10"/>
  <c r="G30" i="10" s="1"/>
  <c r="G32" i="10" s="1"/>
  <c r="M108" i="10"/>
  <c r="O108" i="10" s="1"/>
  <c r="W127" i="10"/>
  <c r="H77" i="10" l="1"/>
  <c r="J77" i="10" s="1"/>
  <c r="X127" i="10"/>
  <c r="N108" i="10"/>
  <c r="L109" i="10" s="1"/>
  <c r="I77" i="10" l="1"/>
  <c r="G78" i="10" s="1"/>
  <c r="H29" i="10"/>
  <c r="H30" i="10" s="1"/>
  <c r="H32" i="10" s="1"/>
  <c r="M109" i="10"/>
  <c r="O109" i="10" s="1"/>
  <c r="Y127" i="10"/>
  <c r="H78" i="10" l="1"/>
  <c r="J78" i="10" s="1"/>
  <c r="W128" i="10"/>
  <c r="N109" i="10"/>
  <c r="M110" i="10"/>
  <c r="I78" i="10" l="1"/>
  <c r="G79" i="10" s="1"/>
  <c r="I29" i="10"/>
  <c r="I30" i="10" s="1"/>
  <c r="I32" i="10" s="1"/>
  <c r="N110" i="10"/>
  <c r="Q98" i="10"/>
  <c r="X128" i="10"/>
  <c r="H79" i="10" l="1"/>
  <c r="J79" i="10" s="1"/>
  <c r="Y128" i="10"/>
  <c r="R98" i="10"/>
  <c r="N112" i="10"/>
  <c r="O110" i="10"/>
  <c r="I79" i="10" l="1"/>
  <c r="G80" i="10" s="1"/>
  <c r="J29" i="10"/>
  <c r="J30" i="10" s="1"/>
  <c r="J32" i="10" s="1"/>
  <c r="W129" i="10"/>
  <c r="N113" i="10"/>
  <c r="S98" i="10"/>
  <c r="H80" i="10" l="1"/>
  <c r="J80" i="10" s="1"/>
  <c r="Q99" i="10"/>
  <c r="X129" i="10"/>
  <c r="I80" i="10" l="1"/>
  <c r="G81" i="10" s="1"/>
  <c r="K29" i="10"/>
  <c r="K30" i="10" s="1"/>
  <c r="K32" i="10" s="1"/>
  <c r="R99" i="10"/>
  <c r="Y129" i="10"/>
  <c r="H81" i="10" l="1"/>
  <c r="J81" i="10" s="1"/>
  <c r="S99" i="10"/>
  <c r="W130" i="10"/>
  <c r="I81" i="10" l="1"/>
  <c r="G82" i="10" s="1"/>
  <c r="L29" i="10"/>
  <c r="L30" i="10" s="1"/>
  <c r="L32" i="10" s="1"/>
  <c r="X130" i="10"/>
  <c r="Y130" i="10" s="1"/>
  <c r="W131" i="10" s="1"/>
  <c r="Q100" i="10"/>
  <c r="H82" i="10" l="1"/>
  <c r="J82" i="10" s="1"/>
  <c r="X131" i="10"/>
  <c r="Y131" i="10" s="1"/>
  <c r="W132" i="10" s="1"/>
  <c r="R100" i="10"/>
  <c r="I82" i="10" l="1"/>
  <c r="M29" i="10"/>
  <c r="H83" i="10"/>
  <c r="S100" i="10"/>
  <c r="X132" i="10"/>
  <c r="Y132" i="10" s="1"/>
  <c r="W133" i="10" s="1"/>
  <c r="M30" i="10" l="1"/>
  <c r="N29" i="10"/>
  <c r="E21" i="6" s="1"/>
  <c r="I83" i="10"/>
  <c r="I85" i="10" s="1"/>
  <c r="L71" i="10"/>
  <c r="X133" i="10"/>
  <c r="Y133" i="10" s="1"/>
  <c r="W134" i="10" s="1"/>
  <c r="Q101" i="10"/>
  <c r="E22" i="6" l="1"/>
  <c r="E33" i="6"/>
  <c r="E26" i="7"/>
  <c r="K21" i="6"/>
  <c r="E24" i="7"/>
  <c r="I86" i="10"/>
  <c r="M32" i="10"/>
  <c r="N30" i="10"/>
  <c r="M71" i="10"/>
  <c r="J83" i="10"/>
  <c r="X134" i="10"/>
  <c r="Y134" i="10" s="1"/>
  <c r="W135" i="10" s="1"/>
  <c r="R101" i="10"/>
  <c r="N71" i="10" l="1"/>
  <c r="B55" i="10"/>
  <c r="Q31" i="10"/>
  <c r="C32" i="8"/>
  <c r="C34" i="8" s="1"/>
  <c r="E31" i="7"/>
  <c r="D239" i="10"/>
  <c r="D240" i="10" s="1"/>
  <c r="D241" i="10" s="1"/>
  <c r="N31" i="10" s="1"/>
  <c r="E23" i="6" s="1"/>
  <c r="S101" i="10"/>
  <c r="X135" i="10"/>
  <c r="Y135" i="10" s="1"/>
  <c r="W136" i="10" s="1"/>
  <c r="X136" i="10" s="1"/>
  <c r="C19" i="8" l="1"/>
  <c r="C21" i="8" s="1"/>
  <c r="F28" i="7"/>
  <c r="L22" i="6"/>
  <c r="K13" i="6"/>
  <c r="L72" i="10"/>
  <c r="E24" i="6"/>
  <c r="F41" i="6" s="1"/>
  <c r="B56" i="10"/>
  <c r="N32" i="10"/>
  <c r="Y136" i="10"/>
  <c r="Y137" i="10" s="1"/>
  <c r="X137" i="10"/>
  <c r="Q102" i="10"/>
  <c r="M72" i="10" l="1"/>
  <c r="B58" i="10"/>
  <c r="D38" i="8"/>
  <c r="F30" i="7"/>
  <c r="F42" i="6"/>
  <c r="G20" i="7" s="1"/>
  <c r="E18" i="8"/>
  <c r="L23" i="6"/>
  <c r="K9" i="6"/>
  <c r="K14" i="6" s="1"/>
  <c r="K25" i="6" s="1"/>
  <c r="K27" i="6" s="1"/>
  <c r="D9" i="8"/>
  <c r="D11" i="8" s="1"/>
  <c r="F21" i="7"/>
  <c r="F22" i="7" s="1"/>
  <c r="R102" i="10"/>
  <c r="Z137" i="10"/>
  <c r="N72" i="10" l="1"/>
  <c r="C55" i="10"/>
  <c r="L26" i="6"/>
  <c r="F16" i="7"/>
  <c r="S102" i="10"/>
  <c r="D37" i="8" l="1"/>
  <c r="D39" i="8" s="1"/>
  <c r="D40" i="8" s="1"/>
  <c r="F17" i="7"/>
  <c r="F18" i="7" s="1"/>
  <c r="C56" i="10"/>
  <c r="L73" i="10"/>
  <c r="Q103" i="10"/>
  <c r="C58" i="10" l="1"/>
  <c r="M73" i="10"/>
  <c r="D20" i="8"/>
  <c r="D14" i="8"/>
  <c r="D15" i="8" s="1"/>
  <c r="R103" i="10"/>
  <c r="S103" i="10" s="1"/>
  <c r="Q104" i="10" s="1"/>
  <c r="N73" i="10" l="1"/>
  <c r="D55" i="10"/>
  <c r="R104" i="10"/>
  <c r="S104" i="10" s="1"/>
  <c r="Q105" i="10" s="1"/>
  <c r="D56" i="10" l="1"/>
  <c r="L74" i="10"/>
  <c r="R105" i="10"/>
  <c r="S105" i="10" s="1"/>
  <c r="Q106" i="10" s="1"/>
  <c r="M74" i="10" l="1"/>
  <c r="D58" i="10"/>
  <c r="R106" i="10"/>
  <c r="S106" i="10" s="1"/>
  <c r="Q107" i="10" s="1"/>
  <c r="N74" i="10" l="1"/>
  <c r="E55" i="10"/>
  <c r="R107" i="10"/>
  <c r="S107" i="10" s="1"/>
  <c r="Q108" i="10" s="1"/>
  <c r="E56" i="10" l="1"/>
  <c r="L75" i="10"/>
  <c r="R108" i="10"/>
  <c r="S108" i="10" s="1"/>
  <c r="Q109" i="10" s="1"/>
  <c r="M75" i="10" l="1"/>
  <c r="E58" i="10"/>
  <c r="R109" i="10"/>
  <c r="N75" i="10" l="1"/>
  <c r="F55" i="10"/>
  <c r="S109" i="10"/>
  <c r="R110" i="10"/>
  <c r="F56" i="10" l="1"/>
  <c r="L76" i="10"/>
  <c r="S110" i="10"/>
  <c r="V98" i="10"/>
  <c r="M76" i="10" l="1"/>
  <c r="F58" i="10"/>
  <c r="W98" i="10"/>
  <c r="S112" i="10"/>
  <c r="T110" i="10"/>
  <c r="N76" i="10" l="1"/>
  <c r="L77" i="10" s="1"/>
  <c r="G55" i="10"/>
  <c r="G56" i="10" s="1"/>
  <c r="G58" i="10" s="1"/>
  <c r="X112" i="10"/>
  <c r="S113" i="10"/>
  <c r="X98" i="10"/>
  <c r="M77" i="10" l="1"/>
  <c r="Y113" i="10"/>
  <c r="V99" i="10"/>
  <c r="N77" i="10" l="1"/>
  <c r="L78" i="10" s="1"/>
  <c r="H55" i="10"/>
  <c r="H56" i="10" s="1"/>
  <c r="H58" i="10" s="1"/>
  <c r="W99" i="10"/>
  <c r="M78" i="10" l="1"/>
  <c r="X99" i="10"/>
  <c r="N78" i="10" l="1"/>
  <c r="L79" i="10" s="1"/>
  <c r="I55" i="10"/>
  <c r="I56" i="10" s="1"/>
  <c r="I58" i="10" s="1"/>
  <c r="V100" i="10"/>
  <c r="M79" i="10" l="1"/>
  <c r="W100" i="10"/>
  <c r="N79" i="10" l="1"/>
  <c r="L80" i="10" s="1"/>
  <c r="J55" i="10"/>
  <c r="J56" i="10" s="1"/>
  <c r="J58" i="10" s="1"/>
  <c r="X100" i="10"/>
  <c r="M80" i="10" l="1"/>
  <c r="V101" i="10"/>
  <c r="N80" i="10" l="1"/>
  <c r="L81" i="10" s="1"/>
  <c r="K55" i="10"/>
  <c r="K56" i="10" s="1"/>
  <c r="K58" i="10" s="1"/>
  <c r="W101" i="10"/>
  <c r="M81" i="10" l="1"/>
  <c r="X101" i="10"/>
  <c r="N81" i="10" l="1"/>
  <c r="L82" i="10" s="1"/>
  <c r="L55" i="10"/>
  <c r="L56" i="10" s="1"/>
  <c r="L58" i="10" s="1"/>
  <c r="V102" i="10"/>
  <c r="M82" i="10" l="1"/>
  <c r="W102" i="10"/>
  <c r="N82" i="10" l="1"/>
  <c r="M55" i="10"/>
  <c r="M83" i="10"/>
  <c r="X102" i="10"/>
  <c r="M56" i="10" l="1"/>
  <c r="N55" i="10"/>
  <c r="F21" i="6" s="1"/>
  <c r="N83" i="10"/>
  <c r="N85" i="10" s="1"/>
  <c r="Q71" i="10"/>
  <c r="V103" i="10"/>
  <c r="F26" i="7" l="1"/>
  <c r="L21" i="6"/>
  <c r="F24" i="7"/>
  <c r="N86" i="10"/>
  <c r="F22" i="6"/>
  <c r="F33" i="6"/>
  <c r="M58" i="10"/>
  <c r="N56" i="10"/>
  <c r="R71" i="10"/>
  <c r="O83" i="10"/>
  <c r="W103" i="10"/>
  <c r="X103" i="10" s="1"/>
  <c r="V104" i="10" s="1"/>
  <c r="D32" i="8" l="1"/>
  <c r="D34" i="8" s="1"/>
  <c r="D19" i="8" s="1"/>
  <c r="D21" i="8" s="1"/>
  <c r="F31" i="7"/>
  <c r="S71" i="10"/>
  <c r="E239" i="10"/>
  <c r="E240" i="10" s="1"/>
  <c r="E241" i="10" s="1"/>
  <c r="N57" i="10" s="1"/>
  <c r="W104" i="10"/>
  <c r="X104" i="10" s="1"/>
  <c r="V105" i="10" s="1"/>
  <c r="Q72" i="10" l="1"/>
  <c r="N58" i="10"/>
  <c r="Q57" i="10"/>
  <c r="F23" i="6"/>
  <c r="W105" i="10"/>
  <c r="X105" i="10" s="1"/>
  <c r="V106" i="10" s="1"/>
  <c r="R72" i="10" l="1"/>
  <c r="G28" i="7"/>
  <c r="L13" i="6"/>
  <c r="F24" i="6"/>
  <c r="W106" i="10"/>
  <c r="X106" i="10" s="1"/>
  <c r="V107" i="10" s="1"/>
  <c r="S72" i="10" l="1"/>
  <c r="G30" i="7"/>
  <c r="E38" i="8"/>
  <c r="G21" i="7"/>
  <c r="G22" i="7" s="1"/>
  <c r="L9" i="6"/>
  <c r="L14" i="6" s="1"/>
  <c r="L25" i="6" s="1"/>
  <c r="L27" i="6" s="1"/>
  <c r="G16" i="7" s="1"/>
  <c r="E9" i="8"/>
  <c r="E11" i="8" s="1"/>
  <c r="W107" i="10"/>
  <c r="X107" i="10" s="1"/>
  <c r="V108" i="10" s="1"/>
  <c r="E37" i="8" l="1"/>
  <c r="E39" i="8" s="1"/>
  <c r="E40" i="8" s="1"/>
  <c r="G17" i="7"/>
  <c r="G18" i="7" s="1"/>
  <c r="Q73" i="10"/>
  <c r="W108" i="10"/>
  <c r="X108" i="10" s="1"/>
  <c r="V109" i="10" s="1"/>
  <c r="W109" i="10" s="1"/>
  <c r="R73" i="10" l="1"/>
  <c r="E20" i="8"/>
  <c r="E14" i="8"/>
  <c r="E15" i="8" s="1"/>
  <c r="X109" i="10"/>
  <c r="X110" i="10" s="1"/>
  <c r="W110" i="10"/>
  <c r="Y110" i="10" l="1"/>
  <c r="S73" i="10"/>
  <c r="Q74" i="10" l="1"/>
  <c r="R74" i="10" l="1"/>
  <c r="S74" i="10" l="1"/>
  <c r="Q75" i="10" l="1"/>
  <c r="R75" i="10" l="1"/>
  <c r="S75" i="10" l="1"/>
  <c r="Q76" i="10" l="1"/>
  <c r="R76" i="10" l="1"/>
  <c r="S76" i="10" s="1"/>
  <c r="Q77" i="10" s="1"/>
  <c r="R77" i="10" l="1"/>
  <c r="S77" i="10" s="1"/>
  <c r="Q78" i="10" s="1"/>
  <c r="R78" i="10" l="1"/>
  <c r="S78" i="10" s="1"/>
  <c r="Q79" i="10" s="1"/>
  <c r="R79" i="10" l="1"/>
  <c r="S79" i="10" s="1"/>
  <c r="Q80" i="10" s="1"/>
  <c r="R80" i="10" l="1"/>
  <c r="S80" i="10" s="1"/>
  <c r="Q81" i="10" s="1"/>
  <c r="R81" i="10" l="1"/>
  <c r="S81" i="10" s="1"/>
  <c r="Q82" i="10" s="1"/>
  <c r="R82" i="10" l="1"/>
  <c r="S82" i="10" l="1"/>
  <c r="R83" i="10"/>
  <c r="S83" i="10" l="1"/>
  <c r="S85" i="10" s="1"/>
  <c r="V71" i="10"/>
  <c r="W71" i="10" l="1"/>
  <c r="G26" i="7"/>
  <c r="X85" i="10"/>
  <c r="S86" i="10"/>
  <c r="T83" i="10"/>
  <c r="Y86" i="10" l="1"/>
  <c r="G24" i="7"/>
  <c r="X71" i="10"/>
  <c r="V72" i="10" l="1"/>
  <c r="E32" i="8"/>
  <c r="E34" i="8" s="1"/>
  <c r="E19" i="8" s="1"/>
  <c r="E21" i="8" s="1"/>
  <c r="G31" i="7"/>
  <c r="W72" i="10" l="1"/>
  <c r="X72" i="10" l="1"/>
  <c r="V73" i="10" l="1"/>
  <c r="W73" i="10" l="1"/>
  <c r="X73" i="10" l="1"/>
  <c r="V74" i="10" l="1"/>
  <c r="W74" i="10" l="1"/>
  <c r="X74" i="10" l="1"/>
  <c r="V75" i="10" l="1"/>
  <c r="W75" i="10" l="1"/>
  <c r="X75" i="10" l="1"/>
  <c r="V76" i="10" l="1"/>
  <c r="W76" i="10" l="1"/>
  <c r="X76" i="10" s="1"/>
  <c r="V77" i="10" s="1"/>
  <c r="W77" i="10" l="1"/>
  <c r="X77" i="10" s="1"/>
  <c r="V78" i="10" s="1"/>
  <c r="W78" i="10" l="1"/>
  <c r="X78" i="10" s="1"/>
  <c r="V79" i="10" s="1"/>
  <c r="W79" i="10" l="1"/>
  <c r="X79" i="10" s="1"/>
  <c r="V80" i="10" s="1"/>
  <c r="W80" i="10" l="1"/>
  <c r="X80" i="10" s="1"/>
  <c r="V81" i="10" s="1"/>
  <c r="W81" i="10" l="1"/>
  <c r="X81" i="10" s="1"/>
  <c r="V82" i="10" s="1"/>
  <c r="W82" i="10" s="1"/>
  <c r="X82" i="10" l="1"/>
  <c r="X83" i="10" s="1"/>
  <c r="W83" i="10"/>
</calcChain>
</file>

<file path=xl/sharedStrings.xml><?xml version="1.0" encoding="utf-8"?>
<sst xmlns="http://schemas.openxmlformats.org/spreadsheetml/2006/main" count="568" uniqueCount="318">
  <si>
    <t>2º Año</t>
  </si>
  <si>
    <t>Anual</t>
  </si>
  <si>
    <t>Carencia</t>
  </si>
  <si>
    <t>Euros</t>
  </si>
  <si>
    <t>Impuestos</t>
  </si>
  <si>
    <t>Importe</t>
  </si>
  <si>
    <t>Ventas</t>
  </si>
  <si>
    <t>Margen Cotribución Bruto</t>
  </si>
  <si>
    <t>Años</t>
  </si>
  <si>
    <t xml:space="preserve">Costes Fijos </t>
  </si>
  <si>
    <t>BAIT</t>
  </si>
  <si>
    <t>% BAIT</t>
  </si>
  <si>
    <t>% Margen Contrib. Bruto</t>
  </si>
  <si>
    <t>Intereses Préstamo</t>
  </si>
  <si>
    <t>BAT</t>
  </si>
  <si>
    <t>RESULTADO FINAL</t>
  </si>
  <si>
    <t>Costes Fijos</t>
  </si>
  <si>
    <t>Amortizaciones Inversión</t>
  </si>
  <si>
    <t>Subvenciones</t>
  </si>
  <si>
    <t xml:space="preserve"> </t>
  </si>
  <si>
    <t>Material</t>
  </si>
  <si>
    <t>,</t>
  </si>
  <si>
    <t>Cobros</t>
  </si>
  <si>
    <t>Pagos</t>
  </si>
  <si>
    <t>Interés</t>
  </si>
  <si>
    <t>Período</t>
  </si>
  <si>
    <t>Capital Inicial</t>
  </si>
  <si>
    <t>Mes</t>
  </si>
  <si>
    <t>Intereses</t>
  </si>
  <si>
    <t>Amortización</t>
  </si>
  <si>
    <t>Cuota fija</t>
  </si>
  <si>
    <t>Inicial</t>
  </si>
  <si>
    <t>IVA %</t>
  </si>
  <si>
    <t>Amortización acumulada</t>
  </si>
  <si>
    <t>1º</t>
  </si>
  <si>
    <t>2º</t>
  </si>
  <si>
    <t>3º</t>
  </si>
  <si>
    <t>Beneficio a.d.i.</t>
  </si>
  <si>
    <t>Acumulado</t>
  </si>
  <si>
    <t>Gas</t>
  </si>
  <si>
    <t>3er Año</t>
  </si>
  <si>
    <t>Año 1</t>
  </si>
  <si>
    <t>Año 2</t>
  </si>
  <si>
    <t>Año 3</t>
  </si>
  <si>
    <t>Recargo equivalencia</t>
  </si>
  <si>
    <t>Pago mensual</t>
  </si>
  <si>
    <t>1er Año</t>
  </si>
  <si>
    <t>Arrendamiento financiero (Leasing)</t>
  </si>
  <si>
    <t>Inmovilizado inmaterial</t>
  </si>
  <si>
    <t>Pago anual</t>
  </si>
  <si>
    <t>Principal</t>
  </si>
  <si>
    <t>Amortizacion anual</t>
  </si>
  <si>
    <t>Total</t>
  </si>
  <si>
    <t>Deuda pendiente</t>
  </si>
  <si>
    <t>anual</t>
  </si>
  <si>
    <t>mensual</t>
  </si>
  <si>
    <t>Euros/mes</t>
  </si>
  <si>
    <t>diaria</t>
  </si>
  <si>
    <t>semanal</t>
  </si>
  <si>
    <t>Total mensual</t>
  </si>
  <si>
    <t>EBITDA</t>
  </si>
  <si>
    <t xml:space="preserve">Inicio </t>
  </si>
  <si>
    <t>Prestamo 1er año</t>
  </si>
  <si>
    <t>Cuota mensual</t>
  </si>
  <si>
    <t>Amortización anual</t>
  </si>
  <si>
    <t>Amorización acumulada</t>
  </si>
  <si>
    <t>4º Año</t>
  </si>
  <si>
    <t>5º Año</t>
  </si>
  <si>
    <t>Prestamo 2º año</t>
  </si>
  <si>
    <t>Prestamo 3er año</t>
  </si>
  <si>
    <t>Cuenta explotación 2º Año</t>
  </si>
  <si>
    <t>Cuenta explotación 3er año</t>
  </si>
  <si>
    <t>Amortización activos fijos</t>
  </si>
  <si>
    <t>Calculo impuesto sociedades</t>
  </si>
  <si>
    <t>Importe impuesto</t>
  </si>
  <si>
    <t>Intereses pendientes</t>
  </si>
  <si>
    <t>Intereses acumulados</t>
  </si>
  <si>
    <t>Total Arrendamiento financiero</t>
  </si>
  <si>
    <t>Inversió Inicial</t>
  </si>
  <si>
    <t>Import</t>
  </si>
  <si>
    <t>Anys amortització</t>
  </si>
  <si>
    <t>Suportat</t>
  </si>
  <si>
    <t xml:space="preserve">Inversió Inicial </t>
  </si>
  <si>
    <t>Existències</t>
  </si>
  <si>
    <t>Recàrec equival. %</t>
  </si>
  <si>
    <t>Despeses establiment</t>
  </si>
  <si>
    <t>Inversió  Inicial</t>
  </si>
  <si>
    <t>Total IVA suportat</t>
  </si>
  <si>
    <t>Tresoreria  Inicial</t>
  </si>
  <si>
    <t>Excedent/(Dèficit)</t>
  </si>
  <si>
    <t>Percentatge</t>
  </si>
  <si>
    <t>Repartiment Benefici</t>
  </si>
  <si>
    <t>Anys 1 a 3</t>
  </si>
  <si>
    <t>2º Any</t>
  </si>
  <si>
    <t>3er Any</t>
  </si>
  <si>
    <t>Préstec</t>
  </si>
  <si>
    <t>Interès</t>
  </si>
  <si>
    <t>Carència</t>
  </si>
  <si>
    <t>Quota:</t>
  </si>
  <si>
    <t>Finançament</t>
  </si>
  <si>
    <t>Mesos</t>
  </si>
  <si>
    <t xml:space="preserve">Aportació </t>
  </si>
  <si>
    <t>Arrendament financer (Leasing)</t>
  </si>
  <si>
    <t>Amortizació</t>
  </si>
  <si>
    <t>(2) Entrar un nombre enter d'anys</t>
  </si>
  <si>
    <t xml:space="preserve">Ingressos i Costos Mensuals Potencials </t>
  </si>
  <si>
    <t>Dies treball al mes</t>
  </si>
  <si>
    <t>Productes/Serveis</t>
  </si>
  <si>
    <t>Cost directe</t>
  </si>
  <si>
    <t>Preu venda</t>
  </si>
  <si>
    <t>Quantitat</t>
  </si>
  <si>
    <t>Costos</t>
  </si>
  <si>
    <t xml:space="preserve">Ingressos </t>
  </si>
  <si>
    <t>mitjà unitari</t>
  </si>
  <si>
    <t>mensuals</t>
  </si>
  <si>
    <t>Cobraments i Pagaments</t>
  </si>
  <si>
    <t>Al Comptat</t>
  </si>
  <si>
    <t>30 dies</t>
  </si>
  <si>
    <t>60 dies</t>
  </si>
  <si>
    <t xml:space="preserve">90 dies </t>
  </si>
  <si>
    <t>120 dies</t>
  </si>
  <si>
    <t>Cobraments</t>
  </si>
  <si>
    <t>Pagaments</t>
  </si>
  <si>
    <t>Distribució Mensual Ingressos</t>
  </si>
  <si>
    <t>% s/ Potencial ingressos</t>
  </si>
  <si>
    <t xml:space="preserve">Increment ingressos </t>
  </si>
  <si>
    <t>1er Any</t>
  </si>
  <si>
    <t>Total any</t>
  </si>
  <si>
    <t>Total any amb IPC</t>
  </si>
  <si>
    <t>Distribució Mensual Costos</t>
  </si>
  <si>
    <t>% s/ Potcial cost directe</t>
  </si>
  <si>
    <t>Variació cost directe</t>
  </si>
  <si>
    <t>IPC Estimat</t>
  </si>
  <si>
    <t>Altres Costos Proporcionals</t>
  </si>
  <si>
    <t>Concepte</t>
  </si>
  <si>
    <t>Primer any</t>
  </si>
  <si>
    <t>Despeses</t>
  </si>
  <si>
    <t>Segon any</t>
  </si>
  <si>
    <t>Tercer any</t>
  </si>
  <si>
    <t>Despeses de pesonal</t>
  </si>
  <si>
    <t>Sous i salaris</t>
  </si>
  <si>
    <t>Seguretat social</t>
  </si>
  <si>
    <t>Formació</t>
  </si>
  <si>
    <t>Tributs</t>
  </si>
  <si>
    <t>Serveis exteriors</t>
  </si>
  <si>
    <t>Arrendaments</t>
  </si>
  <si>
    <t>Manteniment</t>
  </si>
  <si>
    <t>Reparació i conservació</t>
  </si>
  <si>
    <t>Subministraments</t>
  </si>
  <si>
    <t>Aigua</t>
  </si>
  <si>
    <t>Electricitat</t>
  </si>
  <si>
    <t>Carburants i combustibles</t>
  </si>
  <si>
    <t>Telèfon</t>
  </si>
  <si>
    <t>Transmissió de dades</t>
  </si>
  <si>
    <t>Material oficina i fungible</t>
  </si>
  <si>
    <t>Correus i misatgeria</t>
  </si>
  <si>
    <t>Serveis generals</t>
  </si>
  <si>
    <t>Quotes i cànons</t>
  </si>
  <si>
    <t>Serveis professionals independents</t>
  </si>
  <si>
    <t>Despeses de viatge</t>
  </si>
  <si>
    <t xml:space="preserve">Transports </t>
  </si>
  <si>
    <t>Primes d'assegurances</t>
  </si>
  <si>
    <t>Publicitat, propaganda i RRPP</t>
  </si>
  <si>
    <t>Despeses activitat comercial</t>
  </si>
  <si>
    <t>Altres serveis exteriors</t>
  </si>
  <si>
    <t>Serveis bancaris i similars</t>
  </si>
  <si>
    <t>Subscripcions i documentació</t>
  </si>
  <si>
    <t>Total mensual amb IPC</t>
  </si>
  <si>
    <t>Compte de Resultats - Primer Any</t>
  </si>
  <si>
    <t>Vendes productes/serveis</t>
  </si>
  <si>
    <t>Cost directe de les vendes</t>
  </si>
  <si>
    <t>Marge contribució brut</t>
  </si>
  <si>
    <t>Despeses de personal</t>
  </si>
  <si>
    <t>Amortitzacions immobiltizat</t>
  </si>
  <si>
    <t>Resultat operatiu</t>
  </si>
  <si>
    <t>Despeses financeres</t>
  </si>
  <si>
    <t>Resultat abans impostos</t>
  </si>
  <si>
    <t>Impost societats</t>
  </si>
  <si>
    <t>% Marge contribució brut</t>
  </si>
  <si>
    <t>% Resultat operatiu</t>
  </si>
  <si>
    <t>Pla de Tresoreria - Primer any</t>
  </si>
  <si>
    <t>Influència dies de cobrament</t>
  </si>
  <si>
    <t>Influència dies de pagament</t>
  </si>
  <si>
    <t>Amortitzacions immobilitzat</t>
  </si>
  <si>
    <t>Flux de tresoreria</t>
  </si>
  <si>
    <t>Préstecs rebuts</t>
  </si>
  <si>
    <t>Inversió en existències</t>
  </si>
  <si>
    <t>Devolució de préstecs</t>
  </si>
  <si>
    <t>Tresoreria generada</t>
  </si>
  <si>
    <t>Tresoreria inicial</t>
  </si>
  <si>
    <t>Tresoreria final</t>
  </si>
  <si>
    <t>Per al càlcul diari d'ingressos</t>
  </si>
  <si>
    <t>Compte de Resultats</t>
  </si>
  <si>
    <t>Amortitzacions immobiltitzat</t>
  </si>
  <si>
    <t>Punt d'Equilibri</t>
  </si>
  <si>
    <t xml:space="preserve">Costos fixes /  % marge  </t>
  </si>
  <si>
    <t>contribució brut</t>
  </si>
  <si>
    <t>A Benefici repartit</t>
  </si>
  <si>
    <t>A Reserves</t>
  </si>
  <si>
    <t>Pla de Tresoreria</t>
  </si>
  <si>
    <t>Pagament impostos any anterior</t>
  </si>
  <si>
    <t>Benefici repartit</t>
  </si>
  <si>
    <t>Recuperació IVA suportat</t>
  </si>
  <si>
    <t>Arrendament Financer (Leasing)</t>
  </si>
  <si>
    <t>Balanç de Situació</t>
  </si>
  <si>
    <t>1er any</t>
  </si>
  <si>
    <t>2º any</t>
  </si>
  <si>
    <t>3er any</t>
  </si>
  <si>
    <t>Amortizació acumulada</t>
  </si>
  <si>
    <t>Clients</t>
  </si>
  <si>
    <t>Hisenda pública deutora</t>
  </si>
  <si>
    <t xml:space="preserve">Tresoreria </t>
  </si>
  <si>
    <t>Actiu circulant</t>
  </si>
  <si>
    <t>Reserves</t>
  </si>
  <si>
    <t>Patrimoni net</t>
  </si>
  <si>
    <t>Préstec a llarg termini</t>
  </si>
  <si>
    <t>Préstec a curt termini</t>
  </si>
  <si>
    <t>Hisenda pública creditora</t>
  </si>
  <si>
    <t>Proveïdors</t>
  </si>
  <si>
    <t>Passiu circulant</t>
  </si>
  <si>
    <t>Origen i Aplicació dels Fons</t>
  </si>
  <si>
    <t>Origen dels fons</t>
  </si>
  <si>
    <t>Amortitzacions</t>
  </si>
  <si>
    <t>Recursos generats per les operacions</t>
  </si>
  <si>
    <t>Ampliacions capital</t>
  </si>
  <si>
    <t>Variació endeutament</t>
  </si>
  <si>
    <t xml:space="preserve">Variació fons de maniobra           </t>
  </si>
  <si>
    <t>Total origens</t>
  </si>
  <si>
    <t>Aplicació dels fons</t>
  </si>
  <si>
    <t>Variació fons de maniobra</t>
  </si>
  <si>
    <t>Total aplicacions</t>
  </si>
  <si>
    <t>Immobilitzat material i intangible brut</t>
  </si>
  <si>
    <t>Immobilitzat material i intangible net</t>
  </si>
  <si>
    <t>Amortització Immobilitzat Anys 1 a 3</t>
  </si>
  <si>
    <t>Immobilizat material i intangible</t>
  </si>
  <si>
    <t>Inversió en immobilitzat</t>
  </si>
  <si>
    <t>Inversió en immobilitzat material i intangible</t>
  </si>
  <si>
    <t>Deute Balanç</t>
  </si>
  <si>
    <t>Deute nova</t>
  </si>
  <si>
    <t>Deute inicial</t>
  </si>
  <si>
    <t>Fons maniobra</t>
  </si>
  <si>
    <t>Variació foins maniobra</t>
  </si>
  <si>
    <t>Nota: No cal imprimir-lo doncs ha quedat eliminat en el PGC 2008.</t>
  </si>
  <si>
    <t>Altres ingressos</t>
  </si>
  <si>
    <t>Impost Beneficis</t>
  </si>
  <si>
    <t>Actiu corrent</t>
  </si>
  <si>
    <t>Passiu corrent</t>
  </si>
  <si>
    <t>Resultat de l'exercici</t>
  </si>
  <si>
    <t xml:space="preserve">Capital </t>
  </si>
  <si>
    <t xml:space="preserve">Resultat de l'exercici </t>
  </si>
  <si>
    <t>Impostos sobre beneficis</t>
  </si>
  <si>
    <t>IVA despeses establiment</t>
  </si>
  <si>
    <t>IVA despese establiment</t>
  </si>
  <si>
    <t>Mes 1</t>
  </si>
  <si>
    <t>Any</t>
  </si>
  <si>
    <t>Inici activitat</t>
  </si>
  <si>
    <t>PLA D'INVERSIÓ I DE FINANÇAMENT</t>
  </si>
  <si>
    <t>INGRESSOS I COSTOS</t>
  </si>
  <si>
    <t>DESPESES</t>
  </si>
  <si>
    <t>DESPESES FIXES</t>
  </si>
  <si>
    <t>Total Actiu</t>
  </si>
  <si>
    <t>Total Passiu</t>
  </si>
  <si>
    <t>(1) No es posible el càlcul amb terminis de carència superior a 48 mesos</t>
  </si>
  <si>
    <r>
      <t xml:space="preserve">Anys </t>
    </r>
    <r>
      <rPr>
        <b/>
        <sz val="10"/>
        <color indexed="60"/>
        <rFont val="Arial"/>
        <family val="2"/>
      </rPr>
      <t>(2)</t>
    </r>
  </si>
  <si>
    <r>
      <t xml:space="preserve">Mesos </t>
    </r>
    <r>
      <rPr>
        <b/>
        <sz val="10"/>
        <color indexed="60"/>
        <rFont val="Arial"/>
        <family val="2"/>
      </rPr>
      <t>(1)</t>
    </r>
  </si>
  <si>
    <t>Termini</t>
  </si>
  <si>
    <t xml:space="preserve">EMPRESA: </t>
  </si>
  <si>
    <t>Obres i instal·lacions local</t>
  </si>
  <si>
    <t>Mobiliari</t>
  </si>
  <si>
    <t>Terminal punt de venda</t>
  </si>
  <si>
    <t>Informàtica</t>
  </si>
  <si>
    <t>Maquinaria</t>
  </si>
  <si>
    <t>Instrumentació</t>
  </si>
  <si>
    <t>Constitució societat</t>
  </si>
  <si>
    <t>Dipòsit lloguer</t>
  </si>
  <si>
    <t>Lloguers 3 mesos inactius</t>
  </si>
  <si>
    <t>Ulleres sol</t>
  </si>
  <si>
    <t>Montures per a vidres graduats</t>
  </si>
  <si>
    <t>Vidres mono</t>
  </si>
  <si>
    <t>Vidres mono amb tractament</t>
  </si>
  <si>
    <t>Vidres progresius</t>
  </si>
  <si>
    <t>Vidres progresius amb tractament</t>
  </si>
  <si>
    <t>Lents de contacte</t>
  </si>
  <si>
    <t>Liquids manteniment</t>
  </si>
  <si>
    <t>Setembre</t>
  </si>
  <si>
    <t>Bosses</t>
  </si>
  <si>
    <t>Cordons</t>
  </si>
  <si>
    <t>Camuses</t>
  </si>
  <si>
    <t>Etoixos</t>
  </si>
  <si>
    <t xml:space="preserve">PER A MAJOR COMODITAT, IMPRIMIU AQUESTES INSTRUCCIONS ABANS DE COMENÇAR A INTRODUIR DADES </t>
  </si>
  <si>
    <t>LES CASELLES BLAVES I GROGUES SÓN PER A L'ENTRADA DE TEXTOS O XIFRES, LES ALTRES LES OMPLE AUTOMÀTICAMENT EL PROGRAMA</t>
  </si>
  <si>
    <t xml:space="preserve">PÀGINA 1 – INVERSIÓ INICIAL </t>
  </si>
  <si>
    <r>
      <rPr>
        <b/>
        <sz val="11"/>
        <color rgb="FFFF0000"/>
        <rFont val="Calibri"/>
        <family val="2"/>
      </rPr>
      <t>1.</t>
    </r>
    <r>
      <rPr>
        <sz val="11"/>
        <rFont val="Calibri"/>
        <family val="2"/>
      </rPr>
      <t xml:space="preserve"> A la columna C, relacionar els components de les immobilitzacions materials i intangibles, de la existències i de les despeses d'establiment. A les columnes D, E I F, posar el seu preu de cost, anys d'amortització i % d'IVA. Si és empresari autònom o societat civil (SCP) que vengui al detall i tributi per estimació objectiva (mòduls), el circulant portarà a més recàrrec d'equivalència.</t>
    </r>
  </si>
  <si>
    <r>
      <rPr>
        <b/>
        <sz val="11"/>
        <color rgb="FFFF0000"/>
        <rFont val="Calibri"/>
        <family val="2"/>
      </rPr>
      <t>2.</t>
    </r>
    <r>
      <rPr>
        <sz val="11"/>
        <rFont val="Calibri"/>
        <family val="2"/>
      </rPr>
      <t xml:space="preserve"> A les caselles M11 a M17, posar les característiques del préstec que se sol·licita. A la casella M19, apareix automàticament la quota mensual a satisfer un cop finalitzada la carència, si n'hi hagués. El programa no permet el càlcul per a terminis de carència superiors als 48 mesos.</t>
    </r>
  </si>
  <si>
    <r>
      <rPr>
        <b/>
        <sz val="11"/>
        <color rgb="FFFF0000"/>
        <rFont val="Calibri"/>
        <family val="2"/>
      </rPr>
      <t>3.</t>
    </r>
    <r>
      <rPr>
        <sz val="11"/>
        <rFont val="Calibri"/>
        <family val="2"/>
      </rPr>
      <t xml:space="preserve"> A les caselles Q11 a Q15, posar les característiques de l'arrendament financer (lísing) que es contracti. A la casella Q19 apareix automàticament la quota mensual.</t>
    </r>
  </si>
  <si>
    <r>
      <rPr>
        <sz val="11"/>
        <color rgb="FFFF0000"/>
        <rFont val="Calibri"/>
        <family val="2"/>
      </rPr>
      <t>4.</t>
    </r>
    <r>
      <rPr>
        <sz val="11"/>
        <rFont val="Calibri"/>
        <family val="2"/>
      </rPr>
      <t xml:space="preserve"> A la casella M23, posar l'aportació Inicial que es desemborsarà per a l'inici de l'activitat empresarial, que constituirà el Capital Propi de l'empresa.</t>
    </r>
  </si>
  <si>
    <r>
      <rPr>
        <b/>
        <sz val="11"/>
        <color rgb="FFFF0000"/>
        <rFont val="Calibri"/>
        <family val="2"/>
      </rPr>
      <t>5.</t>
    </r>
    <r>
      <rPr>
        <sz val="11"/>
        <rFont val="Calibri"/>
        <family val="2"/>
      </rPr>
      <t xml:space="preserve"> A la casella D43, apareixerà la tresoreria resultant. (Capital Propi + Préstec - Actiu Fix - Actiu Circulant - IVA - Recàrrec d'Equivalència si n'hi ha) Si la tresoreria resulta negativa, s'haurà de disminuir la inversió en actius o augmentar el Capital propi o l'import del préstec.</t>
    </r>
  </si>
  <si>
    <r>
      <rPr>
        <sz val="11"/>
        <color rgb="FFFF0000"/>
        <rFont val="Calibri"/>
        <family val="2"/>
      </rPr>
      <t>6.</t>
    </r>
    <r>
      <rPr>
        <sz val="11"/>
        <rFont val="Calibri"/>
        <family val="2"/>
      </rPr>
      <t xml:space="preserve"> A la casella L43, es posarà el tant per cent d'IRPF o IS (Impost de Societats) que es prevegi que s’haurà de pagar.</t>
    </r>
  </si>
  <si>
    <t xml:space="preserve">PÀGINA 2 – INGRESSOS </t>
  </si>
  <si>
    <r>
      <rPr>
        <b/>
        <sz val="11"/>
        <color rgb="FFFF0000"/>
        <rFont val="Calibri"/>
        <family val="2"/>
      </rPr>
      <t>1.</t>
    </r>
    <r>
      <rPr>
        <sz val="11"/>
        <rFont val="Calibri"/>
        <family val="2"/>
      </rPr>
      <t xml:space="preserve"> Si l'estimació de les vendes s'ha de fer per dia, a la casella G10 es posarà el nombre mitjà de dies que es treballen per mes.</t>
    </r>
  </si>
  <si>
    <r>
      <rPr>
        <b/>
        <sz val="11"/>
        <color rgb="FFFF0000"/>
        <rFont val="Calibri"/>
        <family val="2"/>
      </rPr>
      <t>2.</t>
    </r>
    <r>
      <rPr>
        <sz val="11"/>
        <rFont val="Calibri"/>
        <family val="2"/>
      </rPr>
      <t xml:space="preserve"> A la columna C, files 14a 38, ​​posar els productes o famílies de productes a comercialitzar. A la columna D el seu cost directe unitari i a la columna E el seu preu de venda mitjà.</t>
    </r>
  </si>
  <si>
    <r>
      <rPr>
        <b/>
        <sz val="11"/>
        <color rgb="FFFF0000"/>
        <rFont val="Calibri"/>
        <family val="2"/>
      </rPr>
      <t>3.</t>
    </r>
    <r>
      <rPr>
        <sz val="11"/>
        <rFont val="Calibri"/>
        <family val="2"/>
      </rPr>
      <t xml:space="preserve"> En una de les columnes F, G i H, es posarà la quantitat diària, setmanal o mensual que s'estimi vendre un cop passats els primers mesos d'introducció al mercat.</t>
    </r>
  </si>
  <si>
    <r>
      <rPr>
        <b/>
        <sz val="11"/>
        <color rgb="FFFF0000"/>
        <rFont val="Calibri"/>
        <family val="2"/>
      </rPr>
      <t>4.</t>
    </r>
    <r>
      <rPr>
        <sz val="11"/>
        <rFont val="Calibri"/>
        <family val="2"/>
      </rPr>
      <t xml:space="preserve"> En les caselles P46 i Q46, posar el % d'increment de l'IPC que s'estimi per al segon i tercer any. Afectarà tots els preus que s'incloguin en el sistema.</t>
    </r>
  </si>
  <si>
    <r>
      <rPr>
        <b/>
        <sz val="11"/>
        <color rgb="FFFF0000"/>
        <rFont val="Calibri"/>
        <family val="2"/>
      </rPr>
      <t>5.</t>
    </r>
    <r>
      <rPr>
        <sz val="11"/>
        <rFont val="Calibri"/>
        <family val="2"/>
      </rPr>
      <t xml:space="preserve"> A la columna O, files 11 a 22, incloure el % que s'estima vendre durant els dotze primers mesos, sobre la xifra total de vendes mensuals que apareix a la casella J39.</t>
    </r>
  </si>
  <si>
    <r>
      <rPr>
        <b/>
        <sz val="11"/>
        <color rgb="FFFF0000"/>
        <rFont val="Calibri"/>
        <family val="2"/>
      </rPr>
      <t>6.</t>
    </r>
    <r>
      <rPr>
        <sz val="11"/>
        <rFont val="Calibri"/>
        <family val="2"/>
      </rPr>
      <t xml:space="preserve"> A la casella P22, posar el % d'increment de vendes per al segon any, (augment de l'IPC a part) referit a la casella O23 on apareix el total del primer any.</t>
    </r>
  </si>
  <si>
    <r>
      <rPr>
        <b/>
        <sz val="11"/>
        <color rgb="FFFF0000"/>
        <rFont val="Calibri"/>
        <family val="2"/>
      </rPr>
      <t>7.</t>
    </r>
    <r>
      <rPr>
        <sz val="11"/>
        <rFont val="Calibri"/>
        <family val="2"/>
      </rPr>
      <t xml:space="preserve"> Fer el mateix a la casella Q22, per obtenir la xifra de vendes del tercer any, (augment de l'IPC a part) per increment en % respecte de la casella P24.</t>
    </r>
  </si>
  <si>
    <r>
      <rPr>
        <b/>
        <sz val="11"/>
        <color rgb="FFFF0000"/>
        <rFont val="Calibri"/>
        <family val="2"/>
      </rPr>
      <t>8.</t>
    </r>
    <r>
      <rPr>
        <sz val="11"/>
        <rFont val="Calibri"/>
        <family val="2"/>
      </rPr>
      <t xml:space="preserve"> A la columna U, files 46 a 48, posar conceptes de despeses directes que siguin percentatges de la xifra total de vendes (comissions, transports, etc.) En les columnes V, W i X, posar els percentatges per als tres primers anys.</t>
    </r>
  </si>
  <si>
    <r>
      <rPr>
        <b/>
        <sz val="11"/>
        <color rgb="FFFF0000"/>
        <rFont val="Calibri"/>
        <family val="2"/>
      </rPr>
      <t>9.</t>
    </r>
    <r>
      <rPr>
        <sz val="11"/>
        <rFont val="Calibri"/>
        <family val="2"/>
      </rPr>
      <t xml:space="preserve"> A la columna V, files 11 a 22, està formulat el mateix percentatge que a la columna O de vendes, per distribuir els costos directes per mesos. Canviar només en el cas d'una estimació de la distribució per mesos diferents a la de les vendes.</t>
    </r>
  </si>
  <si>
    <r>
      <rPr>
        <b/>
        <sz val="11"/>
        <color rgb="FFFF0000"/>
        <rFont val="Calibri"/>
        <family val="2"/>
      </rPr>
      <t>10.</t>
    </r>
    <r>
      <rPr>
        <sz val="11"/>
        <rFont val="Calibri"/>
        <family val="2"/>
      </rPr>
      <t xml:space="preserve"> A les caselles W22 i X22, posar la variació en el cost del material, per al segon i tercer any, (IPC a part) sobre l'indicat a la columna D, files 14 a 38 només en el cas que sigui diferent a la de les vendes.</t>
    </r>
  </si>
  <si>
    <r>
      <rPr>
        <b/>
        <sz val="11"/>
        <color rgb="FFFF0000"/>
        <rFont val="Calibri"/>
        <family val="2"/>
      </rPr>
      <t>11.</t>
    </r>
    <r>
      <rPr>
        <sz val="11"/>
        <rFont val="Calibri"/>
        <family val="2"/>
      </rPr>
      <t xml:space="preserve"> En les columnes E, F, G i H de les files 46 i 47, indicar els % del total de Cobraments i Pagaments que es faran al comptat, o fins a 30, 60, 90 i 120 dies respectivament.</t>
    </r>
  </si>
  <si>
    <t xml:space="preserve">PÀGINA 3 – DESPESES FIXES </t>
  </si>
  <si>
    <r>
      <rPr>
        <b/>
        <sz val="11"/>
        <color rgb="FFFF0000"/>
        <rFont val="Calibri"/>
        <family val="2"/>
      </rPr>
      <t>1.</t>
    </r>
    <r>
      <rPr>
        <sz val="11"/>
        <rFont val="Calibri"/>
        <family val="2"/>
      </rPr>
      <t xml:space="preserve"> A les files 12 a 40 de la columna C, es relacionen despeses fixes habituals en la majoria d'empreses. A les files següents (41 A 44) s'hi poden afegir altres conceptes. En una de les columnes D o E, posar el seu import anual o mensual. Aquest import quedarà copiat en els dos anys següents.</t>
    </r>
  </si>
  <si>
    <r>
      <rPr>
        <b/>
        <sz val="11"/>
        <color rgb="FFFF0000"/>
        <rFont val="Calibri"/>
        <family val="2"/>
      </rPr>
      <t>2.</t>
    </r>
    <r>
      <rPr>
        <sz val="11"/>
        <rFont val="Calibri"/>
        <family val="2"/>
      </rPr>
      <t xml:space="preserve"> En les columnes G o H, i J o k,  es pot modificar, afegir o eliminar qualsevol import. A la fila 45 surten les sumes a valor actual i a la fila 46 afectades per l'IPC.</t>
    </r>
  </si>
  <si>
    <t>PÀGINA 4 – RESULTATS 1er ANY i PÀGINA 5 – RESULTATS A TRES ANYS</t>
  </si>
  <si>
    <t>Aquestes pàgines recullen els resultats d'acord amb les dades registrades en les pàgines anteriors, però en les cel·les blaves encara s’hi poden posar algunes dades.</t>
  </si>
  <si>
    <t>PÀGINA 6 – BALANÇOS</t>
  </si>
  <si>
    <t>Aquesta pàgina recull únicament resultats d'acord amb totes les dades introduïdes en les pàgines anteriors. No té cap caseller per introduir dades.</t>
  </si>
  <si>
    <t>L'autor d'aquest llibre Excel no es fa responsable de les decisions preses en base als diferents escenaris que pugui mostrar aquest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</si>
</sst>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€_-;\-* #,##0.00\ _€_-;_-* &quot;-&quot;??\ _€_-;_-@_-"/>
    <numFmt numFmtId="165" formatCode="0.0%"/>
    <numFmt numFmtId="166" formatCode="#,##0.00_ ;\-#,##0.00\ "/>
    <numFmt numFmtId="167" formatCode="#,##0_ ;\-#,##0\ "/>
  </numFmts>
  <fonts count="67">
    <font>
      <sz val="10"/>
      <name val="Arial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u/>
      <sz val="10"/>
      <color indexed="9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indexed="6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4"/>
      <color theme="0"/>
      <name val="Arial"/>
      <family val="2"/>
    </font>
    <font>
      <b/>
      <sz val="12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2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499984740745262"/>
      <name val="Arial"/>
      <family val="2"/>
    </font>
    <font>
      <b/>
      <sz val="10"/>
      <color theme="5" tint="-0.499984740745262"/>
      <name val="Arial"/>
      <family val="2"/>
    </font>
    <font>
      <sz val="10"/>
      <color theme="5" tint="-0.499984740745262"/>
      <name val="Arial"/>
      <family val="2"/>
    </font>
    <font>
      <b/>
      <sz val="10"/>
      <color theme="4" tint="-0.249977111117893"/>
      <name val="Arial"/>
      <family val="2"/>
    </font>
    <font>
      <sz val="10"/>
      <color theme="5" tint="-0.249977111117893"/>
      <name val="Arial"/>
      <family val="2"/>
    </font>
    <font>
      <sz val="10"/>
      <color theme="4" tint="-0.499984740745262"/>
      <name val="Arial"/>
      <family val="2"/>
    </font>
    <font>
      <sz val="11"/>
      <color theme="5" tint="-0.249977111117893"/>
      <name val="Arial"/>
      <family val="2"/>
    </font>
    <font>
      <sz val="10"/>
      <color theme="3" tint="-0.499984740745262"/>
      <name val="Arial"/>
      <family val="2"/>
    </font>
    <font>
      <b/>
      <sz val="10"/>
      <color theme="3" tint="-0.499984740745262"/>
      <name val="Arial"/>
      <family val="2"/>
    </font>
    <font>
      <b/>
      <sz val="16"/>
      <color theme="0"/>
      <name val="Arial"/>
      <family val="2"/>
    </font>
    <font>
      <b/>
      <sz val="10"/>
      <color theme="3" tint="-0.249977111117893"/>
      <name val="Arial"/>
      <family val="2"/>
    </font>
    <font>
      <sz val="10"/>
      <color theme="3" tint="-0.249977111117893"/>
      <name val="Arial"/>
      <family val="2"/>
    </font>
    <font>
      <sz val="16"/>
      <color theme="0"/>
      <name val="Arial"/>
      <family val="2"/>
    </font>
    <font>
      <b/>
      <sz val="10"/>
      <color theme="5" tint="-0.249977111117893"/>
      <name val="Arial"/>
      <family val="2"/>
    </font>
    <font>
      <b/>
      <sz val="10"/>
      <color rgb="FFC00000"/>
      <name val="Arial"/>
      <family val="2"/>
    </font>
    <font>
      <b/>
      <sz val="11"/>
      <color theme="5" tint="-0.249977111117893"/>
      <name val="Arial"/>
      <family val="2"/>
    </font>
    <font>
      <sz val="10"/>
      <color theme="0"/>
      <name val="Arial"/>
      <family val="2"/>
    </font>
    <font>
      <sz val="10"/>
      <color theme="9" tint="-0.499984740745262"/>
      <name val="Arial"/>
      <family val="2"/>
    </font>
    <font>
      <b/>
      <sz val="16"/>
      <color theme="5" tint="-0.249977111117893"/>
      <name val="Arial"/>
      <family val="2"/>
    </font>
    <font>
      <b/>
      <sz val="14"/>
      <color rgb="FF9C6500"/>
      <name val="Arial"/>
      <family val="2"/>
    </font>
    <font>
      <sz val="14"/>
      <color rgb="FF9C6500"/>
      <name val="Arial"/>
      <family val="2"/>
    </font>
    <font>
      <sz val="14"/>
      <color theme="0"/>
      <name val="Arial"/>
      <family val="2"/>
    </font>
    <font>
      <b/>
      <sz val="16"/>
      <color theme="0"/>
      <name val="Calibri"/>
      <family val="2"/>
      <scheme val="minor"/>
    </font>
    <font>
      <b/>
      <sz val="16"/>
      <color theme="9" tint="-0.499984740745262"/>
      <name val="Arial"/>
      <family val="2"/>
    </font>
    <font>
      <b/>
      <sz val="18"/>
      <color rgb="FF244062"/>
      <name val="Calibri"/>
      <family val="2"/>
    </font>
    <font>
      <sz val="12"/>
      <color rgb="FF244062"/>
      <name val="Calibri"/>
      <family val="2"/>
    </font>
    <font>
      <b/>
      <sz val="14"/>
      <color rgb="FF244062"/>
      <name val="Calibri"/>
      <family val="2"/>
    </font>
    <font>
      <sz val="8.5"/>
      <color rgb="FF244062"/>
      <name val="CIDFont+F1"/>
    </font>
    <font>
      <b/>
      <sz val="11.5"/>
      <color theme="5" tint="-0.249977111117893"/>
      <name val="CIDFont+F1"/>
    </font>
    <font>
      <sz val="11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i/>
      <sz val="11"/>
      <color theme="0" tint="-0.499984740745262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</fills>
  <borders count="16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0.39994506668294322"/>
      </left>
      <right style="thin">
        <color theme="5" tint="0.399914548173467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/>
      <diagonal/>
    </border>
    <border>
      <left style="thin">
        <color rgb="FFFFC000"/>
      </left>
      <right/>
      <top style="thin">
        <color rgb="FFFFC000"/>
      </top>
      <bottom style="thin">
        <color rgb="FFFFC000"/>
      </bottom>
      <diagonal/>
    </border>
    <border>
      <left/>
      <right/>
      <top style="thin">
        <color theme="5" tint="-0.24994659260841701"/>
      </top>
      <bottom/>
      <diagonal/>
    </border>
    <border>
      <left/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/>
      <diagonal/>
    </border>
    <border>
      <left/>
      <right style="thin">
        <color theme="5" tint="-0.24994659260841701"/>
      </right>
      <top/>
      <bottom/>
      <diagonal/>
    </border>
    <border>
      <left/>
      <right/>
      <top/>
      <bottom style="thin">
        <color theme="5" tint="-0.24994659260841701"/>
      </bottom>
      <diagonal/>
    </border>
    <border>
      <left/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/>
      <bottom/>
      <diagonal/>
    </border>
    <border>
      <left style="thin">
        <color theme="3" tint="0.39994506668294322"/>
      </left>
      <right style="thin">
        <color theme="3" tint="0.399914548173467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-0.24994659260841701"/>
      </left>
      <right/>
      <top style="thin">
        <color theme="5" tint="-0.24994659260841701"/>
      </top>
      <bottom/>
      <diagonal/>
    </border>
    <border>
      <left style="thin">
        <color theme="5" tint="-0.24994659260841701"/>
      </left>
      <right/>
      <top/>
      <bottom style="thin">
        <color theme="5" tint="-0.24994659260841701"/>
      </bottom>
      <diagonal/>
    </border>
    <border>
      <left style="thin">
        <color theme="3" tint="0.399914548173467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/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theme="5" tint="-0.24994659260841701"/>
      </left>
      <right style="thin">
        <color theme="5" tint="-0.24994659260841701"/>
      </right>
      <top style="thin">
        <color theme="5" tint="-0.24994659260841701"/>
      </top>
      <bottom/>
      <diagonal/>
    </border>
    <border>
      <left style="thin">
        <color theme="5" tint="-0.24994659260841701"/>
      </left>
      <right style="thin">
        <color theme="5" tint="-0.24994659260841701"/>
      </right>
      <top/>
      <bottom style="thin">
        <color theme="5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indexed="64"/>
      </left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 style="thin">
        <color indexed="64"/>
      </left>
      <right style="medium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 style="medium">
        <color theme="5" tint="-0.24994659260841701"/>
      </left>
      <right style="thin">
        <color indexed="64"/>
      </right>
      <top style="thin">
        <color theme="5" tint="-0.24994659260841701"/>
      </top>
      <bottom style="thin">
        <color theme="5" tint="-0.24994659260841701"/>
      </bottom>
      <diagonal/>
    </border>
    <border>
      <left/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/>
      <right style="thin">
        <color theme="9" tint="-0.499984740745262"/>
      </right>
      <top/>
      <bottom/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/>
      <top style="thin">
        <color theme="9" tint="-0.499984740745262"/>
      </top>
      <bottom style="medium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medium">
        <color theme="9" tint="-0.499984740745262"/>
      </bottom>
      <diagonal/>
    </border>
    <border>
      <left/>
      <right/>
      <top style="medium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medium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indexed="64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thin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indexed="64"/>
      </bottom>
      <diagonal/>
    </border>
    <border>
      <left style="thin">
        <color theme="9" tint="-0.499984740745262"/>
      </left>
      <right/>
      <top style="medium">
        <color theme="9" tint="-0.499984740745262"/>
      </top>
      <bottom style="thin">
        <color indexed="64"/>
      </bottom>
      <diagonal/>
    </border>
    <border>
      <left style="thin">
        <color theme="9" tint="-0.499984740745262"/>
      </left>
      <right/>
      <top/>
      <bottom style="thin">
        <color indexed="64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9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9" tint="-0.499984740745262"/>
      </top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thin">
        <color theme="3" tint="0.3999450666829432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thin">
        <color theme="9" tint="-0.49998474074526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3" tint="0.39994506668294322"/>
      </right>
      <top style="thin">
        <color theme="3" tint="0.39994506668294322"/>
      </top>
      <bottom style="medium">
        <color theme="9" tint="-0.499984740745262"/>
      </bottom>
      <diagonal/>
    </border>
    <border>
      <left style="thin">
        <color theme="3" tint="0.39994506668294322"/>
      </left>
      <right style="medium">
        <color theme="9" tint="-0.499984740745262"/>
      </right>
      <top style="thin">
        <color theme="3" tint="0.39994506668294322"/>
      </top>
      <bottom style="medium">
        <color theme="9" tint="-0.499984740745262"/>
      </bottom>
      <diagonal/>
    </border>
    <border>
      <left/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 style="thin">
        <color indexed="64"/>
      </left>
      <right style="thin">
        <color indexed="64"/>
      </right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/>
      <bottom style="thin">
        <color theme="9" tint="-0.499984740745262"/>
      </bottom>
      <diagonal/>
    </border>
    <border>
      <left style="medium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medium">
        <color theme="9" tint="-0.499984740745262"/>
      </right>
      <top style="thin">
        <color theme="9" tint="-0.499984740745262"/>
      </top>
      <bottom/>
      <diagonal/>
    </border>
    <border>
      <left style="medium">
        <color rgb="FF3F3F3F"/>
      </left>
      <right style="double">
        <color rgb="FF3F3F3F"/>
      </right>
      <top style="medium">
        <color rgb="FF3F3F3F"/>
      </top>
      <bottom style="medium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rgb="FF3F3F3F"/>
      </top>
      <bottom style="medium">
        <color rgb="FF3F3F3F"/>
      </bottom>
      <diagonal/>
    </border>
    <border>
      <left style="double">
        <color rgb="FF3F3F3F"/>
      </left>
      <right style="medium">
        <color rgb="FF3F3F3F"/>
      </right>
      <top style="medium">
        <color rgb="FF3F3F3F"/>
      </top>
      <bottom style="medium">
        <color rgb="FF3F3F3F"/>
      </bottom>
      <diagonal/>
    </border>
    <border>
      <left style="medium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medium">
        <color theme="9" tint="-0.499984740745262"/>
      </right>
      <top style="medium">
        <color theme="9" tint="-0.499984740745262"/>
      </top>
      <bottom style="medium">
        <color theme="9" tint="-0.499984740745262"/>
      </bottom>
      <diagonal/>
    </border>
    <border>
      <left style="thin">
        <color theme="9" tint="-0.49998474074526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4506668294322"/>
      </left>
      <right style="medium">
        <color theme="9" tint="-0.499984740745262"/>
      </right>
      <top/>
      <bottom style="thin">
        <color theme="3" tint="0.39994506668294322"/>
      </bottom>
      <diagonal/>
    </border>
    <border>
      <left style="thin">
        <color theme="9" tint="-0.499984740745262"/>
      </left>
      <right/>
      <top style="medium">
        <color theme="9" tint="-0.499984740745262"/>
      </top>
      <bottom style="medium">
        <color theme="9" tint="-0.499984740745262"/>
      </bottom>
      <diagonal/>
    </border>
  </borders>
  <cellStyleXfs count="5">
    <xf numFmtId="0" fontId="0" fillId="0" borderId="0"/>
    <xf numFmtId="0" fontId="27" fillId="2" borderId="0" applyNumberFormat="0" applyBorder="0" applyAlignment="0" applyProtection="0"/>
    <xf numFmtId="164" fontId="1" fillId="0" borderId="0" applyFont="0" applyFill="0" applyBorder="0" applyAlignment="0" applyProtection="0"/>
    <xf numFmtId="0" fontId="28" fillId="3" borderId="0" applyNumberFormat="0" applyBorder="0" applyAlignment="0" applyProtection="0"/>
    <xf numFmtId="9" fontId="1" fillId="0" borderId="0" applyFont="0" applyFill="0" applyBorder="0" applyAlignment="0" applyProtection="0"/>
  </cellStyleXfs>
  <cellXfs count="738">
    <xf numFmtId="0" fontId="0" fillId="0" borderId="0" xfId="0"/>
    <xf numFmtId="4" fontId="0" fillId="0" borderId="0" xfId="0" applyNumberFormat="1"/>
    <xf numFmtId="4" fontId="3" fillId="0" borderId="0" xfId="0" applyNumberFormat="1" applyFont="1" applyBorder="1" applyProtection="1"/>
    <xf numFmtId="4" fontId="0" fillId="0" borderId="0" xfId="4" applyNumberFormat="1" applyFont="1"/>
    <xf numFmtId="4" fontId="0" fillId="0" borderId="0" xfId="0" applyNumberFormat="1" applyProtection="1"/>
    <xf numFmtId="4" fontId="0" fillId="0" borderId="0" xfId="0" applyNumberFormat="1" applyProtection="1">
      <protection locked="0"/>
    </xf>
    <xf numFmtId="4" fontId="3" fillId="0" borderId="0" xfId="0" applyNumberFormat="1" applyFont="1" applyProtection="1"/>
    <xf numFmtId="4" fontId="0" fillId="0" borderId="0" xfId="4" applyNumberFormat="1" applyFont="1" applyBorder="1" applyProtection="1"/>
    <xf numFmtId="4" fontId="0" fillId="0" borderId="0" xfId="0" applyNumberFormat="1" applyBorder="1" applyProtection="1"/>
    <xf numFmtId="4" fontId="0" fillId="0" borderId="0" xfId="4" applyNumberFormat="1" applyFont="1" applyProtection="1"/>
    <xf numFmtId="4" fontId="0" fillId="0" borderId="0" xfId="4" applyNumberFormat="1" applyFont="1" applyProtection="1">
      <protection locked="0"/>
    </xf>
    <xf numFmtId="4" fontId="3" fillId="0" borderId="0" xfId="0" applyNumberFormat="1" applyFont="1"/>
    <xf numFmtId="4" fontId="0" fillId="0" borderId="0" xfId="0" applyNumberFormat="1" applyAlignment="1">
      <alignment horizontal="center"/>
    </xf>
    <xf numFmtId="4" fontId="3" fillId="0" borderId="0" xfId="0" applyNumberFormat="1" applyFont="1" applyAlignment="1" applyProtection="1">
      <alignment horizontal="center"/>
    </xf>
    <xf numFmtId="4" fontId="2" fillId="0" borderId="0" xfId="0" applyNumberFormat="1" applyFont="1" applyProtection="1"/>
    <xf numFmtId="4" fontId="0" fillId="0" borderId="0" xfId="0" applyNumberFormat="1" applyFill="1" applyBorder="1" applyProtection="1"/>
    <xf numFmtId="4" fontId="4" fillId="0" borderId="0" xfId="0" applyNumberFormat="1" applyFont="1" applyProtection="1"/>
    <xf numFmtId="4" fontId="0" fillId="0" borderId="0" xfId="0" applyNumberFormat="1" applyBorder="1" applyAlignment="1" applyProtection="1">
      <alignment horizontal="center"/>
    </xf>
    <xf numFmtId="4" fontId="0" fillId="0" borderId="0" xfId="0" applyNumberFormat="1" applyBorder="1" applyAlignment="1" applyProtection="1"/>
    <xf numFmtId="4" fontId="0" fillId="0" borderId="0" xfId="0" applyNumberFormat="1" applyAlignment="1" applyProtection="1">
      <alignment horizontal="center"/>
    </xf>
    <xf numFmtId="4" fontId="0" fillId="0" borderId="0" xfId="0" applyNumberFormat="1" applyAlignment="1" applyProtection="1">
      <alignment horizontal="right"/>
    </xf>
    <xf numFmtId="17" fontId="0" fillId="0" borderId="0" xfId="0" applyNumberFormat="1" applyProtection="1"/>
    <xf numFmtId="0" fontId="0" fillId="0" borderId="0" xfId="0" applyProtection="1"/>
    <xf numFmtId="4" fontId="4" fillId="0" borderId="0" xfId="0" applyNumberFormat="1" applyFont="1"/>
    <xf numFmtId="3" fontId="3" fillId="0" borderId="0" xfId="0" applyNumberFormat="1" applyFont="1" applyAlignment="1" applyProtection="1">
      <alignment horizontal="center"/>
    </xf>
    <xf numFmtId="3" fontId="3" fillId="0" borderId="0" xfId="0" applyNumberFormat="1" applyFont="1" applyBorder="1" applyAlignment="1" applyProtection="1">
      <alignment horizontal="center"/>
    </xf>
    <xf numFmtId="4" fontId="9" fillId="0" borderId="0" xfId="0" applyNumberFormat="1" applyFont="1" applyBorder="1" applyAlignment="1" applyProtection="1">
      <alignment horizontal="center"/>
    </xf>
    <xf numFmtId="4" fontId="8" fillId="0" borderId="0" xfId="4" applyNumberFormat="1" applyFont="1"/>
    <xf numFmtId="0" fontId="6" fillId="0" borderId="0" xfId="0" applyFont="1" applyAlignment="1">
      <alignment horizontal="center"/>
    </xf>
    <xf numFmtId="3" fontId="3" fillId="0" borderId="0" xfId="0" applyNumberFormat="1" applyFont="1" applyAlignment="1" applyProtection="1">
      <alignment horizontal="left"/>
    </xf>
    <xf numFmtId="4" fontId="0" fillId="0" borderId="0" xfId="4" applyNumberFormat="1" applyFont="1" applyAlignment="1" applyProtection="1">
      <alignment horizontal="center"/>
    </xf>
    <xf numFmtId="4" fontId="0" fillId="0" borderId="0" xfId="4" applyNumberFormat="1" applyFont="1" applyAlignment="1" applyProtection="1">
      <alignment horizontal="right"/>
    </xf>
    <xf numFmtId="0" fontId="0" fillId="0" borderId="0" xfId="0" applyBorder="1" applyProtection="1"/>
    <xf numFmtId="164" fontId="0" fillId="0" borderId="0" xfId="2" applyFont="1" applyAlignment="1" applyProtection="1">
      <alignment horizontal="center"/>
    </xf>
    <xf numFmtId="0" fontId="0" fillId="0" borderId="0" xfId="0" applyProtection="1">
      <protection locked="0"/>
    </xf>
    <xf numFmtId="9" fontId="4" fillId="4" borderId="0" xfId="4" applyFont="1" applyFill="1" applyBorder="1" applyAlignment="1" applyProtection="1">
      <alignment horizontal="center"/>
    </xf>
    <xf numFmtId="4" fontId="10" fillId="0" borderId="0" xfId="0" applyNumberFormat="1" applyFont="1" applyProtection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4" borderId="0" xfId="0" applyFill="1"/>
    <xf numFmtId="0" fontId="0" fillId="4" borderId="0" xfId="0" applyFill="1" applyBorder="1"/>
    <xf numFmtId="4" fontId="0" fillId="0" borderId="0" xfId="0" applyNumberFormat="1" applyBorder="1" applyProtection="1">
      <protection locked="0"/>
    </xf>
    <xf numFmtId="3" fontId="4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3" fillId="0" borderId="0" xfId="0" applyFont="1" applyProtection="1"/>
    <xf numFmtId="0" fontId="13" fillId="0" borderId="0" xfId="0" applyFont="1" applyProtection="1"/>
    <xf numFmtId="4" fontId="13" fillId="0" borderId="0" xfId="0" applyNumberFormat="1" applyFont="1" applyProtection="1"/>
    <xf numFmtId="0" fontId="13" fillId="0" borderId="0" xfId="0" applyFont="1"/>
    <xf numFmtId="4" fontId="13" fillId="0" borderId="0" xfId="0" applyNumberFormat="1" applyFont="1" applyAlignment="1" applyProtection="1">
      <alignment horizontal="right"/>
    </xf>
    <xf numFmtId="4" fontId="13" fillId="0" borderId="0" xfId="4" applyNumberFormat="1" applyFont="1" applyProtection="1"/>
    <xf numFmtId="0" fontId="4" fillId="0" borderId="0" xfId="0" applyFont="1"/>
    <xf numFmtId="4" fontId="0" fillId="0" borderId="0" xfId="0" applyNumberFormat="1" applyBorder="1" applyAlignment="1" applyProtection="1">
      <alignment vertical="center"/>
    </xf>
    <xf numFmtId="10" fontId="3" fillId="0" borderId="0" xfId="0" applyNumberFormat="1" applyFont="1" applyBorder="1" applyAlignment="1" applyProtection="1">
      <alignment horizontal="right" vertic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/>
    </xf>
    <xf numFmtId="0" fontId="1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4" fontId="0" fillId="5" borderId="0" xfId="0" applyNumberFormat="1" applyFill="1" applyProtection="1"/>
    <xf numFmtId="0" fontId="0" fillId="0" borderId="0" xfId="0" quotePrefix="1" applyAlignment="1">
      <alignment horizontal="left"/>
    </xf>
    <xf numFmtId="4" fontId="3" fillId="0" borderId="0" xfId="0" applyNumberFormat="1" applyFont="1" applyBorder="1" applyAlignment="1" applyProtection="1">
      <alignment horizontal="right"/>
    </xf>
    <xf numFmtId="0" fontId="0" fillId="0" borderId="0" xfId="0" applyBorder="1" applyAlignment="1" applyProtection="1">
      <alignment horizontal="center"/>
    </xf>
    <xf numFmtId="4" fontId="0" fillId="0" borderId="0" xfId="0" applyNumberFormat="1" applyFill="1" applyBorder="1" applyAlignment="1" applyProtection="1">
      <alignment horizontal="center"/>
    </xf>
    <xf numFmtId="4" fontId="0" fillId="0" borderId="2" xfId="0" applyNumberFormat="1" applyBorder="1"/>
    <xf numFmtId="4" fontId="0" fillId="0" borderId="3" xfId="0" applyNumberFormat="1" applyBorder="1" applyProtection="1"/>
    <xf numFmtId="4" fontId="0" fillId="0" borderId="2" xfId="0" applyNumberFormat="1" applyBorder="1" applyProtection="1"/>
    <xf numFmtId="0" fontId="3" fillId="0" borderId="0" xfId="0" applyFont="1" applyBorder="1" applyProtection="1"/>
    <xf numFmtId="4" fontId="16" fillId="0" borderId="0" xfId="0" applyNumberFormat="1" applyFont="1" applyBorder="1" applyAlignment="1" applyProtection="1">
      <alignment horizontal="center"/>
    </xf>
    <xf numFmtId="4" fontId="3" fillId="0" borderId="4" xfId="0" applyNumberFormat="1" applyFont="1" applyBorder="1" applyAlignment="1" applyProtection="1">
      <alignment horizontal="left"/>
    </xf>
    <xf numFmtId="4" fontId="0" fillId="0" borderId="5" xfId="0" applyNumberFormat="1" applyBorder="1" applyProtection="1"/>
    <xf numFmtId="4" fontId="0" fillId="0" borderId="6" xfId="0" applyNumberFormat="1" applyBorder="1" applyProtection="1"/>
    <xf numFmtId="4" fontId="0" fillId="0" borderId="7" xfId="0" applyNumberFormat="1" applyBorder="1" applyProtection="1"/>
    <xf numFmtId="4" fontId="0" fillId="0" borderId="8" xfId="0" applyNumberFormat="1" applyFill="1" applyBorder="1" applyProtection="1"/>
    <xf numFmtId="4" fontId="0" fillId="0" borderId="9" xfId="0" applyNumberFormat="1" applyBorder="1"/>
    <xf numFmtId="4" fontId="0" fillId="0" borderId="10" xfId="0" applyNumberFormat="1" applyFill="1" applyBorder="1" applyProtection="1"/>
    <xf numFmtId="4" fontId="0" fillId="0" borderId="11" xfId="0" applyNumberFormat="1" applyBorder="1"/>
    <xf numFmtId="4" fontId="3" fillId="0" borderId="12" xfId="0" applyNumberFormat="1" applyFont="1" applyBorder="1"/>
    <xf numFmtId="4" fontId="0" fillId="0" borderId="6" xfId="0" applyNumberFormat="1" applyBorder="1" applyAlignment="1" applyProtection="1">
      <alignment horizontal="right"/>
    </xf>
    <xf numFmtId="0" fontId="0" fillId="0" borderId="11" xfId="0" applyBorder="1"/>
    <xf numFmtId="0" fontId="6" fillId="0" borderId="0" xfId="0" applyFont="1" applyBorder="1" applyAlignment="1">
      <alignment horizontal="center"/>
    </xf>
    <xf numFmtId="4" fontId="4" fillId="0" borderId="13" xfId="0" applyNumberFormat="1" applyFont="1" applyBorder="1"/>
    <xf numFmtId="4" fontId="4" fillId="0" borderId="14" xfId="0" applyNumberFormat="1" applyFont="1" applyBorder="1"/>
    <xf numFmtId="4" fontId="7" fillId="0" borderId="0" xfId="0" applyNumberFormat="1" applyFont="1"/>
    <xf numFmtId="0" fontId="3" fillId="0" borderId="3" xfId="0" applyFont="1" applyBorder="1" applyAlignment="1" applyProtection="1">
      <alignment horizontal="center"/>
    </xf>
    <xf numFmtId="0" fontId="0" fillId="0" borderId="15" xfId="0" applyBorder="1"/>
    <xf numFmtId="4" fontId="3" fillId="0" borderId="13" xfId="0" applyNumberFormat="1" applyFont="1" applyBorder="1"/>
    <xf numFmtId="0" fontId="0" fillId="0" borderId="16" xfId="0" applyBorder="1"/>
    <xf numFmtId="4" fontId="3" fillId="0" borderId="14" xfId="0" applyNumberFormat="1" applyFont="1" applyBorder="1"/>
    <xf numFmtId="4" fontId="3" fillId="0" borderId="17" xfId="0" applyNumberFormat="1" applyFont="1" applyBorder="1"/>
    <xf numFmtId="0" fontId="3" fillId="0" borderId="18" xfId="0" applyFont="1" applyBorder="1" applyAlignment="1">
      <alignment horizontal="center"/>
    </xf>
    <xf numFmtId="0" fontId="4" fillId="0" borderId="19" xfId="0" applyFont="1" applyBorder="1"/>
    <xf numFmtId="0" fontId="11" fillId="0" borderId="19" xfId="0" quotePrefix="1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1" fillId="0" borderId="20" xfId="0" quotePrefix="1" applyFont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16" fillId="0" borderId="21" xfId="0" applyFont="1" applyBorder="1" applyAlignment="1" applyProtection="1">
      <alignment horizontal="center"/>
    </xf>
    <xf numFmtId="0" fontId="16" fillId="0" borderId="21" xfId="0" quotePrefix="1" applyFont="1" applyBorder="1" applyAlignment="1" applyProtection="1">
      <alignment horizontal="center"/>
    </xf>
    <xf numFmtId="0" fontId="16" fillId="0" borderId="22" xfId="0" quotePrefix="1" applyFont="1" applyBorder="1" applyAlignment="1" applyProtection="1">
      <alignment horizontal="center"/>
    </xf>
    <xf numFmtId="0" fontId="0" fillId="0" borderId="1" xfId="0" quotePrefix="1" applyBorder="1" applyAlignment="1">
      <alignment horizontal="left"/>
    </xf>
    <xf numFmtId="0" fontId="3" fillId="0" borderId="21" xfId="0" applyFont="1" applyBorder="1"/>
    <xf numFmtId="0" fontId="18" fillId="0" borderId="0" xfId="0" applyFont="1" applyProtection="1"/>
    <xf numFmtId="4" fontId="18" fillId="0" borderId="0" xfId="0" applyNumberFormat="1" applyFont="1" applyProtection="1"/>
    <xf numFmtId="4" fontId="18" fillId="0" borderId="0" xfId="4" applyNumberFormat="1" applyFont="1" applyBorder="1" applyProtection="1"/>
    <xf numFmtId="0" fontId="18" fillId="0" borderId="0" xfId="0" applyFont="1"/>
    <xf numFmtId="0" fontId="19" fillId="0" borderId="0" xfId="0" quotePrefix="1" applyFont="1" applyAlignment="1" applyProtection="1">
      <alignment horizontal="left"/>
    </xf>
    <xf numFmtId="4" fontId="19" fillId="0" borderId="0" xfId="0" applyNumberFormat="1" applyFont="1" applyAlignment="1" applyProtection="1">
      <alignment horizontal="center"/>
    </xf>
    <xf numFmtId="1" fontId="18" fillId="0" borderId="23" xfId="0" applyNumberFormat="1" applyFont="1" applyBorder="1" applyAlignment="1" applyProtection="1">
      <alignment horizontal="center"/>
    </xf>
    <xf numFmtId="17" fontId="18" fillId="0" borderId="23" xfId="0" applyNumberFormat="1" applyFont="1" applyBorder="1" applyAlignment="1" applyProtection="1">
      <alignment horizontal="center"/>
    </xf>
    <xf numFmtId="17" fontId="18" fillId="0" borderId="0" xfId="0" applyNumberFormat="1" applyFont="1" applyProtection="1"/>
    <xf numFmtId="0" fontId="18" fillId="0" borderId="0" xfId="0" applyFont="1" applyBorder="1" applyProtection="1"/>
    <xf numFmtId="4" fontId="18" fillId="0" borderId="0" xfId="0" applyNumberFormat="1" applyFont="1" applyBorder="1" applyAlignment="1" applyProtection="1"/>
    <xf numFmtId="10" fontId="18" fillId="0" borderId="0" xfId="4" applyNumberFormat="1" applyFont="1" applyProtection="1"/>
    <xf numFmtId="4" fontId="19" fillId="0" borderId="0" xfId="0" applyNumberFormat="1" applyFont="1" applyProtection="1"/>
    <xf numFmtId="4" fontId="18" fillId="0" borderId="0" xfId="4" applyNumberFormat="1" applyFont="1" applyProtection="1"/>
    <xf numFmtId="4" fontId="18" fillId="4" borderId="0" xfId="0" applyNumberFormat="1" applyFont="1" applyFill="1" applyBorder="1" applyProtection="1"/>
    <xf numFmtId="4" fontId="18" fillId="6" borderId="24" xfId="0" applyNumberFormat="1" applyFont="1" applyFill="1" applyBorder="1" applyProtection="1"/>
    <xf numFmtId="4" fontId="18" fillId="7" borderId="24" xfId="0" applyNumberFormat="1" applyFont="1" applyFill="1" applyBorder="1" applyProtection="1"/>
    <xf numFmtId="4" fontId="18" fillId="8" borderId="24" xfId="0" applyNumberFormat="1" applyFont="1" applyFill="1" applyBorder="1" applyProtection="1"/>
    <xf numFmtId="0" fontId="19" fillId="0" borderId="0" xfId="0" applyFont="1" applyProtection="1"/>
    <xf numFmtId="164" fontId="18" fillId="0" borderId="0" xfId="2" quotePrefix="1" applyFont="1" applyAlignment="1" applyProtection="1">
      <alignment horizontal="left"/>
    </xf>
    <xf numFmtId="166" fontId="18" fillId="0" borderId="0" xfId="2" applyNumberFormat="1" applyFont="1" applyAlignment="1" applyProtection="1"/>
    <xf numFmtId="164" fontId="18" fillId="0" borderId="0" xfId="2" applyFont="1" applyProtection="1"/>
    <xf numFmtId="165" fontId="18" fillId="0" borderId="0" xfId="4" applyNumberFormat="1" applyFont="1" applyProtection="1"/>
    <xf numFmtId="167" fontId="18" fillId="0" borderId="0" xfId="2" applyNumberFormat="1" applyFont="1" applyProtection="1"/>
    <xf numFmtId="0" fontId="18" fillId="0" borderId="0" xfId="0" quotePrefix="1" applyFont="1" applyAlignment="1">
      <alignment horizontal="left"/>
    </xf>
    <xf numFmtId="164" fontId="18" fillId="0" borderId="0" xfId="2" applyFont="1" applyAlignment="1" applyProtection="1">
      <alignment horizontal="right"/>
    </xf>
    <xf numFmtId="164" fontId="18" fillId="0" borderId="0" xfId="2" applyFont="1" applyAlignment="1" applyProtection="1">
      <alignment horizontal="center"/>
    </xf>
    <xf numFmtId="1" fontId="18" fillId="0" borderId="0" xfId="2" applyNumberFormat="1" applyFont="1" applyProtection="1"/>
    <xf numFmtId="4" fontId="18" fillId="0" borderId="0" xfId="2" applyNumberFormat="1" applyFont="1" applyProtection="1"/>
    <xf numFmtId="165" fontId="18" fillId="0" borderId="0" xfId="0" applyNumberFormat="1" applyFont="1" applyProtection="1"/>
    <xf numFmtId="1" fontId="18" fillId="0" borderId="0" xfId="0" applyNumberFormat="1" applyFont="1" applyProtection="1"/>
    <xf numFmtId="0" fontId="18" fillId="0" borderId="0" xfId="0" quotePrefix="1" applyFont="1" applyAlignment="1" applyProtection="1">
      <alignment horizontal="left"/>
    </xf>
    <xf numFmtId="4" fontId="18" fillId="0" borderId="0" xfId="0" applyNumberFormat="1" applyFont="1"/>
    <xf numFmtId="0" fontId="19" fillId="0" borderId="0" xfId="0" applyFont="1"/>
    <xf numFmtId="165" fontId="18" fillId="0" borderId="0" xfId="0" applyNumberFormat="1" applyFont="1"/>
    <xf numFmtId="1" fontId="18" fillId="0" borderId="0" xfId="0" applyNumberFormat="1" applyFont="1"/>
    <xf numFmtId="0" fontId="19" fillId="0" borderId="0" xfId="0" quotePrefix="1" applyFont="1" applyAlignment="1">
      <alignment horizontal="left"/>
    </xf>
    <xf numFmtId="0" fontId="20" fillId="0" borderId="0" xfId="0" applyFont="1"/>
    <xf numFmtId="10" fontId="18" fillId="0" borderId="0" xfId="0" applyNumberFormat="1" applyFont="1"/>
    <xf numFmtId="0" fontId="19" fillId="0" borderId="23" xfId="0" applyFont="1" applyBorder="1"/>
    <xf numFmtId="0" fontId="18" fillId="0" borderId="0" xfId="0" applyFont="1" applyAlignment="1">
      <alignment horizontal="left" indent="1"/>
    </xf>
    <xf numFmtId="2" fontId="18" fillId="0" borderId="0" xfId="0" applyNumberFormat="1" applyFont="1" applyProtection="1"/>
    <xf numFmtId="0" fontId="20" fillId="0" borderId="0" xfId="0" quotePrefix="1" applyFont="1" applyAlignment="1">
      <alignment horizontal="left"/>
    </xf>
    <xf numFmtId="4" fontId="18" fillId="0" borderId="25" xfId="0" applyNumberFormat="1" applyFont="1" applyBorder="1" applyProtection="1"/>
    <xf numFmtId="4" fontId="18" fillId="0" borderId="0" xfId="0" applyNumberFormat="1" applyFont="1" applyBorder="1" applyAlignment="1" applyProtection="1">
      <alignment horizontal="center"/>
    </xf>
    <xf numFmtId="2" fontId="18" fillId="0" borderId="0" xfId="0" applyNumberFormat="1" applyFont="1" applyBorder="1" applyProtection="1"/>
    <xf numFmtId="4" fontId="18" fillId="0" borderId="0" xfId="0" applyNumberFormat="1" applyFont="1" applyFill="1" applyBorder="1" applyAlignment="1" applyProtection="1">
      <alignment horizontal="left" indent="1"/>
    </xf>
    <xf numFmtId="4" fontId="18" fillId="0" borderId="0" xfId="0" applyNumberFormat="1" applyFont="1" applyFill="1" applyBorder="1" applyProtection="1"/>
    <xf numFmtId="1" fontId="18" fillId="0" borderId="0" xfId="0" applyNumberFormat="1" applyFont="1" applyAlignment="1" applyProtection="1">
      <alignment horizontal="center"/>
    </xf>
    <xf numFmtId="3" fontId="18" fillId="0" borderId="25" xfId="0" applyNumberFormat="1" applyFont="1" applyBorder="1" applyAlignment="1" applyProtection="1">
      <alignment horizontal="left"/>
    </xf>
    <xf numFmtId="4" fontId="18" fillId="0" borderId="0" xfId="0" applyNumberFormat="1" applyFont="1" applyBorder="1" applyProtection="1"/>
    <xf numFmtId="1" fontId="18" fillId="0" borderId="0" xfId="0" applyNumberFormat="1" applyFont="1" applyBorder="1" applyAlignment="1" applyProtection="1">
      <alignment horizontal="center"/>
    </xf>
    <xf numFmtId="0" fontId="18" fillId="0" borderId="0" xfId="0" applyFont="1" applyAlignment="1" applyProtection="1">
      <alignment horizontal="left"/>
    </xf>
    <xf numFmtId="4" fontId="18" fillId="0" borderId="25" xfId="0" applyNumberFormat="1" applyFont="1" applyBorder="1" applyAlignment="1" applyProtection="1">
      <alignment horizontal="left"/>
    </xf>
    <xf numFmtId="0" fontId="18" fillId="0" borderId="0" xfId="0" applyFont="1" applyAlignment="1" applyProtection="1">
      <alignment horizontal="left" indent="1"/>
    </xf>
    <xf numFmtId="0" fontId="21" fillId="0" borderId="0" xfId="0" quotePrefix="1" applyFont="1" applyAlignment="1">
      <alignment horizontal="left"/>
    </xf>
    <xf numFmtId="4" fontId="18" fillId="0" borderId="0" xfId="0" applyNumberFormat="1" applyFont="1" applyProtection="1">
      <protection locked="0"/>
    </xf>
    <xf numFmtId="4" fontId="29" fillId="10" borderId="0" xfId="0" applyNumberFormat="1" applyFont="1" applyFill="1" applyBorder="1" applyAlignment="1" applyProtection="1">
      <alignment horizontal="center"/>
    </xf>
    <xf numFmtId="0" fontId="29" fillId="10" borderId="0" xfId="0" applyFont="1" applyFill="1" applyBorder="1" applyAlignment="1">
      <alignment horizontal="center"/>
    </xf>
    <xf numFmtId="9" fontId="16" fillId="4" borderId="0" xfId="4" applyFont="1" applyFill="1" applyBorder="1" applyAlignment="1" applyProtection="1">
      <alignment horizontal="center" vertical="center"/>
    </xf>
    <xf numFmtId="9" fontId="16" fillId="4" borderId="0" xfId="4" quotePrefix="1" applyFont="1" applyFill="1" applyBorder="1" applyAlignment="1" applyProtection="1">
      <alignment horizontal="center" vertical="center"/>
    </xf>
    <xf numFmtId="4" fontId="0" fillId="0" borderId="26" xfId="0" applyNumberFormat="1" applyBorder="1"/>
    <xf numFmtId="4" fontId="0" fillId="0" borderId="27" xfId="0" applyNumberFormat="1" applyBorder="1" applyProtection="1"/>
    <xf numFmtId="4" fontId="0" fillId="0" borderId="28" xfId="0" applyNumberFormat="1" applyBorder="1" applyProtection="1"/>
    <xf numFmtId="4" fontId="0" fillId="0" borderId="29" xfId="0" applyNumberFormat="1" applyBorder="1"/>
    <xf numFmtId="0" fontId="0" fillId="0" borderId="10" xfId="0" applyBorder="1" applyProtection="1"/>
    <xf numFmtId="9" fontId="16" fillId="4" borderId="10" xfId="4" applyFont="1" applyFill="1" applyBorder="1" applyAlignment="1" applyProtection="1">
      <alignment horizontal="center" vertical="center"/>
    </xf>
    <xf numFmtId="9" fontId="3" fillId="4" borderId="0" xfId="0" applyNumberFormat="1" applyFont="1" applyFill="1" applyBorder="1" applyAlignment="1" applyProtection="1">
      <alignment horizontal="center"/>
    </xf>
    <xf numFmtId="4" fontId="0" fillId="0" borderId="10" xfId="0" applyNumberFormat="1" applyBorder="1" applyProtection="1"/>
    <xf numFmtId="0" fontId="15" fillId="0" borderId="0" xfId="0" applyFont="1" applyBorder="1" applyAlignment="1">
      <alignment horizontal="left" vertical="center"/>
    </xf>
    <xf numFmtId="4" fontId="17" fillId="0" borderId="0" xfId="0" applyNumberFormat="1" applyFont="1" applyBorder="1" applyProtection="1"/>
    <xf numFmtId="4" fontId="0" fillId="4" borderId="0" xfId="0" applyNumberFormat="1" applyFill="1" applyBorder="1" applyProtection="1"/>
    <xf numFmtId="0" fontId="3" fillId="0" borderId="0" xfId="0" quotePrefix="1" applyFont="1" applyBorder="1" applyAlignment="1" applyProtection="1">
      <alignment horizontal="right"/>
    </xf>
    <xf numFmtId="0" fontId="0" fillId="0" borderId="0" xfId="0" applyBorder="1" applyAlignment="1"/>
    <xf numFmtId="0" fontId="3" fillId="0" borderId="0" xfId="0" applyFont="1" applyBorder="1" applyAlignment="1" applyProtection="1">
      <alignment horizontal="right"/>
    </xf>
    <xf numFmtId="4" fontId="3" fillId="0" borderId="10" xfId="0" applyNumberFormat="1" applyFont="1" applyBorder="1" applyProtection="1"/>
    <xf numFmtId="9" fontId="16" fillId="4" borderId="10" xfId="4" quotePrefix="1" applyFont="1" applyFill="1" applyBorder="1" applyAlignment="1" applyProtection="1">
      <alignment horizontal="center" vertical="center"/>
    </xf>
    <xf numFmtId="4" fontId="0" fillId="0" borderId="30" xfId="0" applyNumberFormat="1" applyBorder="1"/>
    <xf numFmtId="4" fontId="0" fillId="0" borderId="23" xfId="0" applyNumberFormat="1" applyBorder="1" applyProtection="1"/>
    <xf numFmtId="4" fontId="0" fillId="0" borderId="23" xfId="0" applyNumberFormat="1" applyBorder="1" applyProtection="1">
      <protection locked="0"/>
    </xf>
    <xf numFmtId="4" fontId="0" fillId="0" borderId="31" xfId="0" applyNumberFormat="1" applyBorder="1" applyProtection="1"/>
    <xf numFmtId="4" fontId="5" fillId="10" borderId="0" xfId="0" applyNumberFormat="1" applyFont="1" applyFill="1" applyBorder="1" applyAlignment="1" applyProtection="1">
      <alignment horizontal="center"/>
    </xf>
    <xf numFmtId="4" fontId="5" fillId="10" borderId="10" xfId="0" applyNumberFormat="1" applyFont="1" applyFill="1" applyBorder="1" applyAlignment="1" applyProtection="1">
      <alignment horizontal="center"/>
    </xf>
    <xf numFmtId="4" fontId="30" fillId="0" borderId="0" xfId="0" quotePrefix="1" applyNumberFormat="1" applyFont="1" applyBorder="1" applyAlignment="1" applyProtection="1">
      <alignment horizontal="left" vertical="center" wrapText="1"/>
    </xf>
    <xf numFmtId="4" fontId="31" fillId="0" borderId="0" xfId="0" applyNumberFormat="1" applyFont="1" applyBorder="1" applyAlignment="1" applyProtection="1">
      <alignment horizontal="center" vertical="center"/>
    </xf>
    <xf numFmtId="4" fontId="31" fillId="0" borderId="0" xfId="0" quotePrefix="1" applyNumberFormat="1" applyFont="1" applyBorder="1" applyAlignment="1" applyProtection="1">
      <alignment horizontal="center" vertical="justify"/>
    </xf>
    <xf numFmtId="9" fontId="31" fillId="4" borderId="0" xfId="4" applyFont="1" applyFill="1" applyBorder="1" applyAlignment="1" applyProtection="1">
      <alignment horizontal="center" vertical="center"/>
    </xf>
    <xf numFmtId="4" fontId="30" fillId="0" borderId="0" xfId="0" applyNumberFormat="1" applyFont="1" applyBorder="1" applyAlignment="1" applyProtection="1">
      <alignment horizontal="left" vertical="center"/>
    </xf>
    <xf numFmtId="9" fontId="31" fillId="4" borderId="0" xfId="4" quotePrefix="1" applyFont="1" applyFill="1" applyBorder="1" applyAlignment="1" applyProtection="1">
      <alignment horizontal="center" vertical="justify"/>
    </xf>
    <xf numFmtId="4" fontId="30" fillId="0" borderId="0" xfId="0" quotePrefix="1" applyNumberFormat="1" applyFont="1" applyBorder="1" applyAlignment="1" applyProtection="1">
      <alignment horizontal="left" vertical="center"/>
    </xf>
    <xf numFmtId="4" fontId="31" fillId="0" borderId="0" xfId="0" quotePrefix="1" applyNumberFormat="1" applyFont="1" applyBorder="1" applyAlignment="1" applyProtection="1">
      <alignment horizontal="center" vertical="center"/>
    </xf>
    <xf numFmtId="9" fontId="31" fillId="4" borderId="0" xfId="4" quotePrefix="1" applyFont="1" applyFill="1" applyBorder="1" applyAlignment="1" applyProtection="1">
      <alignment horizontal="center" vertical="center"/>
    </xf>
    <xf numFmtId="4" fontId="0" fillId="0" borderId="0" xfId="0" applyNumberFormat="1" applyBorder="1"/>
    <xf numFmtId="4" fontId="0" fillId="0" borderId="0" xfId="4" applyNumberFormat="1" applyFont="1" applyBorder="1"/>
    <xf numFmtId="4" fontId="7" fillId="0" borderId="0" xfId="0" quotePrefix="1" applyNumberFormat="1" applyFont="1" applyBorder="1" applyAlignment="1" applyProtection="1">
      <alignment horizontal="left" vertical="center"/>
    </xf>
    <xf numFmtId="4" fontId="4" fillId="0" borderId="0" xfId="0" applyNumberFormat="1" applyFont="1" applyBorder="1" applyProtection="1"/>
    <xf numFmtId="4" fontId="3" fillId="0" borderId="0" xfId="0" applyNumberFormat="1" applyFont="1" applyBorder="1" applyAlignment="1" applyProtection="1">
      <alignment horizontal="center"/>
    </xf>
    <xf numFmtId="4" fontId="3" fillId="0" borderId="0" xfId="4" quotePrefix="1" applyNumberFormat="1" applyFont="1" applyBorder="1" applyAlignment="1" applyProtection="1">
      <alignment horizontal="left"/>
    </xf>
    <xf numFmtId="10" fontId="0" fillId="0" borderId="0" xfId="4" applyNumberFormat="1" applyFont="1" applyBorder="1"/>
    <xf numFmtId="4" fontId="0" fillId="0" borderId="0" xfId="0" quotePrefix="1" applyNumberFormat="1" applyBorder="1" applyAlignment="1" applyProtection="1">
      <alignment horizontal="left"/>
    </xf>
    <xf numFmtId="4" fontId="32" fillId="0" borderId="0" xfId="0" applyNumberFormat="1" applyFont="1" applyBorder="1" applyAlignment="1" applyProtection="1">
      <alignment vertical="center"/>
    </xf>
    <xf numFmtId="4" fontId="32" fillId="0" borderId="0" xfId="0" quotePrefix="1" applyNumberFormat="1" applyFont="1" applyBorder="1" applyAlignment="1" applyProtection="1">
      <alignment horizontal="left" vertical="center"/>
    </xf>
    <xf numFmtId="4" fontId="33" fillId="0" borderId="0" xfId="0" applyNumberFormat="1" applyFont="1" applyBorder="1" applyProtection="1"/>
    <xf numFmtId="4" fontId="0" fillId="0" borderId="10" xfId="4" applyNumberFormat="1" applyFont="1" applyBorder="1"/>
    <xf numFmtId="4" fontId="0" fillId="0" borderId="29" xfId="0" applyNumberFormat="1" applyBorder="1" applyProtection="1"/>
    <xf numFmtId="4" fontId="0" fillId="0" borderId="29" xfId="0" applyNumberFormat="1" applyFill="1" applyBorder="1" applyAlignment="1" applyProtection="1">
      <alignment horizontal="center"/>
    </xf>
    <xf numFmtId="9" fontId="3" fillId="0" borderId="29" xfId="4" applyFont="1" applyFill="1" applyBorder="1" applyAlignment="1" applyProtection="1">
      <alignment horizontal="center"/>
    </xf>
    <xf numFmtId="4" fontId="0" fillId="0" borderId="29" xfId="0" applyNumberFormat="1" applyFill="1" applyBorder="1" applyProtection="1"/>
    <xf numFmtId="4" fontId="0" fillId="0" borderId="23" xfId="4" applyNumberFormat="1" applyFont="1" applyBorder="1"/>
    <xf numFmtId="4" fontId="0" fillId="0" borderId="26" xfId="0" applyNumberFormat="1" applyBorder="1" applyProtection="1"/>
    <xf numFmtId="4" fontId="0" fillId="0" borderId="27" xfId="0" applyNumberFormat="1" applyBorder="1" applyProtection="1">
      <protection locked="0"/>
    </xf>
    <xf numFmtId="4" fontId="0" fillId="0" borderId="27" xfId="0" applyNumberFormat="1" applyBorder="1"/>
    <xf numFmtId="4" fontId="0" fillId="0" borderId="27" xfId="4" applyNumberFormat="1" applyFont="1" applyBorder="1"/>
    <xf numFmtId="4" fontId="0" fillId="0" borderId="28" xfId="4" applyNumberFormat="1" applyFont="1" applyBorder="1"/>
    <xf numFmtId="0" fontId="29" fillId="10" borderId="23" xfId="0" applyFont="1" applyFill="1" applyBorder="1" applyAlignment="1">
      <alignment horizontal="center"/>
    </xf>
    <xf numFmtId="4" fontId="34" fillId="0" borderId="22" xfId="0" quotePrefix="1" applyNumberFormat="1" applyFont="1" applyBorder="1" applyAlignment="1" applyProtection="1">
      <alignment horizontal="center" vertical="center"/>
    </xf>
    <xf numFmtId="0" fontId="35" fillId="0" borderId="32" xfId="0" quotePrefix="1" applyFont="1" applyBorder="1" applyAlignment="1" applyProtection="1">
      <alignment horizontal="center" vertical="center"/>
    </xf>
    <xf numFmtId="4" fontId="36" fillId="0" borderId="0" xfId="0" applyNumberFormat="1" applyFont="1"/>
    <xf numFmtId="4" fontId="36" fillId="0" borderId="6" xfId="0" applyNumberFormat="1" applyFont="1" applyBorder="1"/>
    <xf numFmtId="4" fontId="36" fillId="0" borderId="8" xfId="0" applyNumberFormat="1" applyFont="1" applyBorder="1" applyProtection="1"/>
    <xf numFmtId="4" fontId="35" fillId="0" borderId="21" xfId="0" quotePrefix="1" applyNumberFormat="1" applyFont="1" applyBorder="1" applyAlignment="1" applyProtection="1">
      <alignment horizontal="center" vertical="center"/>
    </xf>
    <xf numFmtId="4" fontId="35" fillId="0" borderId="22" xfId="4" quotePrefix="1" applyNumberFormat="1" applyFont="1" applyBorder="1" applyAlignment="1" applyProtection="1">
      <alignment horizontal="center" vertical="center"/>
    </xf>
    <xf numFmtId="4" fontId="29" fillId="10" borderId="0" xfId="0" applyNumberFormat="1" applyFont="1" applyFill="1" applyBorder="1" applyAlignment="1" applyProtection="1">
      <alignment horizontal="center" wrapText="1"/>
    </xf>
    <xf numFmtId="0" fontId="29" fillId="10" borderId="0" xfId="0" applyFont="1" applyFill="1" applyBorder="1" applyAlignment="1">
      <alignment horizontal="center" wrapText="1"/>
    </xf>
    <xf numFmtId="0" fontId="0" fillId="0" borderId="43" xfId="0" applyBorder="1"/>
    <xf numFmtId="0" fontId="0" fillId="0" borderId="44" xfId="0" applyBorder="1"/>
    <xf numFmtId="4" fontId="22" fillId="0" borderId="44" xfId="4" applyNumberFormat="1" applyFont="1" applyBorder="1" applyProtection="1"/>
    <xf numFmtId="4" fontId="0" fillId="0" borderId="44" xfId="0" applyNumberFormat="1" applyBorder="1" applyProtection="1"/>
    <xf numFmtId="0" fontId="0" fillId="0" borderId="44" xfId="0" applyBorder="1" applyProtection="1"/>
    <xf numFmtId="0" fontId="0" fillId="0" borderId="45" xfId="0" applyBorder="1"/>
    <xf numFmtId="0" fontId="0" fillId="0" borderId="46" xfId="0" applyBorder="1"/>
    <xf numFmtId="0" fontId="0" fillId="0" borderId="47" xfId="0" applyBorder="1"/>
    <xf numFmtId="4" fontId="16" fillId="0" borderId="0" xfId="0" quotePrefix="1" applyNumberFormat="1" applyFont="1" applyBorder="1" applyAlignment="1" applyProtection="1">
      <alignment horizontal="center"/>
    </xf>
    <xf numFmtId="1" fontId="0" fillId="0" borderId="0" xfId="0" applyNumberFormat="1" applyFill="1" applyBorder="1" applyAlignment="1" applyProtection="1">
      <alignment horizontal="center"/>
    </xf>
    <xf numFmtId="0" fontId="16" fillId="0" borderId="0" xfId="0" quotePrefix="1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0" fillId="0" borderId="48" xfId="0" applyBorder="1"/>
    <xf numFmtId="0" fontId="0" fillId="0" borderId="49" xfId="0" applyBorder="1"/>
    <xf numFmtId="4" fontId="22" fillId="0" borderId="49" xfId="4" applyNumberFormat="1" applyFont="1" applyBorder="1" applyProtection="1"/>
    <xf numFmtId="0" fontId="0" fillId="0" borderId="49" xfId="0" applyBorder="1" applyProtection="1"/>
    <xf numFmtId="4" fontId="0" fillId="0" borderId="49" xfId="0" applyNumberFormat="1" applyBorder="1" applyProtection="1"/>
    <xf numFmtId="0" fontId="0" fillId="0" borderId="50" xfId="0" applyBorder="1"/>
    <xf numFmtId="0" fontId="0" fillId="11" borderId="0" xfId="0" applyFill="1"/>
    <xf numFmtId="0" fontId="0" fillId="0" borderId="51" xfId="0" applyBorder="1"/>
    <xf numFmtId="4" fontId="0" fillId="0" borderId="51" xfId="0" applyNumberFormat="1" applyBorder="1" applyProtection="1"/>
    <xf numFmtId="4" fontId="16" fillId="0" borderId="51" xfId="0" applyNumberFormat="1" applyFont="1" applyBorder="1" applyAlignment="1" applyProtection="1">
      <alignment horizontal="center"/>
    </xf>
    <xf numFmtId="4" fontId="16" fillId="0" borderId="51" xfId="0" quotePrefix="1" applyNumberFormat="1" applyFont="1" applyBorder="1" applyAlignment="1" applyProtection="1">
      <alignment horizontal="center"/>
    </xf>
    <xf numFmtId="4" fontId="3" fillId="0" borderId="51" xfId="0" applyNumberFormat="1" applyFont="1" applyBorder="1" applyProtection="1"/>
    <xf numFmtId="4" fontId="22" fillId="0" borderId="52" xfId="4" applyNumberFormat="1" applyFont="1" applyBorder="1" applyProtection="1"/>
    <xf numFmtId="0" fontId="0" fillId="0" borderId="52" xfId="0" applyBorder="1" applyProtection="1"/>
    <xf numFmtId="10" fontId="22" fillId="0" borderId="52" xfId="4" applyNumberFormat="1" applyFont="1" applyBorder="1" applyProtection="1"/>
    <xf numFmtId="0" fontId="33" fillId="0" borderId="0" xfId="0" applyFont="1" applyBorder="1"/>
    <xf numFmtId="3" fontId="37" fillId="12" borderId="53" xfId="0" applyNumberFormat="1" applyFont="1" applyFill="1" applyBorder="1" applyAlignment="1" applyProtection="1">
      <alignment horizontal="center" vertical="center"/>
      <protection locked="0"/>
    </xf>
    <xf numFmtId="4" fontId="37" fillId="0" borderId="0" xfId="0" applyNumberFormat="1" applyFont="1" applyBorder="1" applyAlignment="1" applyProtection="1">
      <alignment horizontal="center"/>
    </xf>
    <xf numFmtId="4" fontId="37" fillId="0" borderId="0" xfId="0" quotePrefix="1" applyNumberFormat="1" applyFont="1" applyBorder="1" applyAlignment="1" applyProtection="1">
      <alignment horizontal="center"/>
    </xf>
    <xf numFmtId="4" fontId="37" fillId="0" borderId="0" xfId="4" quotePrefix="1" applyNumberFormat="1" applyFont="1" applyBorder="1" applyAlignment="1" applyProtection="1">
      <alignment horizontal="center"/>
    </xf>
    <xf numFmtId="4" fontId="37" fillId="0" borderId="0" xfId="4" applyNumberFormat="1" applyFont="1" applyBorder="1" applyAlignment="1" applyProtection="1">
      <alignment horizontal="center"/>
    </xf>
    <xf numFmtId="0" fontId="38" fillId="0" borderId="0" xfId="0" applyFont="1" applyBorder="1" applyProtection="1"/>
    <xf numFmtId="0" fontId="37" fillId="0" borderId="0" xfId="0" applyFont="1" applyBorder="1" applyAlignment="1" applyProtection="1">
      <alignment horizontal="center"/>
    </xf>
    <xf numFmtId="4" fontId="22" fillId="0" borderId="54" xfId="4" applyNumberFormat="1" applyFont="1" applyBorder="1" applyProtection="1"/>
    <xf numFmtId="0" fontId="0" fillId="0" borderId="54" xfId="0" applyBorder="1" applyProtection="1"/>
    <xf numFmtId="10" fontId="22" fillId="0" borderId="54" xfId="4" applyNumberFormat="1" applyFont="1" applyBorder="1" applyProtection="1"/>
    <xf numFmtId="4" fontId="22" fillId="0" borderId="55" xfId="4" applyNumberFormat="1" applyFont="1" applyBorder="1" applyProtection="1"/>
    <xf numFmtId="4" fontId="22" fillId="0" borderId="56" xfId="4" applyNumberFormat="1" applyFont="1" applyBorder="1" applyProtection="1"/>
    <xf numFmtId="4" fontId="39" fillId="12" borderId="53" xfId="0" applyNumberFormat="1" applyFont="1" applyFill="1" applyBorder="1" applyProtection="1">
      <protection locked="0"/>
    </xf>
    <xf numFmtId="4" fontId="39" fillId="12" borderId="57" xfId="0" applyNumberFormat="1" applyFont="1" applyFill="1" applyBorder="1" applyProtection="1">
      <protection locked="0"/>
    </xf>
    <xf numFmtId="4" fontId="39" fillId="0" borderId="58" xfId="0" applyNumberFormat="1" applyFont="1" applyBorder="1" applyProtection="1"/>
    <xf numFmtId="4" fontId="39" fillId="0" borderId="54" xfId="0" applyNumberFormat="1" applyFont="1" applyBorder="1" applyProtection="1"/>
    <xf numFmtId="4" fontId="39" fillId="12" borderId="53" xfId="0" quotePrefix="1" applyNumberFormat="1" applyFont="1" applyFill="1" applyBorder="1" applyAlignment="1" applyProtection="1">
      <alignment horizontal="left"/>
      <protection locked="0"/>
    </xf>
    <xf numFmtId="4" fontId="34" fillId="0" borderId="0" xfId="0" applyNumberFormat="1" applyFont="1" applyBorder="1" applyProtection="1"/>
    <xf numFmtId="4" fontId="39" fillId="0" borderId="0" xfId="0" applyNumberFormat="1" applyFont="1" applyBorder="1" applyProtection="1"/>
    <xf numFmtId="4" fontId="34" fillId="0" borderId="0" xfId="0" applyNumberFormat="1" applyFont="1" applyBorder="1" applyAlignment="1" applyProtection="1">
      <alignment horizontal="right"/>
    </xf>
    <xf numFmtId="4" fontId="34" fillId="0" borderId="58" xfId="0" applyNumberFormat="1" applyFont="1" applyBorder="1" applyProtection="1"/>
    <xf numFmtId="4" fontId="34" fillId="0" borderId="54" xfId="0" applyNumberFormat="1" applyFont="1" applyBorder="1" applyProtection="1"/>
    <xf numFmtId="4" fontId="34" fillId="0" borderId="53" xfId="0" applyNumberFormat="1" applyFont="1" applyBorder="1" applyProtection="1"/>
    <xf numFmtId="4" fontId="34" fillId="0" borderId="53" xfId="4" applyNumberFormat="1" applyFont="1" applyBorder="1" applyProtection="1"/>
    <xf numFmtId="0" fontId="34" fillId="0" borderId="53" xfId="0" applyFont="1" applyBorder="1" applyProtection="1"/>
    <xf numFmtId="0" fontId="39" fillId="0" borderId="53" xfId="0" applyFont="1" applyBorder="1" applyProtection="1"/>
    <xf numFmtId="10" fontId="39" fillId="12" borderId="57" xfId="4" applyNumberFormat="1" applyFont="1" applyFill="1" applyBorder="1" applyProtection="1">
      <protection locked="0"/>
    </xf>
    <xf numFmtId="10" fontId="39" fillId="12" borderId="59" xfId="4" applyNumberFormat="1" applyFont="1" applyFill="1" applyBorder="1" applyProtection="1">
      <protection locked="0"/>
    </xf>
    <xf numFmtId="10" fontId="39" fillId="12" borderId="60" xfId="4" applyNumberFormat="1" applyFont="1" applyFill="1" applyBorder="1" applyProtection="1">
      <protection locked="0"/>
    </xf>
    <xf numFmtId="10" fontId="39" fillId="12" borderId="53" xfId="4" applyNumberFormat="1" applyFont="1" applyFill="1" applyBorder="1" applyProtection="1">
      <protection locked="0"/>
    </xf>
    <xf numFmtId="4" fontId="0" fillId="12" borderId="61" xfId="0" applyNumberFormat="1" applyFill="1" applyBorder="1" applyAlignment="1" applyProtection="1">
      <alignment horizontal="center"/>
      <protection locked="0"/>
    </xf>
    <xf numFmtId="165" fontId="4" fillId="12" borderId="61" xfId="4" applyNumberFormat="1" applyFont="1" applyFill="1" applyBorder="1" applyAlignment="1" applyProtection="1">
      <alignment horizontal="center"/>
      <protection locked="0"/>
    </xf>
    <xf numFmtId="1" fontId="4" fillId="12" borderId="61" xfId="4" applyNumberFormat="1" applyFont="1" applyFill="1" applyBorder="1" applyAlignment="1" applyProtection="1">
      <alignment horizontal="center"/>
      <protection locked="0"/>
    </xf>
    <xf numFmtId="0" fontId="0" fillId="12" borderId="61" xfId="0" applyNumberFormat="1" applyFill="1" applyBorder="1" applyAlignment="1" applyProtection="1">
      <alignment horizontal="center"/>
      <protection locked="0"/>
    </xf>
    <xf numFmtId="4" fontId="0" fillId="12" borderId="61" xfId="0" applyNumberFormat="1" applyFill="1" applyBorder="1" applyAlignment="1" applyProtection="1">
      <alignment horizontal="right"/>
      <protection locked="0"/>
    </xf>
    <xf numFmtId="4" fontId="40" fillId="0" borderId="0" xfId="0" quotePrefix="1" applyNumberFormat="1" applyFont="1" applyFill="1" applyBorder="1" applyAlignment="1" applyProtection="1">
      <alignment horizontal="left" vertical="center"/>
    </xf>
    <xf numFmtId="4" fontId="38" fillId="0" borderId="0" xfId="4" applyNumberFormat="1" applyFont="1" applyFill="1" applyBorder="1"/>
    <xf numFmtId="0" fontId="40" fillId="0" borderId="0" xfId="0" quotePrefix="1" applyFont="1" applyBorder="1" applyAlignment="1" applyProtection="1">
      <alignment horizontal="left"/>
    </xf>
    <xf numFmtId="4" fontId="38" fillId="0" borderId="0" xfId="0" applyNumberFormat="1" applyFont="1" applyBorder="1"/>
    <xf numFmtId="0" fontId="38" fillId="0" borderId="0" xfId="0" quotePrefix="1" applyFont="1" applyBorder="1" applyAlignment="1" applyProtection="1">
      <alignment horizontal="left"/>
    </xf>
    <xf numFmtId="4" fontId="39" fillId="13" borderId="62" xfId="0" applyNumberFormat="1" applyFont="1" applyFill="1" applyBorder="1" applyProtection="1">
      <protection locked="0"/>
    </xf>
    <xf numFmtId="3" fontId="39" fillId="13" borderId="62" xfId="0" applyNumberFormat="1" applyFont="1" applyFill="1" applyBorder="1" applyAlignment="1" applyProtection="1">
      <alignment horizontal="center"/>
      <protection locked="0"/>
    </xf>
    <xf numFmtId="9" fontId="39" fillId="13" borderId="62" xfId="0" applyNumberFormat="1" applyFont="1" applyFill="1" applyBorder="1" applyAlignment="1" applyProtection="1">
      <alignment horizontal="center"/>
      <protection locked="0"/>
    </xf>
    <xf numFmtId="4" fontId="39" fillId="13" borderId="62" xfId="0" applyNumberFormat="1" applyFont="1" applyFill="1" applyBorder="1" applyAlignment="1" applyProtection="1">
      <alignment horizontal="right"/>
      <protection locked="0"/>
    </xf>
    <xf numFmtId="4" fontId="39" fillId="13" borderId="63" xfId="0" applyNumberFormat="1" applyFont="1" applyFill="1" applyBorder="1" applyAlignment="1" applyProtection="1">
      <alignment horizontal="left"/>
      <protection locked="0"/>
    </xf>
    <xf numFmtId="4" fontId="39" fillId="13" borderId="63" xfId="0" applyNumberFormat="1" applyFont="1" applyFill="1" applyBorder="1" applyProtection="1">
      <protection locked="0"/>
    </xf>
    <xf numFmtId="4" fontId="34" fillId="0" borderId="62" xfId="0" quotePrefix="1" applyNumberFormat="1" applyFont="1" applyBorder="1" applyAlignment="1" applyProtection="1">
      <alignment horizontal="left"/>
    </xf>
    <xf numFmtId="4" fontId="34" fillId="0" borderId="62" xfId="0" applyNumberFormat="1" applyFont="1" applyBorder="1" applyProtection="1"/>
    <xf numFmtId="4" fontId="39" fillId="0" borderId="62" xfId="0" applyNumberFormat="1" applyFont="1" applyBorder="1" applyProtection="1"/>
    <xf numFmtId="4" fontId="34" fillId="0" borderId="62" xfId="0" applyNumberFormat="1" applyFont="1" applyBorder="1" applyAlignment="1" applyProtection="1">
      <alignment horizontal="left"/>
    </xf>
    <xf numFmtId="9" fontId="39" fillId="13" borderId="64" xfId="0" applyNumberFormat="1" applyFont="1" applyFill="1" applyBorder="1" applyAlignment="1" applyProtection="1">
      <alignment horizontal="center" vertical="justify"/>
      <protection locked="0"/>
    </xf>
    <xf numFmtId="9" fontId="39" fillId="13" borderId="64" xfId="0" applyNumberFormat="1" applyFont="1" applyFill="1" applyBorder="1" applyAlignment="1" applyProtection="1">
      <alignment horizontal="center"/>
      <protection locked="0"/>
    </xf>
    <xf numFmtId="9" fontId="34" fillId="13" borderId="62" xfId="0" applyNumberFormat="1" applyFont="1" applyFill="1" applyBorder="1" applyAlignment="1" applyProtection="1">
      <alignment horizontal="center"/>
      <protection locked="0"/>
    </xf>
    <xf numFmtId="9" fontId="34" fillId="13" borderId="64" xfId="0" applyNumberFormat="1" applyFont="1" applyFill="1" applyBorder="1" applyAlignment="1" applyProtection="1">
      <alignment horizontal="center"/>
      <protection locked="0"/>
    </xf>
    <xf numFmtId="0" fontId="39" fillId="13" borderId="62" xfId="0" applyFont="1" applyFill="1" applyBorder="1" applyProtection="1">
      <protection locked="0"/>
    </xf>
    <xf numFmtId="4" fontId="39" fillId="0" borderId="62" xfId="0" applyNumberFormat="1" applyFont="1" applyFill="1" applyBorder="1" applyProtection="1"/>
    <xf numFmtId="0" fontId="33" fillId="0" borderId="0" xfId="0" applyFont="1" applyBorder="1" applyAlignment="1">
      <alignment horizontal="center" vertical="center"/>
    </xf>
    <xf numFmtId="4" fontId="41" fillId="0" borderId="33" xfId="0" applyNumberFormat="1" applyFont="1" applyBorder="1" applyProtection="1"/>
    <xf numFmtId="165" fontId="41" fillId="14" borderId="53" xfId="4" applyNumberFormat="1" applyFont="1" applyFill="1" applyBorder="1" applyProtection="1">
      <protection locked="0"/>
    </xf>
    <xf numFmtId="10" fontId="41" fillId="14" borderId="53" xfId="4" applyNumberFormat="1" applyFont="1" applyFill="1" applyBorder="1" applyAlignment="1" applyProtection="1">
      <alignment horizontal="center"/>
      <protection locked="0"/>
    </xf>
    <xf numFmtId="10" fontId="41" fillId="14" borderId="53" xfId="4" applyNumberFormat="1" applyFont="1" applyFill="1" applyBorder="1" applyProtection="1">
      <protection locked="0"/>
    </xf>
    <xf numFmtId="4" fontId="4" fillId="0" borderId="0" xfId="4" quotePrefix="1" applyNumberFormat="1" applyFont="1" applyBorder="1" applyAlignment="1" applyProtection="1">
      <alignment horizontal="left"/>
    </xf>
    <xf numFmtId="10" fontId="0" fillId="15" borderId="17" xfId="0" applyNumberFormat="1" applyFill="1" applyBorder="1" applyAlignment="1" applyProtection="1">
      <alignment horizontal="center"/>
      <protection locked="0"/>
    </xf>
    <xf numFmtId="10" fontId="0" fillId="15" borderId="12" xfId="0" applyNumberFormat="1" applyFill="1" applyBorder="1" applyAlignment="1" applyProtection="1">
      <alignment horizontal="center"/>
      <protection locked="0"/>
    </xf>
    <xf numFmtId="4" fontId="41" fillId="0" borderId="20" xfId="0" applyNumberFormat="1" applyFont="1" applyBorder="1" applyProtection="1"/>
    <xf numFmtId="4" fontId="42" fillId="0" borderId="12" xfId="0" applyNumberFormat="1" applyFont="1" applyBorder="1" applyProtection="1"/>
    <xf numFmtId="10" fontId="41" fillId="15" borderId="34" xfId="4" applyNumberFormat="1" applyFont="1" applyFill="1" applyBorder="1" applyProtection="1">
      <protection locked="0"/>
    </xf>
    <xf numFmtId="0" fontId="0" fillId="14" borderId="53" xfId="0" applyFill="1" applyBorder="1" applyAlignment="1" applyProtection="1">
      <alignment horizontal="center"/>
      <protection locked="0"/>
    </xf>
    <xf numFmtId="4" fontId="43" fillId="16" borderId="0" xfId="4" applyNumberFormat="1" applyFont="1" applyFill="1" applyBorder="1" applyAlignment="1" applyProtection="1">
      <alignment horizontal="center"/>
    </xf>
    <xf numFmtId="4" fontId="22" fillId="0" borderId="0" xfId="4" applyNumberFormat="1" applyFont="1" applyBorder="1" applyProtection="1"/>
    <xf numFmtId="0" fontId="0" fillId="0" borderId="65" xfId="0" applyBorder="1"/>
    <xf numFmtId="4" fontId="23" fillId="0" borderId="65" xfId="4" applyNumberFormat="1" applyFont="1" applyBorder="1" applyProtection="1"/>
    <xf numFmtId="0" fontId="0" fillId="0" borderId="65" xfId="0" applyBorder="1" applyProtection="1"/>
    <xf numFmtId="0" fontId="0" fillId="0" borderId="66" xfId="0" applyBorder="1"/>
    <xf numFmtId="0" fontId="0" fillId="0" borderId="67" xfId="0" applyBorder="1"/>
    <xf numFmtId="0" fontId="0" fillId="0" borderId="68" xfId="0" applyBorder="1"/>
    <xf numFmtId="4" fontId="44" fillId="0" borderId="0" xfId="0" applyNumberFormat="1" applyFont="1" applyBorder="1" applyAlignment="1" applyProtection="1">
      <alignment horizontal="center"/>
    </xf>
    <xf numFmtId="4" fontId="44" fillId="0" borderId="0" xfId="4" applyNumberFormat="1" applyFont="1" applyBorder="1" applyAlignment="1" applyProtection="1">
      <alignment horizontal="center"/>
    </xf>
    <xf numFmtId="0" fontId="44" fillId="0" borderId="0" xfId="0" applyFont="1" applyBorder="1" applyAlignment="1" applyProtection="1">
      <alignment horizontal="center"/>
    </xf>
    <xf numFmtId="0" fontId="45" fillId="0" borderId="0" xfId="0" applyFont="1" applyBorder="1" applyProtection="1"/>
    <xf numFmtId="4" fontId="23" fillId="0" borderId="0" xfId="4" applyNumberFormat="1" applyFont="1" applyBorder="1" applyProtection="1"/>
    <xf numFmtId="4" fontId="44" fillId="0" borderId="0" xfId="0" quotePrefix="1" applyNumberFormat="1" applyFont="1" applyBorder="1" applyAlignment="1" applyProtection="1">
      <alignment horizontal="center"/>
    </xf>
    <xf numFmtId="4" fontId="23" fillId="0" borderId="0" xfId="4" applyNumberFormat="1" applyFont="1" applyBorder="1" applyAlignment="1" applyProtection="1">
      <alignment horizontal="center"/>
    </xf>
    <xf numFmtId="4" fontId="44" fillId="0" borderId="0" xfId="4" quotePrefix="1" applyNumberFormat="1" applyFont="1" applyBorder="1" applyAlignment="1" applyProtection="1">
      <alignment horizontal="center"/>
    </xf>
    <xf numFmtId="4" fontId="41" fillId="0" borderId="0" xfId="0" applyNumberFormat="1" applyFont="1" applyBorder="1" applyProtection="1"/>
    <xf numFmtId="0" fontId="41" fillId="0" borderId="0" xfId="0" applyFont="1" applyBorder="1"/>
    <xf numFmtId="0" fontId="0" fillId="0" borderId="69" xfId="0" applyBorder="1"/>
    <xf numFmtId="0" fontId="0" fillId="0" borderId="69" xfId="0" applyBorder="1" applyProtection="1"/>
    <xf numFmtId="4" fontId="23" fillId="0" borderId="69" xfId="4" applyNumberFormat="1" applyFont="1" applyBorder="1" applyProtection="1"/>
    <xf numFmtId="4" fontId="0" fillId="0" borderId="69" xfId="0" applyNumberFormat="1" applyBorder="1" applyProtection="1"/>
    <xf numFmtId="0" fontId="0" fillId="0" borderId="70" xfId="0" applyBorder="1"/>
    <xf numFmtId="0" fontId="0" fillId="0" borderId="71" xfId="0" applyBorder="1"/>
    <xf numFmtId="10" fontId="3" fillId="0" borderId="71" xfId="0" applyNumberFormat="1" applyFont="1" applyBorder="1" applyAlignment="1" applyProtection="1">
      <alignment horizontal="right" vertical="center"/>
    </xf>
    <xf numFmtId="0" fontId="0" fillId="0" borderId="71" xfId="0" applyBorder="1" applyProtection="1"/>
    <xf numFmtId="10" fontId="22" fillId="0" borderId="0" xfId="4" applyNumberFormat="1" applyFont="1" applyBorder="1" applyProtection="1"/>
    <xf numFmtId="4" fontId="34" fillId="0" borderId="0" xfId="4" applyNumberFormat="1" applyFont="1" applyBorder="1" applyProtection="1"/>
    <xf numFmtId="0" fontId="0" fillId="0" borderId="66" xfId="0" applyBorder="1" applyProtection="1"/>
    <xf numFmtId="4" fontId="44" fillId="0" borderId="68" xfId="0" quotePrefix="1" applyNumberFormat="1" applyFont="1" applyBorder="1" applyAlignment="1" applyProtection="1">
      <alignment horizontal="center"/>
    </xf>
    <xf numFmtId="0" fontId="0" fillId="0" borderId="70" xfId="0" applyBorder="1" applyProtection="1"/>
    <xf numFmtId="10" fontId="39" fillId="10" borderId="0" xfId="4" applyNumberFormat="1" applyFont="1" applyFill="1" applyBorder="1" applyProtection="1">
      <protection locked="0"/>
    </xf>
    <xf numFmtId="0" fontId="46" fillId="10" borderId="68" xfId="0" applyFont="1" applyFill="1" applyBorder="1" applyAlignment="1">
      <alignment horizontal="center"/>
    </xf>
    <xf numFmtId="10" fontId="41" fillId="10" borderId="68" xfId="4" applyNumberFormat="1" applyFont="1" applyFill="1" applyBorder="1" applyAlignment="1" applyProtection="1">
      <alignment horizontal="center"/>
      <protection locked="0"/>
    </xf>
    <xf numFmtId="10" fontId="41" fillId="14" borderId="72" xfId="4" applyNumberFormat="1" applyFont="1" applyFill="1" applyBorder="1" applyAlignment="1" applyProtection="1">
      <alignment horizontal="center"/>
      <protection locked="0"/>
    </xf>
    <xf numFmtId="0" fontId="0" fillId="0" borderId="68" xfId="0" applyBorder="1" applyProtection="1"/>
    <xf numFmtId="4" fontId="0" fillId="0" borderId="73" xfId="0" applyNumberFormat="1" applyBorder="1" applyProtection="1"/>
    <xf numFmtId="4" fontId="0" fillId="0" borderId="67" xfId="0" applyNumberFormat="1" applyBorder="1" applyProtection="1"/>
    <xf numFmtId="0" fontId="0" fillId="10" borderId="67" xfId="0" applyFill="1" applyBorder="1"/>
    <xf numFmtId="4" fontId="0" fillId="0" borderId="74" xfId="0" applyNumberFormat="1" applyBorder="1" applyProtection="1"/>
    <xf numFmtId="10" fontId="41" fillId="14" borderId="75" xfId="4" applyNumberFormat="1" applyFont="1" applyFill="1" applyBorder="1" applyProtection="1">
      <protection locked="0"/>
    </xf>
    <xf numFmtId="4" fontId="34" fillId="0" borderId="0" xfId="0" applyNumberFormat="1" applyFont="1" applyBorder="1" applyAlignment="1" applyProtection="1">
      <alignment horizontal="center"/>
    </xf>
    <xf numFmtId="4" fontId="39" fillId="0" borderId="9" xfId="0" applyNumberFormat="1" applyFont="1" applyBorder="1"/>
    <xf numFmtId="0" fontId="0" fillId="0" borderId="73" xfId="0" applyBorder="1"/>
    <xf numFmtId="4" fontId="0" fillId="0" borderId="68" xfId="0" applyNumberFormat="1" applyBorder="1" applyProtection="1"/>
    <xf numFmtId="4" fontId="24" fillId="0" borderId="68" xfId="4" applyNumberFormat="1" applyFont="1" applyBorder="1" applyAlignment="1" applyProtection="1">
      <alignment horizontal="right"/>
    </xf>
    <xf numFmtId="4" fontId="39" fillId="0" borderId="0" xfId="0" applyNumberFormat="1" applyFont="1" applyFill="1" applyBorder="1" applyProtection="1"/>
    <xf numFmtId="4" fontId="3" fillId="0" borderId="67" xfId="0" applyNumberFormat="1" applyFont="1" applyBorder="1" applyProtection="1"/>
    <xf numFmtId="0" fontId="34" fillId="0" borderId="0" xfId="0" applyFont="1" applyBorder="1" applyAlignment="1" applyProtection="1">
      <alignment horizontal="right"/>
    </xf>
    <xf numFmtId="0" fontId="34" fillId="0" borderId="0" xfId="0" applyFont="1" applyBorder="1" applyAlignment="1" applyProtection="1">
      <alignment horizontal="center"/>
    </xf>
    <xf numFmtId="4" fontId="0" fillId="0" borderId="74" xfId="0" applyNumberFormat="1" applyBorder="1" applyProtection="1">
      <protection locked="0"/>
    </xf>
    <xf numFmtId="4" fontId="0" fillId="14" borderId="53" xfId="0" applyNumberFormat="1" applyFill="1" applyBorder="1" applyProtection="1">
      <protection locked="0"/>
    </xf>
    <xf numFmtId="4" fontId="0" fillId="14" borderId="53" xfId="0" applyNumberFormat="1" applyFill="1" applyBorder="1" applyAlignment="1" applyProtection="1">
      <alignment horizontal="left" indent="2"/>
      <protection locked="0"/>
    </xf>
    <xf numFmtId="4" fontId="39" fillId="14" borderId="57" xfId="0" applyNumberFormat="1" applyFont="1" applyFill="1" applyBorder="1" applyProtection="1">
      <protection locked="0"/>
    </xf>
    <xf numFmtId="4" fontId="39" fillId="0" borderId="57" xfId="0" applyNumberFormat="1" applyFont="1" applyFill="1" applyBorder="1" applyProtection="1"/>
    <xf numFmtId="4" fontId="0" fillId="14" borderId="76" xfId="0" applyNumberFormat="1" applyFill="1" applyBorder="1" applyProtection="1">
      <protection locked="0"/>
    </xf>
    <xf numFmtId="4" fontId="0" fillId="0" borderId="76" xfId="0" applyNumberFormat="1" applyFill="1" applyBorder="1" applyProtection="1"/>
    <xf numFmtId="4" fontId="39" fillId="14" borderId="76" xfId="0" applyNumberFormat="1" applyFont="1" applyFill="1" applyBorder="1" applyProtection="1">
      <protection locked="0"/>
    </xf>
    <xf numFmtId="4" fontId="39" fillId="0" borderId="76" xfId="0" applyNumberFormat="1" applyFont="1" applyFill="1" applyBorder="1" applyProtection="1"/>
    <xf numFmtId="4" fontId="0" fillId="14" borderId="59" xfId="0" applyNumberFormat="1" applyFill="1" applyBorder="1" applyAlignment="1" applyProtection="1">
      <alignment horizontal="left" indent="2"/>
      <protection locked="0"/>
    </xf>
    <xf numFmtId="4" fontId="47" fillId="0" borderId="77" xfId="0" applyNumberFormat="1" applyFont="1" applyFill="1" applyBorder="1" applyAlignment="1" applyProtection="1">
      <alignment horizontal="left"/>
    </xf>
    <xf numFmtId="4" fontId="47" fillId="0" borderId="77" xfId="0" quotePrefix="1" applyNumberFormat="1" applyFont="1" applyFill="1" applyBorder="1" applyAlignment="1" applyProtection="1">
      <alignment horizontal="left"/>
    </xf>
    <xf numFmtId="4" fontId="34" fillId="0" borderId="77" xfId="0" applyNumberFormat="1" applyFont="1" applyBorder="1" applyProtection="1"/>
    <xf numFmtId="4" fontId="39" fillId="0" borderId="77" xfId="0" applyNumberFormat="1" applyFont="1" applyBorder="1" applyProtection="1"/>
    <xf numFmtId="4" fontId="39" fillId="0" borderId="77" xfId="0" applyNumberFormat="1" applyFont="1" applyFill="1" applyBorder="1" applyProtection="1"/>
    <xf numFmtId="4" fontId="39" fillId="0" borderId="77" xfId="0" applyNumberFormat="1" applyFont="1" applyBorder="1"/>
    <xf numFmtId="0" fontId="0" fillId="0" borderId="78" xfId="0" applyBorder="1"/>
    <xf numFmtId="4" fontId="33" fillId="0" borderId="71" xfId="0" applyNumberFormat="1" applyFont="1" applyBorder="1" applyProtection="1"/>
    <xf numFmtId="4" fontId="37" fillId="0" borderId="71" xfId="0" applyNumberFormat="1" applyFont="1" applyBorder="1" applyProtection="1"/>
    <xf numFmtId="0" fontId="33" fillId="0" borderId="71" xfId="0" applyFont="1" applyBorder="1"/>
    <xf numFmtId="4" fontId="0" fillId="0" borderId="78" xfId="0" applyNumberFormat="1" applyFill="1" applyBorder="1" applyProtection="1"/>
    <xf numFmtId="4" fontId="39" fillId="0" borderId="78" xfId="0" applyNumberFormat="1" applyFont="1" applyFill="1" applyBorder="1" applyProtection="1"/>
    <xf numFmtId="4" fontId="37" fillId="0" borderId="71" xfId="0" applyNumberFormat="1" applyFont="1" applyBorder="1" applyAlignment="1" applyProtection="1">
      <alignment horizontal="center"/>
    </xf>
    <xf numFmtId="4" fontId="37" fillId="0" borderId="79" xfId="0" quotePrefix="1" applyNumberFormat="1" applyFont="1" applyBorder="1" applyAlignment="1" applyProtection="1">
      <alignment horizontal="center"/>
    </xf>
    <xf numFmtId="4" fontId="37" fillId="0" borderId="79" xfId="0" applyNumberFormat="1" applyFont="1" applyBorder="1" applyAlignment="1" applyProtection="1">
      <alignment horizontal="center"/>
    </xf>
    <xf numFmtId="4" fontId="39" fillId="0" borderId="77" xfId="0" applyNumberFormat="1" applyFont="1" applyFill="1" applyBorder="1" applyAlignment="1" applyProtection="1">
      <alignment horizontal="left" indent="1"/>
    </xf>
    <xf numFmtId="4" fontId="39" fillId="0" borderId="77" xfId="0" quotePrefix="1" applyNumberFormat="1" applyFont="1" applyFill="1" applyBorder="1" applyAlignment="1" applyProtection="1">
      <alignment horizontal="left" indent="1"/>
    </xf>
    <xf numFmtId="4" fontId="39" fillId="0" borderId="77" xfId="0" applyNumberFormat="1" applyFont="1" applyFill="1" applyBorder="1" applyAlignment="1" applyProtection="1">
      <alignment horizontal="left" indent="2"/>
    </xf>
    <xf numFmtId="4" fontId="39" fillId="0" borderId="77" xfId="0" quotePrefix="1" applyNumberFormat="1" applyFont="1" applyFill="1" applyBorder="1" applyAlignment="1" applyProtection="1">
      <alignment horizontal="left" indent="2"/>
    </xf>
    <xf numFmtId="4" fontId="39" fillId="0" borderId="77" xfId="0" applyNumberFormat="1" applyFont="1" applyFill="1" applyBorder="1" applyAlignment="1" applyProtection="1">
      <alignment horizontal="left" indent="2"/>
      <protection locked="0"/>
    </xf>
    <xf numFmtId="4" fontId="39" fillId="14" borderId="80" xfId="0" applyNumberFormat="1" applyFont="1" applyFill="1" applyBorder="1" applyAlignment="1" applyProtection="1">
      <alignment horizontal="left" indent="2"/>
      <protection locked="0"/>
    </xf>
    <xf numFmtId="4" fontId="0" fillId="0" borderId="65" xfId="0" applyNumberFormat="1" applyBorder="1" applyProtection="1"/>
    <xf numFmtId="4" fontId="24" fillId="0" borderId="65" xfId="4" applyNumberFormat="1" applyFont="1" applyBorder="1" applyProtection="1"/>
    <xf numFmtId="4" fontId="34" fillId="17" borderId="77" xfId="0" quotePrefix="1" applyNumberFormat="1" applyFont="1" applyFill="1" applyBorder="1" applyAlignment="1" applyProtection="1">
      <alignment horizontal="left"/>
    </xf>
    <xf numFmtId="4" fontId="34" fillId="17" borderId="77" xfId="0" applyNumberFormat="1" applyFont="1" applyFill="1" applyBorder="1" applyProtection="1"/>
    <xf numFmtId="4" fontId="39" fillId="17" borderId="77" xfId="0" applyNumberFormat="1" applyFont="1" applyFill="1" applyBorder="1" applyProtection="1"/>
    <xf numFmtId="4" fontId="39" fillId="0" borderId="1" xfId="0" quotePrefix="1" applyNumberFormat="1" applyFont="1" applyBorder="1" applyAlignment="1" applyProtection="1">
      <alignment horizontal="left"/>
    </xf>
    <xf numFmtId="0" fontId="39" fillId="0" borderId="11" xfId="0" applyFont="1" applyBorder="1"/>
    <xf numFmtId="4" fontId="39" fillId="0" borderId="11" xfId="0" applyNumberFormat="1" applyFont="1" applyBorder="1" applyProtection="1"/>
    <xf numFmtId="4" fontId="39" fillId="0" borderId="9" xfId="0" applyNumberFormat="1" applyFont="1" applyBorder="1" applyProtection="1"/>
    <xf numFmtId="4" fontId="39" fillId="0" borderId="1" xfId="0" applyNumberFormat="1" applyFont="1" applyBorder="1" applyAlignment="1" applyProtection="1"/>
    <xf numFmtId="4" fontId="39" fillId="0" borderId="1" xfId="0" applyNumberFormat="1" applyFont="1" applyBorder="1" applyProtection="1"/>
    <xf numFmtId="4" fontId="39" fillId="0" borderId="11" xfId="0" applyNumberFormat="1" applyFont="1" applyBorder="1"/>
    <xf numFmtId="0" fontId="39" fillId="0" borderId="1" xfId="0" applyFont="1" applyBorder="1"/>
    <xf numFmtId="0" fontId="34" fillId="0" borderId="11" xfId="0" applyFont="1" applyBorder="1"/>
    <xf numFmtId="4" fontId="41" fillId="0" borderId="1" xfId="0" quotePrefix="1" applyNumberFormat="1" applyFont="1" applyBorder="1" applyAlignment="1" applyProtection="1">
      <alignment horizontal="left"/>
    </xf>
    <xf numFmtId="4" fontId="41" fillId="0" borderId="11" xfId="0" applyNumberFormat="1" applyFont="1" applyBorder="1" applyProtection="1"/>
    <xf numFmtId="4" fontId="41" fillId="0" borderId="9" xfId="0" applyNumberFormat="1" applyFont="1" applyBorder="1" applyProtection="1"/>
    <xf numFmtId="4" fontId="42" fillId="0" borderId="14" xfId="0" applyNumberFormat="1" applyFont="1" applyBorder="1" applyProtection="1"/>
    <xf numFmtId="4" fontId="41" fillId="0" borderId="1" xfId="0" applyNumberFormat="1" applyFont="1" applyBorder="1" applyProtection="1"/>
    <xf numFmtId="0" fontId="42" fillId="0" borderId="11" xfId="0" applyFont="1" applyBorder="1"/>
    <xf numFmtId="4" fontId="48" fillId="0" borderId="19" xfId="0" quotePrefix="1" applyNumberFormat="1" applyFont="1" applyBorder="1" applyAlignment="1" applyProtection="1">
      <alignment horizontal="left"/>
    </xf>
    <xf numFmtId="4" fontId="41" fillId="0" borderId="3" xfId="0" quotePrefix="1" applyNumberFormat="1" applyFont="1" applyBorder="1" applyAlignment="1" applyProtection="1">
      <alignment horizontal="left"/>
    </xf>
    <xf numFmtId="0" fontId="42" fillId="0" borderId="21" xfId="0" applyFont="1" applyBorder="1"/>
    <xf numFmtId="10" fontId="41" fillId="0" borderId="21" xfId="4" applyNumberFormat="1" applyFont="1" applyBorder="1" applyProtection="1"/>
    <xf numFmtId="10" fontId="41" fillId="0" borderId="22" xfId="4" applyNumberFormat="1" applyFont="1" applyBorder="1" applyProtection="1"/>
    <xf numFmtId="4" fontId="41" fillId="0" borderId="1" xfId="4" applyNumberFormat="1" applyFont="1" applyBorder="1" applyAlignment="1" applyProtection="1">
      <alignment horizontal="left"/>
    </xf>
    <xf numFmtId="10" fontId="41" fillId="0" borderId="11" xfId="4" applyNumberFormat="1" applyFont="1" applyBorder="1" applyProtection="1"/>
    <xf numFmtId="10" fontId="41" fillId="0" borderId="9" xfId="4" applyNumberFormat="1" applyFont="1" applyBorder="1" applyProtection="1"/>
    <xf numFmtId="4" fontId="41" fillId="0" borderId="33" xfId="0" applyNumberFormat="1" applyFont="1" applyBorder="1" applyAlignment="1" applyProtection="1">
      <alignment horizontal="left"/>
    </xf>
    <xf numFmtId="0" fontId="42" fillId="0" borderId="35" xfId="0" applyFont="1" applyBorder="1"/>
    <xf numFmtId="4" fontId="41" fillId="0" borderId="35" xfId="0" applyNumberFormat="1" applyFont="1" applyBorder="1" applyProtection="1"/>
    <xf numFmtId="4" fontId="41" fillId="0" borderId="36" xfId="0" applyNumberFormat="1" applyFont="1" applyBorder="1" applyProtection="1"/>
    <xf numFmtId="0" fontId="48" fillId="0" borderId="33" xfId="0" quotePrefix="1" applyFont="1" applyBorder="1" applyAlignment="1">
      <alignment horizontal="left"/>
    </xf>
    <xf numFmtId="0" fontId="39" fillId="0" borderId="35" xfId="0" applyFont="1" applyBorder="1"/>
    <xf numFmtId="4" fontId="34" fillId="0" borderId="36" xfId="0" applyNumberFormat="1" applyFont="1" applyBorder="1"/>
    <xf numFmtId="0" fontId="39" fillId="0" borderId="81" xfId="0" applyFont="1" applyBorder="1"/>
    <xf numFmtId="4" fontId="34" fillId="0" borderId="81" xfId="0" applyNumberFormat="1" applyFont="1" applyBorder="1" applyProtection="1"/>
    <xf numFmtId="4" fontId="39" fillId="0" borderId="81" xfId="0" applyNumberFormat="1" applyFont="1" applyBorder="1" applyProtection="1"/>
    <xf numFmtId="0" fontId="34" fillId="0" borderId="81" xfId="0" applyFont="1" applyBorder="1"/>
    <xf numFmtId="0" fontId="39" fillId="0" borderId="82" xfId="0" applyFont="1" applyBorder="1"/>
    <xf numFmtId="4" fontId="34" fillId="0" borderId="83" xfId="0" applyNumberFormat="1" applyFont="1" applyBorder="1" applyProtection="1"/>
    <xf numFmtId="4" fontId="39" fillId="0" borderId="83" xfId="0" applyNumberFormat="1" applyFont="1" applyBorder="1" applyProtection="1"/>
    <xf numFmtId="1" fontId="49" fillId="0" borderId="21" xfId="0" applyNumberFormat="1" applyFont="1" applyBorder="1" applyAlignment="1" applyProtection="1">
      <alignment horizontal="center"/>
    </xf>
    <xf numFmtId="4" fontId="49" fillId="0" borderId="22" xfId="0" applyNumberFormat="1" applyFont="1" applyBorder="1" applyAlignment="1" applyProtection="1">
      <alignment horizontal="center"/>
    </xf>
    <xf numFmtId="1" fontId="49" fillId="0" borderId="37" xfId="0" applyNumberFormat="1" applyFont="1" applyBorder="1" applyAlignment="1" applyProtection="1">
      <alignment horizontal="center" vertical="center"/>
    </xf>
    <xf numFmtId="17" fontId="49" fillId="0" borderId="32" xfId="0" applyNumberFormat="1" applyFont="1" applyBorder="1" applyAlignment="1" applyProtection="1">
      <alignment horizontal="center" vertical="center"/>
    </xf>
    <xf numFmtId="4" fontId="41" fillId="0" borderId="1" xfId="0" applyNumberFormat="1" applyFont="1" applyBorder="1" applyAlignment="1" applyProtection="1">
      <alignment horizontal="left"/>
    </xf>
    <xf numFmtId="4" fontId="41" fillId="0" borderId="13" xfId="0" applyNumberFormat="1" applyFont="1" applyBorder="1" applyProtection="1"/>
    <xf numFmtId="4" fontId="41" fillId="0" borderId="11" xfId="0" applyNumberFormat="1" applyFont="1" applyFill="1" applyBorder="1" applyProtection="1"/>
    <xf numFmtId="0" fontId="41" fillId="0" borderId="11" xfId="0" quotePrefix="1" applyFont="1" applyFill="1" applyBorder="1" applyAlignment="1">
      <alignment horizontal="left"/>
    </xf>
    <xf numFmtId="0" fontId="41" fillId="0" borderId="11" xfId="0" applyFont="1" applyFill="1" applyBorder="1"/>
    <xf numFmtId="4" fontId="41" fillId="0" borderId="11" xfId="0" applyNumberFormat="1" applyFont="1" applyFill="1" applyBorder="1"/>
    <xf numFmtId="4" fontId="41" fillId="0" borderId="1" xfId="0" applyNumberFormat="1" applyFont="1" applyFill="1" applyBorder="1" applyProtection="1"/>
    <xf numFmtId="0" fontId="42" fillId="0" borderId="9" xfId="0" applyFont="1" applyBorder="1" applyProtection="1"/>
    <xf numFmtId="4" fontId="42" fillId="0" borderId="17" xfId="0" applyNumberFormat="1" applyFont="1" applyBorder="1" applyProtection="1"/>
    <xf numFmtId="0" fontId="42" fillId="0" borderId="0" xfId="0" applyFont="1"/>
    <xf numFmtId="4" fontId="41" fillId="0" borderId="3" xfId="0" applyNumberFormat="1" applyFont="1" applyBorder="1" applyProtection="1"/>
    <xf numFmtId="0" fontId="41" fillId="0" borderId="21" xfId="0" applyFont="1" applyBorder="1"/>
    <xf numFmtId="4" fontId="41" fillId="0" borderId="21" xfId="0" applyNumberFormat="1" applyFont="1" applyBorder="1" applyProtection="1"/>
    <xf numFmtId="4" fontId="41" fillId="0" borderId="22" xfId="0" applyNumberFormat="1" applyFont="1" applyBorder="1" applyProtection="1"/>
    <xf numFmtId="4" fontId="48" fillId="0" borderId="38" xfId="0" quotePrefix="1" applyNumberFormat="1" applyFont="1" applyBorder="1" applyAlignment="1" applyProtection="1">
      <alignment horizontal="left"/>
    </xf>
    <xf numFmtId="4" fontId="41" fillId="0" borderId="29" xfId="0" applyNumberFormat="1" applyFont="1" applyBorder="1" applyProtection="1"/>
    <xf numFmtId="4" fontId="41" fillId="0" borderId="29" xfId="0" applyNumberFormat="1" applyFont="1" applyFill="1" applyBorder="1" applyProtection="1"/>
    <xf numFmtId="4" fontId="41" fillId="0" borderId="16" xfId="0" applyNumberFormat="1" applyFont="1" applyBorder="1" applyProtection="1"/>
    <xf numFmtId="4" fontId="41" fillId="12" borderId="53" xfId="0" applyNumberFormat="1" applyFont="1" applyFill="1" applyBorder="1" applyProtection="1">
      <protection locked="0"/>
    </xf>
    <xf numFmtId="0" fontId="0" fillId="0" borderId="84" xfId="0" applyBorder="1"/>
    <xf numFmtId="0" fontId="0" fillId="0" borderId="85" xfId="0" applyBorder="1"/>
    <xf numFmtId="4" fontId="0" fillId="0" borderId="85" xfId="0" applyNumberFormat="1" applyBorder="1" applyProtection="1"/>
    <xf numFmtId="4" fontId="13" fillId="0" borderId="85" xfId="0" applyNumberFormat="1" applyFont="1" applyBorder="1" applyProtection="1"/>
    <xf numFmtId="4" fontId="3" fillId="0" borderId="85" xfId="0" applyNumberFormat="1" applyFont="1" applyBorder="1" applyProtection="1"/>
    <xf numFmtId="4" fontId="4" fillId="0" borderId="85" xfId="0" applyNumberFormat="1" applyFont="1" applyBorder="1" applyProtection="1"/>
    <xf numFmtId="4" fontId="26" fillId="0" borderId="85" xfId="4" applyNumberFormat="1" applyFont="1" applyBorder="1" applyProtection="1"/>
    <xf numFmtId="4" fontId="2" fillId="0" borderId="85" xfId="0" applyNumberFormat="1" applyFont="1" applyBorder="1" applyProtection="1"/>
    <xf numFmtId="4" fontId="0" fillId="0" borderId="85" xfId="0" applyNumberFormat="1" applyBorder="1" applyAlignment="1" applyProtection="1">
      <alignment horizontal="center"/>
    </xf>
    <xf numFmtId="0" fontId="0" fillId="0" borderId="84" xfId="0" applyBorder="1" applyProtection="1"/>
    <xf numFmtId="4" fontId="0" fillId="0" borderId="86" xfId="0" applyNumberFormat="1" applyBorder="1" applyProtection="1"/>
    <xf numFmtId="0" fontId="0" fillId="0" borderId="87" xfId="0" applyBorder="1"/>
    <xf numFmtId="0" fontId="0" fillId="0" borderId="88" xfId="0" applyBorder="1"/>
    <xf numFmtId="0" fontId="13" fillId="0" borderId="88" xfId="0" applyFont="1" applyBorder="1"/>
    <xf numFmtId="0" fontId="3" fillId="0" borderId="88" xfId="0" applyFont="1" applyBorder="1"/>
    <xf numFmtId="0" fontId="4" fillId="0" borderId="88" xfId="0" applyFont="1" applyBorder="1"/>
    <xf numFmtId="0" fontId="2" fillId="0" borderId="88" xfId="0" applyFont="1" applyBorder="1"/>
    <xf numFmtId="0" fontId="0" fillId="4" borderId="88" xfId="0" applyFill="1" applyBorder="1"/>
    <xf numFmtId="0" fontId="0" fillId="0" borderId="89" xfId="0" applyBorder="1"/>
    <xf numFmtId="0" fontId="0" fillId="0" borderId="90" xfId="0" applyBorder="1"/>
    <xf numFmtId="0" fontId="48" fillId="0" borderId="91" xfId="0" applyFont="1" applyBorder="1"/>
    <xf numFmtId="4" fontId="39" fillId="0" borderId="91" xfId="0" applyNumberFormat="1" applyFont="1" applyBorder="1" applyProtection="1"/>
    <xf numFmtId="4" fontId="48" fillId="0" borderId="91" xfId="0" applyNumberFormat="1" applyFont="1" applyBorder="1" applyAlignment="1" applyProtection="1">
      <alignment horizontal="left"/>
    </xf>
    <xf numFmtId="4" fontId="39" fillId="0" borderId="91" xfId="0" quotePrefix="1" applyNumberFormat="1" applyFont="1" applyBorder="1" applyAlignment="1" applyProtection="1">
      <alignment horizontal="left"/>
    </xf>
    <xf numFmtId="4" fontId="48" fillId="0" borderId="91" xfId="0" quotePrefix="1" applyNumberFormat="1" applyFont="1" applyBorder="1" applyAlignment="1" applyProtection="1">
      <alignment horizontal="left"/>
    </xf>
    <xf numFmtId="0" fontId="50" fillId="0" borderId="0" xfId="0" applyFont="1"/>
    <xf numFmtId="0" fontId="0" fillId="0" borderId="92" xfId="0" applyBorder="1"/>
    <xf numFmtId="0" fontId="0" fillId="0" borderId="93" xfId="0" applyBorder="1"/>
    <xf numFmtId="4" fontId="0" fillId="0" borderId="94" xfId="0" applyNumberFormat="1" applyBorder="1" applyProtection="1"/>
    <xf numFmtId="0" fontId="13" fillId="0" borderId="94" xfId="0" applyFont="1" applyBorder="1"/>
    <xf numFmtId="0" fontId="0" fillId="0" borderId="94" xfId="0" applyBorder="1"/>
    <xf numFmtId="0" fontId="0" fillId="0" borderId="94" xfId="0" applyBorder="1" applyProtection="1"/>
    <xf numFmtId="0" fontId="5" fillId="0" borderId="94" xfId="0" quotePrefix="1" applyFont="1" applyBorder="1" applyAlignment="1" applyProtection="1">
      <alignment horizontal="left"/>
    </xf>
    <xf numFmtId="4" fontId="5" fillId="0" borderId="94" xfId="0" applyNumberFormat="1" applyFont="1" applyBorder="1" applyProtection="1"/>
    <xf numFmtId="0" fontId="0" fillId="0" borderId="92" xfId="0" applyBorder="1" applyProtection="1"/>
    <xf numFmtId="4" fontId="0" fillId="0" borderId="92" xfId="0" applyNumberFormat="1" applyBorder="1" applyProtection="1"/>
    <xf numFmtId="0" fontId="0" fillId="0" borderId="95" xfId="0" applyBorder="1" applyProtection="1"/>
    <xf numFmtId="0" fontId="0" fillId="0" borderId="96" xfId="0" applyBorder="1"/>
    <xf numFmtId="0" fontId="0" fillId="0" borderId="97" xfId="0" applyBorder="1"/>
    <xf numFmtId="0" fontId="13" fillId="0" borderId="97" xfId="0" applyFont="1" applyBorder="1"/>
    <xf numFmtId="0" fontId="0" fillId="0" borderId="97" xfId="0" applyBorder="1" applyProtection="1"/>
    <xf numFmtId="0" fontId="0" fillId="0" borderId="98" xfId="0" applyBorder="1" applyProtection="1"/>
    <xf numFmtId="0" fontId="3" fillId="0" borderId="68" xfId="0" applyFont="1" applyBorder="1" applyAlignment="1">
      <alignment horizontal="center"/>
    </xf>
    <xf numFmtId="0" fontId="3" fillId="0" borderId="68" xfId="0" applyFont="1" applyBorder="1"/>
    <xf numFmtId="0" fontId="3" fillId="0" borderId="67" xfId="0" applyFont="1" applyBorder="1" applyAlignment="1">
      <alignment horizontal="center"/>
    </xf>
    <xf numFmtId="0" fontId="3" fillId="0" borderId="67" xfId="0" applyFont="1" applyBorder="1"/>
    <xf numFmtId="0" fontId="0" fillId="0" borderId="74" xfId="0" applyBorder="1"/>
    <xf numFmtId="4" fontId="51" fillId="0" borderId="0" xfId="0" applyNumberFormat="1" applyFont="1" applyBorder="1"/>
    <xf numFmtId="4" fontId="3" fillId="0" borderId="27" xfId="0" applyNumberFormat="1" applyFont="1" applyBorder="1" applyProtection="1"/>
    <xf numFmtId="0" fontId="0" fillId="0" borderId="27" xfId="0" applyBorder="1"/>
    <xf numFmtId="4" fontId="50" fillId="0" borderId="0" xfId="0" applyNumberFormat="1" applyFont="1"/>
    <xf numFmtId="4" fontId="39" fillId="10" borderId="99" xfId="0" applyNumberFormat="1" applyFont="1" applyFill="1" applyBorder="1" applyProtection="1"/>
    <xf numFmtId="4" fontId="39" fillId="10" borderId="100" xfId="0" applyNumberFormat="1" applyFont="1" applyFill="1" applyBorder="1" applyAlignment="1" applyProtection="1">
      <alignment horizontal="right"/>
    </xf>
    <xf numFmtId="4" fontId="39" fillId="10" borderId="101" xfId="0" applyNumberFormat="1" applyFont="1" applyFill="1" applyBorder="1" applyAlignment="1" applyProtection="1">
      <alignment horizontal="right"/>
    </xf>
    <xf numFmtId="0" fontId="39" fillId="10" borderId="99" xfId="0" applyFont="1" applyFill="1" applyBorder="1"/>
    <xf numFmtId="4" fontId="39" fillId="10" borderId="100" xfId="0" applyNumberFormat="1" applyFont="1" applyFill="1" applyBorder="1"/>
    <xf numFmtId="4" fontId="39" fillId="10" borderId="101" xfId="0" applyNumberFormat="1" applyFont="1" applyFill="1" applyBorder="1"/>
    <xf numFmtId="4" fontId="48" fillId="10" borderId="99" xfId="0" applyNumberFormat="1" applyFont="1" applyFill="1" applyBorder="1" applyAlignment="1" applyProtection="1">
      <alignment horizontal="left"/>
    </xf>
    <xf numFmtId="4" fontId="39" fillId="10" borderId="100" xfId="0" applyNumberFormat="1" applyFont="1" applyFill="1" applyBorder="1" applyProtection="1"/>
    <xf numFmtId="4" fontId="39" fillId="10" borderId="101" xfId="0" applyNumberFormat="1" applyFont="1" applyFill="1" applyBorder="1" applyProtection="1"/>
    <xf numFmtId="10" fontId="39" fillId="10" borderId="100" xfId="0" applyNumberFormat="1" applyFont="1" applyFill="1" applyBorder="1"/>
    <xf numFmtId="10" fontId="39" fillId="10" borderId="101" xfId="0" applyNumberFormat="1" applyFont="1" applyFill="1" applyBorder="1"/>
    <xf numFmtId="4" fontId="39" fillId="10" borderId="99" xfId="4" applyNumberFormat="1" applyFont="1" applyFill="1" applyBorder="1" applyAlignment="1" applyProtection="1">
      <alignment horizontal="left"/>
    </xf>
    <xf numFmtId="4" fontId="39" fillId="10" borderId="102" xfId="0" applyNumberFormat="1" applyFont="1" applyFill="1" applyBorder="1" applyAlignment="1" applyProtection="1">
      <alignment horizontal="left"/>
    </xf>
    <xf numFmtId="4" fontId="39" fillId="10" borderId="105" xfId="0" quotePrefix="1" applyNumberFormat="1" applyFont="1" applyFill="1" applyBorder="1" applyAlignment="1" applyProtection="1">
      <alignment horizontal="left"/>
    </xf>
    <xf numFmtId="4" fontId="39" fillId="10" borderId="106" xfId="0" quotePrefix="1" applyNumberFormat="1" applyFont="1" applyFill="1" applyBorder="1" applyAlignment="1" applyProtection="1">
      <alignment horizontal="left"/>
    </xf>
    <xf numFmtId="0" fontId="39" fillId="10" borderId="105" xfId="0" quotePrefix="1" applyFont="1" applyFill="1" applyBorder="1" applyAlignment="1" applyProtection="1">
      <alignment horizontal="left" vertical="center"/>
    </xf>
    <xf numFmtId="0" fontId="39" fillId="10" borderId="107" xfId="0" applyFont="1" applyFill="1" applyBorder="1" applyAlignment="1" applyProtection="1">
      <alignment vertical="center"/>
    </xf>
    <xf numFmtId="4" fontId="39" fillId="10" borderId="107" xfId="0" applyNumberFormat="1" applyFont="1" applyFill="1" applyBorder="1" applyAlignment="1" applyProtection="1">
      <alignment vertical="center"/>
    </xf>
    <xf numFmtId="4" fontId="39" fillId="10" borderId="108" xfId="0" applyNumberFormat="1" applyFont="1" applyFill="1" applyBorder="1" applyAlignment="1" applyProtection="1">
      <alignment vertical="center"/>
    </xf>
    <xf numFmtId="0" fontId="39" fillId="10" borderId="106" xfId="0" applyFont="1" applyFill="1" applyBorder="1" applyAlignment="1" applyProtection="1">
      <alignment vertical="center"/>
    </xf>
    <xf numFmtId="0" fontId="39" fillId="10" borderId="109" xfId="0" applyFont="1" applyFill="1" applyBorder="1" applyAlignment="1" applyProtection="1">
      <alignment vertical="center"/>
    </xf>
    <xf numFmtId="4" fontId="39" fillId="10" borderId="109" xfId="0" applyNumberFormat="1" applyFont="1" applyFill="1" applyBorder="1" applyAlignment="1" applyProtection="1">
      <alignment vertical="center"/>
    </xf>
    <xf numFmtId="4" fontId="39" fillId="10" borderId="110" xfId="0" applyNumberFormat="1" applyFont="1" applyFill="1" applyBorder="1" applyAlignment="1" applyProtection="1">
      <alignment vertical="center"/>
    </xf>
    <xf numFmtId="4" fontId="0" fillId="10" borderId="111" xfId="0" applyNumberFormat="1" applyFill="1" applyBorder="1" applyAlignment="1" applyProtection="1">
      <alignment horizontal="center"/>
    </xf>
    <xf numFmtId="4" fontId="39" fillId="10" borderId="102" xfId="0" quotePrefix="1" applyNumberFormat="1" applyFont="1" applyFill="1" applyBorder="1" applyAlignment="1" applyProtection="1">
      <alignment horizontal="left" vertical="center"/>
    </xf>
    <xf numFmtId="0" fontId="0" fillId="10" borderId="112" xfId="0" applyFill="1" applyBorder="1"/>
    <xf numFmtId="0" fontId="0" fillId="10" borderId="113" xfId="0" applyFill="1" applyBorder="1" applyProtection="1"/>
    <xf numFmtId="0" fontId="0" fillId="10" borderId="114" xfId="0" applyFill="1" applyBorder="1"/>
    <xf numFmtId="4" fontId="39" fillId="10" borderId="115" xfId="0" applyNumberFormat="1" applyFont="1" applyFill="1" applyBorder="1" applyProtection="1"/>
    <xf numFmtId="0" fontId="0" fillId="10" borderId="116" xfId="0" applyFill="1" applyBorder="1"/>
    <xf numFmtId="4" fontId="39" fillId="10" borderId="115" xfId="0" quotePrefix="1" applyNumberFormat="1" applyFont="1" applyFill="1" applyBorder="1" applyAlignment="1" applyProtection="1">
      <alignment horizontal="left" vertical="center"/>
    </xf>
    <xf numFmtId="4" fontId="39" fillId="10" borderId="117" xfId="0" applyNumberFormat="1" applyFont="1" applyFill="1" applyBorder="1" applyProtection="1"/>
    <xf numFmtId="0" fontId="0" fillId="10" borderId="118" xfId="0" applyFill="1" applyBorder="1" applyProtection="1"/>
    <xf numFmtId="0" fontId="0" fillId="10" borderId="119" xfId="0" applyFill="1" applyBorder="1"/>
    <xf numFmtId="0" fontId="0" fillId="10" borderId="120" xfId="0" applyFill="1" applyBorder="1"/>
    <xf numFmtId="0" fontId="0" fillId="10" borderId="120" xfId="0" applyFill="1" applyBorder="1" applyAlignment="1" applyProtection="1">
      <alignment vertical="center"/>
    </xf>
    <xf numFmtId="0" fontId="0" fillId="10" borderId="121" xfId="0" applyFill="1" applyBorder="1" applyProtection="1"/>
    <xf numFmtId="4" fontId="0" fillId="10" borderId="122" xfId="0" applyNumberFormat="1" applyFill="1" applyBorder="1" applyProtection="1"/>
    <xf numFmtId="4" fontId="44" fillId="10" borderId="123" xfId="0" quotePrefix="1" applyNumberFormat="1" applyFont="1" applyFill="1" applyBorder="1" applyAlignment="1" applyProtection="1">
      <alignment horizontal="center" vertical="center"/>
    </xf>
    <xf numFmtId="4" fontId="44" fillId="10" borderId="124" xfId="0" quotePrefix="1" applyNumberFormat="1" applyFont="1" applyFill="1" applyBorder="1" applyAlignment="1" applyProtection="1">
      <alignment horizontal="center" vertical="center"/>
    </xf>
    <xf numFmtId="4" fontId="39" fillId="10" borderId="125" xfId="0" quotePrefix="1" applyNumberFormat="1" applyFont="1" applyFill="1" applyBorder="1" applyAlignment="1" applyProtection="1">
      <alignment horizontal="left"/>
    </xf>
    <xf numFmtId="4" fontId="39" fillId="10" borderId="126" xfId="4" applyNumberFormat="1" applyFont="1" applyFill="1" applyBorder="1" applyProtection="1"/>
    <xf numFmtId="4" fontId="39" fillId="10" borderId="127" xfId="0" applyNumberFormat="1" applyFont="1" applyFill="1" applyBorder="1" applyProtection="1"/>
    <xf numFmtId="4" fontId="39" fillId="10" borderId="125" xfId="0" applyNumberFormat="1" applyFont="1" applyFill="1" applyBorder="1" applyProtection="1"/>
    <xf numFmtId="4" fontId="39" fillId="10" borderId="125" xfId="0" applyNumberFormat="1" applyFont="1" applyFill="1" applyBorder="1" applyAlignment="1" applyProtection="1">
      <alignment horizontal="left"/>
    </xf>
    <xf numFmtId="4" fontId="39" fillId="10" borderId="126" xfId="0" applyNumberFormat="1" applyFont="1" applyFill="1" applyBorder="1" applyProtection="1"/>
    <xf numFmtId="0" fontId="39" fillId="10" borderId="126" xfId="0" applyFont="1" applyFill="1" applyBorder="1"/>
    <xf numFmtId="4" fontId="39" fillId="10" borderId="127" xfId="0" applyNumberFormat="1" applyFont="1" applyFill="1" applyBorder="1"/>
    <xf numFmtId="0" fontId="39" fillId="10" borderId="125" xfId="0" quotePrefix="1" applyFont="1" applyFill="1" applyBorder="1" applyAlignment="1" applyProtection="1">
      <alignment horizontal="left"/>
    </xf>
    <xf numFmtId="0" fontId="39" fillId="10" borderId="127" xfId="0" applyFont="1" applyFill="1" applyBorder="1"/>
    <xf numFmtId="4" fontId="39" fillId="10" borderId="128" xfId="0" applyNumberFormat="1" applyFont="1" applyFill="1" applyBorder="1" applyProtection="1"/>
    <xf numFmtId="0" fontId="39" fillId="10" borderId="129" xfId="0" applyFont="1" applyFill="1" applyBorder="1"/>
    <xf numFmtId="0" fontId="39" fillId="10" borderId="130" xfId="0" applyFont="1" applyFill="1" applyBorder="1"/>
    <xf numFmtId="4" fontId="44" fillId="10" borderId="131" xfId="0" quotePrefix="1" applyNumberFormat="1" applyFont="1" applyFill="1" applyBorder="1" applyAlignment="1" applyProtection="1">
      <alignment horizontal="center" vertical="center"/>
    </xf>
    <xf numFmtId="4" fontId="39" fillId="10" borderId="97" xfId="0" applyNumberFormat="1" applyFont="1" applyFill="1" applyBorder="1" applyProtection="1"/>
    <xf numFmtId="4" fontId="39" fillId="10" borderId="97" xfId="0" applyNumberFormat="1" applyFont="1" applyFill="1" applyBorder="1"/>
    <xf numFmtId="0" fontId="39" fillId="10" borderId="97" xfId="0" applyFont="1" applyFill="1" applyBorder="1"/>
    <xf numFmtId="0" fontId="39" fillId="10" borderId="132" xfId="0" applyFont="1" applyFill="1" applyBorder="1"/>
    <xf numFmtId="0" fontId="39" fillId="10" borderId="97" xfId="0" applyFont="1" applyFill="1" applyBorder="1" applyProtection="1"/>
    <xf numFmtId="4" fontId="39" fillId="14" borderId="133" xfId="0" applyNumberFormat="1" applyFont="1" applyFill="1" applyBorder="1" applyProtection="1">
      <protection locked="0"/>
    </xf>
    <xf numFmtId="4" fontId="39" fillId="10" borderId="126" xfId="0" applyNumberFormat="1" applyFont="1" applyFill="1" applyBorder="1"/>
    <xf numFmtId="4" fontId="39" fillId="10" borderId="129" xfId="0" applyNumberFormat="1" applyFont="1" applyFill="1" applyBorder="1"/>
    <xf numFmtId="4" fontId="39" fillId="14" borderId="136" xfId="0" applyNumberFormat="1" applyFont="1" applyFill="1" applyBorder="1" applyProtection="1">
      <protection locked="0"/>
    </xf>
    <xf numFmtId="4" fontId="39" fillId="14" borderId="137" xfId="0" applyNumberFormat="1" applyFont="1" applyFill="1" applyBorder="1" applyProtection="1">
      <protection locked="0"/>
    </xf>
    <xf numFmtId="4" fontId="39" fillId="14" borderId="138" xfId="0" applyNumberFormat="1" applyFont="1" applyFill="1" applyBorder="1" applyProtection="1">
      <protection locked="0"/>
    </xf>
    <xf numFmtId="0" fontId="0" fillId="10" borderId="116" xfId="0" applyFill="1" applyBorder="1" applyAlignment="1">
      <alignment vertical="center"/>
    </xf>
    <xf numFmtId="4" fontId="0" fillId="14" borderId="134" xfId="0" applyNumberFormat="1" applyFill="1" applyBorder="1" applyAlignment="1" applyProtection="1">
      <alignment vertical="distributed"/>
      <protection locked="0"/>
    </xf>
    <xf numFmtId="4" fontId="0" fillId="14" borderId="135" xfId="0" applyNumberFormat="1" applyFill="1" applyBorder="1" applyAlignment="1" applyProtection="1">
      <alignment vertical="distributed"/>
      <protection locked="0"/>
    </xf>
    <xf numFmtId="165" fontId="0" fillId="14" borderId="133" xfId="0" applyNumberFormat="1" applyFill="1" applyBorder="1" applyAlignment="1" applyProtection="1">
      <alignment vertical="center"/>
      <protection locked="0"/>
    </xf>
    <xf numFmtId="165" fontId="0" fillId="14" borderId="136" xfId="0" applyNumberFormat="1" applyFill="1" applyBorder="1" applyAlignment="1" applyProtection="1">
      <alignment vertical="center"/>
      <protection locked="0"/>
    </xf>
    <xf numFmtId="0" fontId="0" fillId="14" borderId="139" xfId="0" applyFill="1" applyBorder="1" applyProtection="1">
      <protection locked="0"/>
    </xf>
    <xf numFmtId="0" fontId="0" fillId="14" borderId="140" xfId="0" applyFill="1" applyBorder="1" applyProtection="1">
      <protection locked="0"/>
    </xf>
    <xf numFmtId="4" fontId="34" fillId="10" borderId="141" xfId="0" applyNumberFormat="1" applyFont="1" applyFill="1" applyBorder="1" applyAlignment="1" applyProtection="1">
      <alignment horizontal="center"/>
    </xf>
    <xf numFmtId="4" fontId="34" fillId="10" borderId="112" xfId="0" applyNumberFormat="1" applyFont="1" applyFill="1" applyBorder="1" applyAlignment="1" applyProtection="1">
      <alignment horizontal="center"/>
    </xf>
    <xf numFmtId="0" fontId="0" fillId="10" borderId="103" xfId="0" applyFill="1" applyBorder="1"/>
    <xf numFmtId="1" fontId="0" fillId="14" borderId="142" xfId="0" applyNumberFormat="1" applyFill="1" applyBorder="1" applyAlignment="1" applyProtection="1">
      <alignment vertical="center"/>
      <protection locked="0"/>
    </xf>
    <xf numFmtId="1" fontId="0" fillId="14" borderId="143" xfId="0" applyNumberFormat="1" applyFill="1" applyBorder="1" applyAlignment="1" applyProtection="1">
      <alignment vertical="center"/>
      <protection locked="0"/>
    </xf>
    <xf numFmtId="4" fontId="34" fillId="10" borderId="112" xfId="0" applyNumberFormat="1" applyFont="1" applyFill="1" applyBorder="1" applyAlignment="1" applyProtection="1">
      <alignment horizontal="center" vertical="center"/>
    </xf>
    <xf numFmtId="1" fontId="0" fillId="14" borderId="144" xfId="0" applyNumberFormat="1" applyFill="1" applyBorder="1" applyAlignment="1" applyProtection="1">
      <alignment vertical="center"/>
      <protection locked="0"/>
    </xf>
    <xf numFmtId="4" fontId="34" fillId="10" borderId="145" xfId="0" applyNumberFormat="1" applyFont="1" applyFill="1" applyBorder="1" applyAlignment="1" applyProtection="1">
      <alignment horizontal="center" vertical="center"/>
    </xf>
    <xf numFmtId="4" fontId="0" fillId="10" borderId="105" xfId="0" applyNumberFormat="1" applyFill="1" applyBorder="1" applyAlignment="1" applyProtection="1">
      <alignment horizontal="right" vertical="center"/>
    </xf>
    <xf numFmtId="4" fontId="44" fillId="10" borderId="107" xfId="0" quotePrefix="1" applyNumberFormat="1" applyFont="1" applyFill="1" applyBorder="1" applyAlignment="1" applyProtection="1">
      <alignment horizontal="center" vertical="center"/>
    </xf>
    <xf numFmtId="4" fontId="44" fillId="10" borderId="108" xfId="0" quotePrefix="1" applyNumberFormat="1" applyFont="1" applyFill="1" applyBorder="1" applyAlignment="1" applyProtection="1">
      <alignment horizontal="center" vertical="center"/>
    </xf>
    <xf numFmtId="4" fontId="39" fillId="10" borderId="126" xfId="0" applyNumberFormat="1" applyFont="1" applyFill="1" applyBorder="1" applyAlignment="1" applyProtection="1">
      <alignment horizontal="right"/>
    </xf>
    <xf numFmtId="4" fontId="39" fillId="10" borderId="127" xfId="0" applyNumberFormat="1" applyFont="1" applyFill="1" applyBorder="1" applyAlignment="1" applyProtection="1">
      <alignment horizontal="right"/>
    </xf>
    <xf numFmtId="4" fontId="39" fillId="10" borderId="125" xfId="0" applyNumberFormat="1" applyFont="1" applyFill="1" applyBorder="1" applyAlignment="1" applyProtection="1"/>
    <xf numFmtId="0" fontId="39" fillId="10" borderId="125" xfId="0" applyFont="1" applyFill="1" applyBorder="1"/>
    <xf numFmtId="4" fontId="39" fillId="10" borderId="147" xfId="0" applyNumberFormat="1" applyFont="1" applyFill="1" applyBorder="1" applyAlignment="1" applyProtection="1">
      <alignment horizontal="right"/>
    </xf>
    <xf numFmtId="4" fontId="39" fillId="10" borderId="148" xfId="0" applyNumberFormat="1" applyFont="1" applyFill="1" applyBorder="1" applyAlignment="1" applyProtection="1">
      <alignment horizontal="right"/>
    </xf>
    <xf numFmtId="4" fontId="39" fillId="10" borderId="150" xfId="0" applyNumberFormat="1" applyFont="1" applyFill="1" applyBorder="1"/>
    <xf numFmtId="4" fontId="39" fillId="10" borderId="151" xfId="0" applyNumberFormat="1" applyFont="1" applyFill="1" applyBorder="1"/>
    <xf numFmtId="4" fontId="39" fillId="10" borderId="146" xfId="0" quotePrefix="1" applyNumberFormat="1" applyFont="1" applyFill="1" applyBorder="1" applyAlignment="1" applyProtection="1">
      <alignment horizontal="left"/>
    </xf>
    <xf numFmtId="10" fontId="39" fillId="10" borderId="147" xfId="0" applyNumberFormat="1" applyFont="1" applyFill="1" applyBorder="1"/>
    <xf numFmtId="10" fontId="39" fillId="10" borderId="148" xfId="0" applyNumberFormat="1" applyFont="1" applyFill="1" applyBorder="1"/>
    <xf numFmtId="4" fontId="39" fillId="10" borderId="142" xfId="0" applyNumberFormat="1" applyFont="1" applyFill="1" applyBorder="1" applyProtection="1"/>
    <xf numFmtId="0" fontId="3" fillId="10" borderId="111" xfId="0" applyFont="1" applyFill="1" applyBorder="1" applyAlignment="1" applyProtection="1">
      <alignment horizontal="center"/>
    </xf>
    <xf numFmtId="0" fontId="34" fillId="10" borderId="112" xfId="0" applyFont="1" applyFill="1" applyBorder="1" applyAlignment="1" applyProtection="1">
      <alignment horizontal="center"/>
    </xf>
    <xf numFmtId="0" fontId="34" fillId="10" borderId="112" xfId="0" quotePrefix="1" applyFont="1" applyFill="1" applyBorder="1" applyAlignment="1" applyProtection="1">
      <alignment horizontal="center"/>
    </xf>
    <xf numFmtId="0" fontId="34" fillId="10" borderId="145" xfId="0" quotePrefix="1" applyFont="1" applyFill="1" applyBorder="1" applyAlignment="1" applyProtection="1">
      <alignment horizontal="center"/>
    </xf>
    <xf numFmtId="0" fontId="39" fillId="10" borderId="99" xfId="0" applyFont="1" applyFill="1" applyBorder="1" applyAlignment="1" applyProtection="1">
      <alignment horizontal="left"/>
    </xf>
    <xf numFmtId="0" fontId="39" fillId="10" borderId="99" xfId="0" quotePrefix="1" applyFont="1" applyFill="1" applyBorder="1" applyAlignment="1" applyProtection="1">
      <alignment horizontal="left"/>
    </xf>
    <xf numFmtId="0" fontId="39" fillId="10" borderId="100" xfId="0" applyFont="1" applyFill="1" applyBorder="1" applyProtection="1"/>
    <xf numFmtId="0" fontId="39" fillId="10" borderId="99" xfId="0" applyFont="1" applyFill="1" applyBorder="1" applyProtection="1"/>
    <xf numFmtId="0" fontId="39" fillId="10" borderId="101" xfId="0" applyFont="1" applyFill="1" applyBorder="1" applyProtection="1"/>
    <xf numFmtId="0" fontId="39" fillId="10" borderId="100" xfId="0" applyFont="1" applyFill="1" applyBorder="1"/>
    <xf numFmtId="0" fontId="39" fillId="10" borderId="101" xfId="0" applyFont="1" applyFill="1" applyBorder="1"/>
    <xf numFmtId="0" fontId="39" fillId="10" borderId="149" xfId="0" quotePrefix="1" applyFont="1" applyFill="1" applyBorder="1" applyAlignment="1" applyProtection="1">
      <alignment horizontal="left"/>
    </xf>
    <xf numFmtId="0" fontId="39" fillId="10" borderId="146" xfId="0" quotePrefix="1" applyFont="1" applyFill="1" applyBorder="1" applyAlignment="1" applyProtection="1">
      <alignment horizontal="left"/>
    </xf>
    <xf numFmtId="4" fontId="39" fillId="10" borderId="147" xfId="0" applyNumberFormat="1" applyFont="1" applyFill="1" applyBorder="1" applyProtection="1"/>
    <xf numFmtId="4" fontId="39" fillId="10" borderId="148" xfId="0" applyNumberFormat="1" applyFont="1" applyFill="1" applyBorder="1" applyProtection="1"/>
    <xf numFmtId="0" fontId="48" fillId="10" borderId="155" xfId="0" quotePrefix="1" applyFont="1" applyFill="1" applyBorder="1" applyAlignment="1" applyProtection="1">
      <alignment horizontal="left"/>
    </xf>
    <xf numFmtId="0" fontId="39" fillId="10" borderId="150" xfId="0" applyFont="1" applyFill="1" applyBorder="1"/>
    <xf numFmtId="4" fontId="39" fillId="14" borderId="158" xfId="0" applyNumberFormat="1" applyFont="1" applyFill="1" applyBorder="1" applyProtection="1">
      <protection locked="0"/>
    </xf>
    <xf numFmtId="4" fontId="39" fillId="14" borderId="159" xfId="0" applyNumberFormat="1" applyFont="1" applyFill="1" applyBorder="1" applyProtection="1">
      <protection locked="0"/>
    </xf>
    <xf numFmtId="4" fontId="48" fillId="10" borderId="155" xfId="0" quotePrefix="1" applyNumberFormat="1" applyFont="1" applyFill="1" applyBorder="1" applyAlignment="1" applyProtection="1">
      <alignment horizontal="left"/>
    </xf>
    <xf numFmtId="4" fontId="34" fillId="10" borderId="156" xfId="4" applyNumberFormat="1" applyFont="1" applyFill="1" applyBorder="1" applyProtection="1"/>
    <xf numFmtId="4" fontId="34" fillId="10" borderId="156" xfId="0" applyNumberFormat="1" applyFont="1" applyFill="1" applyBorder="1" applyProtection="1"/>
    <xf numFmtId="4" fontId="39" fillId="10" borderId="149" xfId="0" quotePrefix="1" applyNumberFormat="1" applyFont="1" applyFill="1" applyBorder="1" applyAlignment="1" applyProtection="1">
      <alignment horizontal="left"/>
    </xf>
    <xf numFmtId="4" fontId="39" fillId="10" borderId="150" xfId="0" applyNumberFormat="1" applyFont="1" applyFill="1" applyBorder="1" applyAlignment="1" applyProtection="1">
      <alignment horizontal="right"/>
    </xf>
    <xf numFmtId="4" fontId="39" fillId="10" borderId="151" xfId="0" applyNumberFormat="1" applyFont="1" applyFill="1" applyBorder="1" applyAlignment="1" applyProtection="1">
      <alignment horizontal="right"/>
    </xf>
    <xf numFmtId="4" fontId="37" fillId="10" borderId="156" xfId="0" applyNumberFormat="1" applyFont="1" applyFill="1" applyBorder="1" applyAlignment="1" applyProtection="1">
      <alignment horizontal="right"/>
    </xf>
    <xf numFmtId="4" fontId="37" fillId="10" borderId="157" xfId="0" applyNumberFormat="1" applyFont="1" applyFill="1" applyBorder="1" applyAlignment="1" applyProtection="1">
      <alignment horizontal="right"/>
    </xf>
    <xf numFmtId="4" fontId="37" fillId="10" borderId="100" xfId="0" applyNumberFormat="1" applyFont="1" applyFill="1" applyBorder="1" applyAlignment="1" applyProtection="1">
      <alignment horizontal="right"/>
    </xf>
    <xf numFmtId="4" fontId="37" fillId="10" borderId="101" xfId="0" applyNumberFormat="1" applyFont="1" applyFill="1" applyBorder="1" applyAlignment="1" applyProtection="1">
      <alignment horizontal="right"/>
    </xf>
    <xf numFmtId="4" fontId="37" fillId="10" borderId="160" xfId="0" applyNumberFormat="1" applyFont="1" applyFill="1" applyBorder="1" applyProtection="1"/>
    <xf numFmtId="4" fontId="37" fillId="10" borderId="156" xfId="0" applyNumberFormat="1" applyFont="1" applyFill="1" applyBorder="1" applyProtection="1"/>
    <xf numFmtId="4" fontId="37" fillId="10" borderId="157" xfId="0" applyNumberFormat="1" applyFont="1" applyFill="1" applyBorder="1" applyProtection="1"/>
    <xf numFmtId="4" fontId="37" fillId="10" borderId="103" xfId="0" applyNumberFormat="1" applyFont="1" applyFill="1" applyBorder="1"/>
    <xf numFmtId="4" fontId="37" fillId="10" borderId="104" xfId="0" applyNumberFormat="1" applyFont="1" applyFill="1" applyBorder="1"/>
    <xf numFmtId="0" fontId="58" fillId="0" borderId="0" xfId="0" applyFont="1" applyAlignment="1">
      <alignment vertical="center" wrapText="1"/>
    </xf>
    <xf numFmtId="0" fontId="59" fillId="0" borderId="0" xfId="0" applyFont="1" applyAlignment="1">
      <alignment vertical="center" wrapText="1"/>
    </xf>
    <xf numFmtId="0" fontId="60" fillId="0" borderId="0" xfId="0" applyFont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0" borderId="0" xfId="0" applyFont="1" applyAlignment="1">
      <alignment vertical="center" wrapText="1"/>
    </xf>
    <xf numFmtId="0" fontId="63" fillId="0" borderId="0" xfId="0" applyFont="1" applyAlignment="1">
      <alignment vertical="center" wrapText="1"/>
    </xf>
    <xf numFmtId="0" fontId="63" fillId="0" borderId="0" xfId="0" applyFont="1" applyAlignment="1">
      <alignment vertical="center"/>
    </xf>
    <xf numFmtId="0" fontId="66" fillId="0" borderId="0" xfId="0" applyFont="1" applyAlignment="1">
      <alignment vertical="center"/>
    </xf>
    <xf numFmtId="4" fontId="29" fillId="18" borderId="0" xfId="0" applyNumberFormat="1" applyFont="1" applyFill="1" applyAlignment="1" applyProtection="1">
      <protection locked="0"/>
    </xf>
    <xf numFmtId="0" fontId="0" fillId="18" borderId="0" xfId="0" applyFill="1" applyAlignment="1"/>
    <xf numFmtId="4" fontId="52" fillId="17" borderId="39" xfId="0" applyNumberFormat="1" applyFont="1" applyFill="1" applyBorder="1" applyAlignment="1" applyProtection="1">
      <alignment horizontal="center" vertical="center"/>
    </xf>
    <xf numFmtId="0" fontId="38" fillId="17" borderId="40" xfId="0" applyFont="1" applyFill="1" applyBorder="1" applyAlignment="1">
      <alignment horizontal="center" vertical="center"/>
    </xf>
    <xf numFmtId="0" fontId="38" fillId="17" borderId="41" xfId="0" applyFont="1" applyFill="1" applyBorder="1" applyAlignment="1">
      <alignment horizontal="center" vertical="center"/>
    </xf>
    <xf numFmtId="4" fontId="43" fillId="19" borderId="39" xfId="0" applyNumberFormat="1" applyFont="1" applyFill="1" applyBorder="1" applyAlignment="1" applyProtection="1">
      <alignment horizontal="center" vertical="center"/>
    </xf>
    <xf numFmtId="0" fontId="50" fillId="19" borderId="41" xfId="0" applyFont="1" applyFill="1" applyBorder="1" applyAlignment="1">
      <alignment horizontal="center" vertical="center"/>
    </xf>
    <xf numFmtId="4" fontId="52" fillId="17" borderId="39" xfId="0" quotePrefix="1" applyNumberFormat="1" applyFont="1" applyFill="1" applyBorder="1" applyAlignment="1" applyProtection="1">
      <alignment horizontal="center" vertical="center"/>
    </xf>
    <xf numFmtId="4" fontId="5" fillId="20" borderId="39" xfId="0" quotePrefix="1" applyNumberFormat="1" applyFont="1" applyFill="1" applyBorder="1" applyAlignment="1" applyProtection="1">
      <alignment horizontal="center"/>
    </xf>
    <xf numFmtId="4" fontId="5" fillId="20" borderId="40" xfId="0" applyNumberFormat="1" applyFont="1" applyFill="1" applyBorder="1" applyAlignment="1" applyProtection="1">
      <alignment horizontal="center"/>
    </xf>
    <xf numFmtId="4" fontId="5" fillId="20" borderId="41" xfId="0" applyNumberFormat="1" applyFont="1" applyFill="1" applyBorder="1" applyAlignment="1" applyProtection="1">
      <alignment horizontal="center"/>
    </xf>
    <xf numFmtId="4" fontId="43" fillId="9" borderId="39" xfId="0" applyNumberFormat="1" applyFont="1" applyFill="1" applyBorder="1" applyAlignment="1" applyProtection="1">
      <alignment horizontal="center"/>
      <protection locked="0"/>
    </xf>
    <xf numFmtId="0" fontId="43" fillId="9" borderId="40" xfId="0" applyFont="1" applyFill="1" applyBorder="1" applyAlignment="1">
      <alignment horizontal="center"/>
    </xf>
    <xf numFmtId="0" fontId="43" fillId="9" borderId="41" xfId="0" applyFont="1" applyFill="1" applyBorder="1" applyAlignment="1">
      <alignment horizontal="center"/>
    </xf>
    <xf numFmtId="4" fontId="29" fillId="11" borderId="39" xfId="0" applyNumberFormat="1" applyFont="1" applyFill="1" applyBorder="1" applyAlignment="1" applyProtection="1">
      <alignment horizontal="center" wrapText="1"/>
    </xf>
    <xf numFmtId="0" fontId="29" fillId="11" borderId="40" xfId="0" applyFont="1" applyFill="1" applyBorder="1" applyAlignment="1">
      <alignment horizontal="center" wrapText="1"/>
    </xf>
    <xf numFmtId="0" fontId="29" fillId="11" borderId="42" xfId="0" applyFont="1" applyFill="1" applyBorder="1" applyAlignment="1">
      <alignment horizontal="center" wrapText="1"/>
    </xf>
    <xf numFmtId="0" fontId="29" fillId="11" borderId="22" xfId="0" applyFont="1" applyFill="1" applyBorder="1" applyAlignment="1">
      <alignment horizontal="center" wrapText="1"/>
    </xf>
    <xf numFmtId="4" fontId="29" fillId="18" borderId="0" xfId="0" applyNumberFormat="1" applyFont="1" applyFill="1" applyAlignment="1" applyProtection="1"/>
    <xf numFmtId="0" fontId="50" fillId="18" borderId="0" xfId="0" applyFont="1" applyFill="1" applyAlignment="1"/>
    <xf numFmtId="4" fontId="29" fillId="11" borderId="1" xfId="0" applyNumberFormat="1" applyFont="1" applyFill="1" applyBorder="1" applyAlignment="1" applyProtection="1">
      <alignment horizontal="center" wrapText="1"/>
    </xf>
    <xf numFmtId="0" fontId="29" fillId="11" borderId="0" xfId="0" applyFont="1" applyFill="1" applyBorder="1" applyAlignment="1">
      <alignment horizontal="center" wrapText="1"/>
    </xf>
    <xf numFmtId="0" fontId="0" fillId="0" borderId="0" xfId="0" applyAlignment="1"/>
    <xf numFmtId="4" fontId="37" fillId="0" borderId="0" xfId="0" quotePrefix="1" applyNumberFormat="1" applyFont="1" applyBorder="1" applyAlignment="1" applyProtection="1">
      <alignment horizontal="left" vertical="center"/>
    </xf>
    <xf numFmtId="0" fontId="37" fillId="0" borderId="0" xfId="0" applyFont="1" applyBorder="1" applyAlignment="1">
      <alignment vertical="center"/>
    </xf>
    <xf numFmtId="4" fontId="43" fillId="21" borderId="0" xfId="0" quotePrefix="1" applyNumberFormat="1" applyFont="1" applyFill="1" applyBorder="1" applyAlignment="1" applyProtection="1">
      <alignment horizontal="center"/>
    </xf>
    <xf numFmtId="0" fontId="46" fillId="21" borderId="0" xfId="0" applyFont="1" applyFill="1" applyBorder="1" applyAlignment="1">
      <alignment horizontal="center"/>
    </xf>
    <xf numFmtId="4" fontId="43" fillId="22" borderId="0" xfId="4" quotePrefix="1" applyNumberFormat="1" applyFont="1" applyFill="1" applyBorder="1" applyAlignment="1" applyProtection="1">
      <alignment horizontal="center"/>
    </xf>
    <xf numFmtId="0" fontId="46" fillId="22" borderId="0" xfId="0" applyFont="1" applyFill="1" applyBorder="1" applyAlignment="1">
      <alignment horizontal="center"/>
    </xf>
    <xf numFmtId="4" fontId="43" fillId="23" borderId="0" xfId="0" applyNumberFormat="1" applyFont="1" applyFill="1" applyBorder="1" applyAlignment="1" applyProtection="1">
      <alignment horizontal="center"/>
    </xf>
    <xf numFmtId="0" fontId="50" fillId="23" borderId="0" xfId="0" applyFont="1" applyFill="1" applyBorder="1" applyAlignment="1">
      <alignment horizontal="center"/>
    </xf>
    <xf numFmtId="4" fontId="43" fillId="23" borderId="0" xfId="4" quotePrefix="1" applyNumberFormat="1" applyFont="1" applyFill="1" applyBorder="1" applyAlignment="1" applyProtection="1">
      <alignment horizontal="center"/>
    </xf>
    <xf numFmtId="4" fontId="43" fillId="23" borderId="0" xfId="4" applyNumberFormat="1" applyFont="1" applyFill="1" applyBorder="1" applyAlignment="1" applyProtection="1">
      <alignment horizontal="center"/>
    </xf>
    <xf numFmtId="4" fontId="43" fillId="16" borderId="0" xfId="4" quotePrefix="1" applyNumberFormat="1" applyFont="1" applyFill="1" applyBorder="1" applyAlignment="1" applyProtection="1">
      <alignment horizontal="center"/>
    </xf>
    <xf numFmtId="4" fontId="43" fillId="16" borderId="0" xfId="4" applyNumberFormat="1" applyFont="1" applyFill="1" applyBorder="1" applyAlignment="1" applyProtection="1">
      <alignment horizontal="center"/>
    </xf>
    <xf numFmtId="4" fontId="43" fillId="24" borderId="0" xfId="0" quotePrefix="1" applyNumberFormat="1" applyFont="1" applyFill="1" applyBorder="1" applyAlignment="1" applyProtection="1">
      <alignment horizontal="center"/>
    </xf>
    <xf numFmtId="0" fontId="43" fillId="24" borderId="0" xfId="0" applyFont="1" applyFill="1" applyBorder="1" applyAlignment="1">
      <alignment horizontal="center"/>
    </xf>
    <xf numFmtId="4" fontId="37" fillId="0" borderId="0" xfId="0" quotePrefix="1" applyNumberFormat="1" applyFont="1" applyBorder="1" applyAlignment="1" applyProtection="1">
      <alignment horizontal="center" vertical="center"/>
    </xf>
    <xf numFmtId="0" fontId="37" fillId="0" borderId="0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7" fillId="0" borderId="0" xfId="0" quotePrefix="1" applyFont="1" applyBorder="1" applyAlignment="1" applyProtection="1">
      <alignment horizontal="center" vertical="center"/>
    </xf>
    <xf numFmtId="4" fontId="37" fillId="0" borderId="77" xfId="0" applyNumberFormat="1" applyFont="1" applyBorder="1" applyAlignment="1" applyProtection="1">
      <alignment horizontal="center" vertical="center"/>
    </xf>
    <xf numFmtId="0" fontId="33" fillId="0" borderId="77" xfId="0" applyFont="1" applyBorder="1" applyAlignment="1">
      <alignment horizontal="center" vertical="center"/>
    </xf>
    <xf numFmtId="4" fontId="53" fillId="17" borderId="0" xfId="3" quotePrefix="1" applyNumberFormat="1" applyFont="1" applyFill="1" applyBorder="1" applyAlignment="1" applyProtection="1">
      <alignment horizontal="center"/>
    </xf>
    <xf numFmtId="0" fontId="54" fillId="17" borderId="0" xfId="3" applyFont="1" applyFill="1" applyBorder="1" applyAlignment="1">
      <alignment horizontal="center"/>
    </xf>
    <xf numFmtId="4" fontId="29" fillId="18" borderId="0" xfId="0" applyNumberFormat="1" applyFont="1" applyFill="1" applyBorder="1" applyAlignment="1" applyProtection="1"/>
    <xf numFmtId="0" fontId="50" fillId="18" borderId="0" xfId="0" applyFont="1" applyFill="1" applyBorder="1" applyAlignment="1"/>
    <xf numFmtId="4" fontId="55" fillId="11" borderId="0" xfId="0" applyNumberFormat="1" applyFont="1" applyFill="1" applyBorder="1" applyAlignment="1" applyProtection="1">
      <alignment horizontal="center"/>
    </xf>
    <xf numFmtId="0" fontId="55" fillId="11" borderId="0" xfId="0" applyFont="1" applyFill="1" applyBorder="1" applyAlignment="1">
      <alignment horizontal="center"/>
    </xf>
    <xf numFmtId="4" fontId="43" fillId="16" borderId="39" xfId="0" quotePrefix="1" applyNumberFormat="1" applyFont="1" applyFill="1" applyBorder="1" applyAlignment="1" applyProtection="1">
      <alignment horizontal="center"/>
    </xf>
    <xf numFmtId="0" fontId="50" fillId="16" borderId="40" xfId="0" applyFont="1" applyFill="1" applyBorder="1" applyAlignment="1">
      <alignment horizontal="center"/>
    </xf>
    <xf numFmtId="0" fontId="50" fillId="16" borderId="41" xfId="0" applyFont="1" applyFill="1" applyBorder="1" applyAlignment="1">
      <alignment horizontal="center"/>
    </xf>
    <xf numFmtId="4" fontId="43" fillId="25" borderId="152" xfId="1" quotePrefix="1" applyNumberFormat="1" applyFont="1" applyFill="1" applyBorder="1" applyAlignment="1" applyProtection="1">
      <alignment horizontal="center"/>
    </xf>
    <xf numFmtId="0" fontId="56" fillId="25" borderId="153" xfId="1" applyFont="1" applyFill="1" applyBorder="1" applyAlignment="1"/>
    <xf numFmtId="0" fontId="56" fillId="25" borderId="154" xfId="1" applyFont="1" applyFill="1" applyBorder="1" applyAlignment="1"/>
    <xf numFmtId="4" fontId="29" fillId="26" borderId="0" xfId="0" applyNumberFormat="1" applyFont="1" applyFill="1" applyAlignment="1" applyProtection="1"/>
    <xf numFmtId="0" fontId="50" fillId="26" borderId="0" xfId="0" applyFont="1" applyFill="1" applyAlignment="1"/>
    <xf numFmtId="4" fontId="29" fillId="27" borderId="0" xfId="0" applyNumberFormat="1" applyFont="1" applyFill="1" applyAlignment="1" applyProtection="1"/>
    <xf numFmtId="0" fontId="50" fillId="27" borderId="0" xfId="0" applyFont="1" applyFill="1" applyAlignment="1"/>
    <xf numFmtId="4" fontId="43" fillId="28" borderId="39" xfId="0" quotePrefix="1" applyNumberFormat="1" applyFont="1" applyFill="1" applyBorder="1" applyAlignment="1" applyProtection="1">
      <alignment horizontal="center"/>
    </xf>
    <xf numFmtId="0" fontId="50" fillId="28" borderId="40" xfId="0" applyFont="1" applyFill="1" applyBorder="1" applyAlignment="1">
      <alignment horizontal="center"/>
    </xf>
    <xf numFmtId="0" fontId="50" fillId="28" borderId="41" xfId="0" applyFont="1" applyFill="1" applyBorder="1" applyAlignment="1">
      <alignment horizontal="center"/>
    </xf>
    <xf numFmtId="4" fontId="57" fillId="29" borderId="39" xfId="0" quotePrefix="1" applyNumberFormat="1" applyFont="1" applyFill="1" applyBorder="1" applyAlignment="1" applyProtection="1">
      <alignment horizontal="center"/>
    </xf>
    <xf numFmtId="0" fontId="51" fillId="29" borderId="40" xfId="0" applyFont="1" applyFill="1" applyBorder="1" applyAlignment="1">
      <alignment horizontal="center"/>
    </xf>
    <xf numFmtId="0" fontId="51" fillId="29" borderId="41" xfId="0" applyFont="1" applyFill="1" applyBorder="1" applyAlignment="1">
      <alignment horizontal="center"/>
    </xf>
    <xf numFmtId="4" fontId="43" fillId="28" borderId="39" xfId="0" applyNumberFormat="1" applyFont="1" applyFill="1" applyBorder="1" applyAlignment="1" applyProtection="1">
      <alignment horizontal="center"/>
    </xf>
    <xf numFmtId="0" fontId="43" fillId="28" borderId="39" xfId="0" applyFont="1" applyFill="1" applyBorder="1" applyAlignment="1">
      <alignment horizontal="center"/>
    </xf>
    <xf numFmtId="4" fontId="37" fillId="10" borderId="107" xfId="0" applyNumberFormat="1" applyFont="1" applyFill="1" applyBorder="1" applyAlignment="1" applyProtection="1">
      <alignment vertical="center"/>
    </xf>
    <xf numFmtId="0" fontId="37" fillId="10" borderId="109" xfId="0" applyFont="1" applyFill="1" applyBorder="1" applyAlignment="1">
      <alignment vertical="center"/>
    </xf>
    <xf numFmtId="4" fontId="37" fillId="10" borderId="108" xfId="0" applyNumberFormat="1" applyFont="1" applyFill="1" applyBorder="1" applyAlignment="1" applyProtection="1">
      <alignment vertical="center"/>
    </xf>
    <xf numFmtId="0" fontId="37" fillId="10" borderId="110" xfId="0" applyFont="1" applyFill="1" applyBorder="1" applyAlignment="1">
      <alignment vertical="center"/>
    </xf>
    <xf numFmtId="0" fontId="43" fillId="16" borderId="39" xfId="0" quotePrefix="1" applyFont="1" applyFill="1" applyBorder="1" applyAlignment="1" applyProtection="1">
      <alignment horizontal="center"/>
    </xf>
    <xf numFmtId="0" fontId="43" fillId="28" borderId="39" xfId="0" quotePrefix="1" applyFont="1" applyFill="1" applyBorder="1" applyAlignment="1">
      <alignment horizontal="center"/>
    </xf>
    <xf numFmtId="0" fontId="43" fillId="30" borderId="39" xfId="0" applyFont="1" applyFill="1" applyBorder="1" applyAlignment="1" applyProtection="1">
      <alignment horizontal="center"/>
    </xf>
    <xf numFmtId="0" fontId="43" fillId="30" borderId="40" xfId="0" applyFont="1" applyFill="1" applyBorder="1" applyAlignment="1">
      <alignment horizontal="center"/>
    </xf>
    <xf numFmtId="0" fontId="43" fillId="30" borderId="41" xfId="0" applyFont="1" applyFill="1" applyBorder="1" applyAlignment="1">
      <alignment horizontal="center"/>
    </xf>
    <xf numFmtId="4" fontId="29" fillId="31" borderId="0" xfId="0" applyNumberFormat="1" applyFont="1" applyFill="1" applyAlignment="1" applyProtection="1"/>
    <xf numFmtId="0" fontId="50" fillId="31" borderId="0" xfId="0" applyFont="1" applyFill="1" applyAlignment="1"/>
    <xf numFmtId="0" fontId="5" fillId="9" borderId="39" xfId="0" applyFont="1" applyFill="1" applyBorder="1" applyAlignment="1">
      <alignment horizontal="center"/>
    </xf>
    <xf numFmtId="0" fontId="5" fillId="9" borderId="40" xfId="0" applyFont="1" applyFill="1" applyBorder="1" applyAlignment="1">
      <alignment horizontal="center"/>
    </xf>
    <xf numFmtId="0" fontId="5" fillId="9" borderId="41" xfId="0" applyFont="1" applyFill="1" applyBorder="1" applyAlignment="1">
      <alignment horizontal="center"/>
    </xf>
    <xf numFmtId="0" fontId="19" fillId="0" borderId="23" xfId="0" applyFont="1" applyBorder="1" applyAlignment="1" applyProtection="1">
      <alignment horizontal="center"/>
    </xf>
    <xf numFmtId="164" fontId="19" fillId="0" borderId="23" xfId="2" applyFont="1" applyBorder="1" applyAlignment="1" applyProtection="1">
      <alignment horizontal="center"/>
    </xf>
  </cellXfs>
  <cellStyles count="5">
    <cellStyle name="20% - Énfasis2" xfId="1" builtinId="34"/>
    <cellStyle name="Millares" xfId="2" builtinId="3"/>
    <cellStyle name="Neutral" xfId="3" builtinId="28"/>
    <cellStyle name="Normal" xfId="0" builtinId="0"/>
    <cellStyle name="Porcentaje" xfId="4" builtinId="5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PRESTECS</c:v>
          </c:tx>
          <c:invertIfNegative val="0"/>
          <c:cat>
            <c:strLit>
              <c:ptCount val="1"/>
              <c:pt idx="0">
                <c:v>FINANÇAMENT</c:v>
              </c:pt>
            </c:strLit>
          </c:cat>
          <c:val>
            <c:numRef>
              <c:f>'Inversió inicial'!$M$11</c:f>
              <c:numCache>
                <c:formatCode>#,##0.00</c:formatCode>
                <c:ptCount val="1"/>
                <c:pt idx="0">
                  <c:v>55000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9B-408A-854D-3CDF72AED664}"/>
            </c:ext>
          </c:extLst>
        </c:ser>
        <c:ser>
          <c:idx val="2"/>
          <c:order val="1"/>
          <c:tx>
            <c:v>LEASING</c:v>
          </c:tx>
          <c:invertIfNegative val="0"/>
          <c:cat>
            <c:strLit>
              <c:ptCount val="1"/>
              <c:pt idx="0">
                <c:v>FINANÇAMENT</c:v>
              </c:pt>
            </c:strLit>
          </c:cat>
          <c:val>
            <c:numRef>
              <c:f>'Inversió inicial'!$Q$11</c:f>
              <c:numCache>
                <c:formatCode>#,##0.00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1-F39B-408A-854D-3CDF72AED664}"/>
            </c:ext>
          </c:extLst>
        </c:ser>
        <c:ser>
          <c:idx val="1"/>
          <c:order val="2"/>
          <c:tx>
            <c:v>PROPI</c:v>
          </c:tx>
          <c:invertIfNegative val="0"/>
          <c:val>
            <c:numRef>
              <c:f>'Inversió inicial'!$M$23</c:f>
              <c:numCache>
                <c:formatCode>#,##0.00</c:formatCode>
                <c:ptCount val="1"/>
                <c:pt idx="0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9B-408A-854D-3CDF72AED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74033152"/>
        <c:axId val="174051328"/>
        <c:axId val="0"/>
      </c:bar3DChart>
      <c:catAx>
        <c:axId val="17403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4051328"/>
        <c:crosses val="autoZero"/>
        <c:auto val="1"/>
        <c:lblAlgn val="ctr"/>
        <c:lblOffset val="100"/>
        <c:noMultiLvlLbl val="0"/>
      </c:catAx>
      <c:valAx>
        <c:axId val="174051328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74033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XIFRA DE VENDES</c:v>
          </c:tx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anys'!$D$9:$F$9</c:f>
              <c:numCache>
                <c:formatCode>#,##0.00</c:formatCode>
                <c:ptCount val="3"/>
                <c:pt idx="0">
                  <c:v>188292.98608</c:v>
                </c:pt>
                <c:pt idx="1">
                  <c:v>246004.78631351996</c:v>
                </c:pt>
                <c:pt idx="2">
                  <c:v>276902.98747449805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8-4591-9923-3519011FFFCB}"/>
            </c:ext>
          </c:extLst>
        </c:ser>
        <c:ser>
          <c:idx val="1"/>
          <c:order val="1"/>
          <c:tx>
            <c:v>MARGE BRUT</c:v>
          </c:tx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anys'!$D$14:$F$14</c:f>
              <c:numCache>
                <c:formatCode>#,##0.00</c:formatCode>
                <c:ptCount val="3"/>
                <c:pt idx="0">
                  <c:v>91939.024479999993</c:v>
                </c:pt>
                <c:pt idx="1">
                  <c:v>120118.33548311998</c:v>
                </c:pt>
                <c:pt idx="2">
                  <c:v>135205.1984197998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68-4591-9923-3519011FF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5028480"/>
        <c:axId val="195030016"/>
        <c:axId val="0"/>
      </c:bar3DChart>
      <c:catAx>
        <c:axId val="1950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030016"/>
        <c:crosses val="autoZero"/>
        <c:auto val="1"/>
        <c:lblAlgn val="ctr"/>
        <c:lblOffset val="100"/>
        <c:noMultiLvlLbl val="0"/>
      </c:catAx>
      <c:valAx>
        <c:axId val="19503001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50284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RESULTAT OPERATIU</c:v>
          </c:tx>
          <c:spPr>
            <a:ln w="28575">
              <a:noFill/>
            </a:ln>
          </c:spPr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anys'!$D$20:$F$20</c:f>
              <c:numCache>
                <c:formatCode>#,##0.00</c:formatCode>
                <c:ptCount val="3"/>
                <c:pt idx="0">
                  <c:v>5520.6911466666515</c:v>
                </c:pt>
                <c:pt idx="1">
                  <c:v>22057.982149786658</c:v>
                </c:pt>
                <c:pt idx="2">
                  <c:v>23168.199536466469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6-40CC-8B42-5DB0EC6844B7}"/>
            </c:ext>
          </c:extLst>
        </c:ser>
        <c:ser>
          <c:idx val="1"/>
          <c:order val="1"/>
          <c:tx>
            <c:v>RESULTAT NET</c:v>
          </c:tx>
          <c:spPr>
            <a:ln w="28575">
              <a:noFill/>
            </a:ln>
          </c:spPr>
          <c:invertIfNegative val="0"/>
          <c:cat>
            <c:strRef>
              <c:f>'Resultats a tres anys'!$D$8:$F$8</c:f>
              <c:strCache>
                <c:ptCount val="3"/>
                <c:pt idx="0">
                  <c:v>1er Any</c:v>
                </c:pt>
                <c:pt idx="1">
                  <c:v>2º Any</c:v>
                </c:pt>
                <c:pt idx="2">
                  <c:v>3er Any</c:v>
                </c:pt>
              </c:strCache>
            </c:strRef>
          </c:cat>
          <c:val>
            <c:numRef>
              <c:f>'Resultats a tres anys'!$D$24:$F$24</c:f>
              <c:numCache>
                <c:formatCode>#,##0.00</c:formatCode>
                <c:ptCount val="3"/>
                <c:pt idx="0">
                  <c:v>3103.0874746666541</c:v>
                </c:pt>
                <c:pt idx="1">
                  <c:v>17159.784827318661</c:v>
                </c:pt>
                <c:pt idx="2">
                  <c:v>18183.593166806222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6-40CC-8B42-5DB0EC684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6845568"/>
        <c:axId val="196847104"/>
        <c:axId val="0"/>
      </c:bar3DChart>
      <c:catAx>
        <c:axId val="196845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847104"/>
        <c:crosses val="autoZero"/>
        <c:auto val="1"/>
        <c:lblAlgn val="ctr"/>
        <c:lblOffset val="100"/>
        <c:noMultiLvlLbl val="0"/>
      </c:catAx>
      <c:valAx>
        <c:axId val="19684710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68455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63497375328084"/>
          <c:y val="5.1400554097404488E-2"/>
          <c:w val="0.64508158355205603"/>
          <c:h val="0.8326195683872849"/>
        </c:manualLayout>
      </c:layout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anys'!$I$25</c:f>
              <c:numCache>
                <c:formatCode>#,##0.00</c:formatCode>
                <c:ptCount val="1"/>
                <c:pt idx="0">
                  <c:v>11948.949999999997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1-4E81-8821-B0C0AF1DF0DB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anys'!$J$27</c:f>
              <c:numCache>
                <c:formatCode>#,##0.00</c:formatCode>
                <c:ptCount val="1"/>
                <c:pt idx="0">
                  <c:v>37195.347519999996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81-4E81-8821-B0C0AF1DF0DB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anys'!$K$27</c:f>
              <c:numCache>
                <c:formatCode>#,##0.00</c:formatCode>
                <c:ptCount val="1"/>
                <c:pt idx="0">
                  <c:v>75998.809230727988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81-4E81-8821-B0C0AF1DF0DB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Lit>
              <c:ptCount val="1"/>
              <c:pt idx="0">
                <c:v>CASHFLOW</c:v>
              </c:pt>
            </c:strLit>
          </c:cat>
          <c:val>
            <c:numRef>
              <c:f>'Resultats a tres anys'!$L$27</c:f>
              <c:numCache>
                <c:formatCode>#,##0.00</c:formatCode>
                <c:ptCount val="1"/>
                <c:pt idx="0">
                  <c:v>105121.39056955226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81-4E81-8821-B0C0AF1DF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7070848"/>
        <c:axId val="197072384"/>
        <c:axId val="0"/>
      </c:bar3DChart>
      <c:catAx>
        <c:axId val="19707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7072384"/>
        <c:crosses val="autoZero"/>
        <c:auto val="1"/>
        <c:lblAlgn val="ctr"/>
        <c:lblOffset val="100"/>
        <c:noMultiLvlLbl val="0"/>
      </c:catAx>
      <c:valAx>
        <c:axId val="19707238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70708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(Balanç!$D$17,Balanç!$D$30)</c:f>
              <c:numCache>
                <c:formatCode>General</c:formatCode>
                <c:ptCount val="2"/>
                <c:pt idx="0" formatCode="#,##0.00">
                  <c:v>25494.999999999996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B2-4833-9B0D-CAA99F6664AF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(Balanç!$E$17,Balanç!$E$30)</c:f>
              <c:numCache>
                <c:formatCode>#,##0.00</c:formatCode>
                <c:ptCount val="2"/>
                <c:pt idx="0">
                  <c:v>79854.397519999999</c:v>
                </c:pt>
                <c:pt idx="1">
                  <c:v>38021.976712000003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B2-4833-9B0D-CAA99F6664AF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(Balanç!$F$17,Balanç!$F$30)</c:f>
              <c:numCache>
                <c:formatCode>#,##0.00</c:formatCode>
                <c:ptCount val="2"/>
                <c:pt idx="0">
                  <c:v>103998.80923072799</c:v>
                </c:pt>
                <c:pt idx="1">
                  <c:v>31772.270262075996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B2-4833-9B0D-CAA99F6664AF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Ref>
              <c:f>(Balanç!$C$17,Balanç!$C$30)</c:f>
              <c:strCache>
                <c:ptCount val="2"/>
                <c:pt idx="0">
                  <c:v>Actiu corrent</c:v>
                </c:pt>
                <c:pt idx="1">
                  <c:v>Passiu corrent</c:v>
                </c:pt>
              </c:strCache>
            </c:strRef>
          </c:cat>
          <c:val>
            <c:numRef>
              <c:f>(Balanç!$G$17,Balanç!$G$30)</c:f>
              <c:numCache>
                <c:formatCode>#,##0.00</c:formatCode>
                <c:ptCount val="2"/>
                <c:pt idx="0">
                  <c:v>133121.39056955226</c:v>
                </c:pt>
                <c:pt idx="1">
                  <c:v>35563.197883200322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B2-4833-9B0D-CAA99F666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6544768"/>
        <c:axId val="196550656"/>
        <c:axId val="0"/>
      </c:bar3DChart>
      <c:catAx>
        <c:axId val="19654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550656"/>
        <c:crosses val="autoZero"/>
        <c:auto val="1"/>
        <c:lblAlgn val="ctr"/>
        <c:lblOffset val="100"/>
        <c:noMultiLvlLbl val="0"/>
      </c:catAx>
      <c:valAx>
        <c:axId val="196550656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654476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INICIAL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Balanç!$D$22</c:f>
              <c:numCache>
                <c:formatCode>#,##0.00</c:formatCode>
                <c:ptCount val="1"/>
                <c:pt idx="0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54-4632-AABD-8419CD446B43}"/>
            </c:ext>
          </c:extLst>
        </c:ser>
        <c:ser>
          <c:idx val="1"/>
          <c:order val="1"/>
          <c:tx>
            <c:v>1er.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Balanç!$E$22</c:f>
              <c:numCache>
                <c:formatCode>#,##0.00</c:formatCode>
                <c:ptCount val="1"/>
                <c:pt idx="0">
                  <c:v>38103.087474666652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54-4632-AABD-8419CD446B43}"/>
            </c:ext>
          </c:extLst>
        </c:ser>
        <c:ser>
          <c:idx val="2"/>
          <c:order val="2"/>
          <c:tx>
            <c:v>2on.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Balanç!$F$22</c:f>
              <c:numCache>
                <c:formatCode>#,##0.00</c:formatCode>
                <c:ptCount val="1"/>
                <c:pt idx="0">
                  <c:v>55262.872301985313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54-4632-AABD-8419CD446B43}"/>
            </c:ext>
          </c:extLst>
        </c:ser>
        <c:ser>
          <c:idx val="3"/>
          <c:order val="3"/>
          <c:tx>
            <c:v>3er. ANY</c:v>
          </c:tx>
          <c:invertIfNegative val="0"/>
          <c:cat>
            <c:strLit>
              <c:ptCount val="1"/>
              <c:pt idx="0">
                <c:v>PATRIMONI NET</c:v>
              </c:pt>
            </c:strLit>
          </c:cat>
          <c:val>
            <c:numRef>
              <c:f>Balanç!$G$22</c:f>
              <c:numCache>
                <c:formatCode>#,##0.00</c:formatCode>
                <c:ptCount val="1"/>
                <c:pt idx="0">
                  <c:v>73446.465468791532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54-4632-AABD-8419CD44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96581632"/>
        <c:axId val="196587520"/>
        <c:axId val="0"/>
      </c:bar3DChart>
      <c:catAx>
        <c:axId val="1965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6587520"/>
        <c:crosses val="autoZero"/>
        <c:auto val="1"/>
        <c:lblAlgn val="ctr"/>
        <c:lblOffset val="100"/>
        <c:noMultiLvlLbl val="0"/>
      </c:catAx>
      <c:valAx>
        <c:axId val="196587520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965816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752476</xdr:colOff>
      <xdr:row>0</xdr:row>
      <xdr:rowOff>123826</xdr:rowOff>
    </xdr:from>
    <xdr:to>
      <xdr:col>1</xdr:col>
      <xdr:colOff>3048001</xdr:colOff>
      <xdr:row>5</xdr:row>
      <xdr:rowOff>141144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3AAE610-070E-48FF-BC7C-8BEC419F4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6" y="123826"/>
          <a:ext cx="3048000" cy="8269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838200</xdr:colOff>
      <xdr:row>26</xdr:row>
      <xdr:rowOff>47625</xdr:rowOff>
    </xdr:from>
    <xdr:to>
      <xdr:col>17</xdr:col>
      <xdr:colOff>381000</xdr:colOff>
      <xdr:row>38</xdr:row>
      <xdr:rowOff>66675</xdr:rowOff>
    </xdr:to>
    <xdr:graphicFrame macro="">
      <xdr:nvGraphicFramePr>
        <xdr:cNvPr id="3" name="Gràfic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114300</xdr:rowOff>
    </xdr:from>
    <xdr:to>
      <xdr:col>7</xdr:col>
      <xdr:colOff>47625</xdr:colOff>
      <xdr:row>63</xdr:row>
      <xdr:rowOff>85725</xdr:rowOff>
    </xdr:to>
    <xdr:graphicFrame macro="">
      <xdr:nvGraphicFramePr>
        <xdr:cNvPr id="10266" name="Gràfic 1">
          <a:extLst>
            <a:ext uri="{FF2B5EF4-FFF2-40B4-BE49-F238E27FC236}">
              <a16:creationId xmlns:a16="http://schemas.microsoft.com/office/drawing/2014/main" id="{00000000-0008-0000-0500-00001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276225</xdr:colOff>
      <xdr:row>45</xdr:row>
      <xdr:rowOff>123825</xdr:rowOff>
    </xdr:from>
    <xdr:to>
      <xdr:col>11</xdr:col>
      <xdr:colOff>742950</xdr:colOff>
      <xdr:row>64</xdr:row>
      <xdr:rowOff>0</xdr:rowOff>
    </xdr:to>
    <xdr:graphicFrame macro="">
      <xdr:nvGraphicFramePr>
        <xdr:cNvPr id="10267" name="Gràfic 2">
          <a:extLst>
            <a:ext uri="{FF2B5EF4-FFF2-40B4-BE49-F238E27FC236}">
              <a16:creationId xmlns:a16="http://schemas.microsoft.com/office/drawing/2014/main" id="{00000000-0008-0000-0500-00001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123825</xdr:colOff>
      <xdr:row>64</xdr:row>
      <xdr:rowOff>85725</xdr:rowOff>
    </xdr:from>
    <xdr:to>
      <xdr:col>8</xdr:col>
      <xdr:colOff>838200</xdr:colOff>
      <xdr:row>81</xdr:row>
      <xdr:rowOff>76200</xdr:rowOff>
    </xdr:to>
    <xdr:graphicFrame macro="">
      <xdr:nvGraphicFramePr>
        <xdr:cNvPr id="10268" name="Gràfic 1">
          <a:extLst>
            <a:ext uri="{FF2B5EF4-FFF2-40B4-BE49-F238E27FC236}">
              <a16:creationId xmlns:a16="http://schemas.microsoft.com/office/drawing/2014/main" id="{00000000-0008-0000-0500-00001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19050</xdr:rowOff>
    </xdr:from>
    <xdr:to>
      <xdr:col>14</xdr:col>
      <xdr:colOff>390525</xdr:colOff>
      <xdr:row>17</xdr:row>
      <xdr:rowOff>57150</xdr:rowOff>
    </xdr:to>
    <xdr:graphicFrame macro="">
      <xdr:nvGraphicFramePr>
        <xdr:cNvPr id="1053" name="Gràfic 3">
          <a:extLst>
            <a:ext uri="{FF2B5EF4-FFF2-40B4-BE49-F238E27FC236}">
              <a16:creationId xmlns:a16="http://schemas.microsoft.com/office/drawing/2014/main" id="{00000000-0008-0000-06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19</xdr:row>
      <xdr:rowOff>28575</xdr:rowOff>
    </xdr:from>
    <xdr:to>
      <xdr:col>14</xdr:col>
      <xdr:colOff>419100</xdr:colOff>
      <xdr:row>36</xdr:row>
      <xdr:rowOff>9525</xdr:rowOff>
    </xdr:to>
    <xdr:graphicFrame macro="">
      <xdr:nvGraphicFramePr>
        <xdr:cNvPr id="1054" name="Gràfic 4">
          <a:extLst>
            <a:ext uri="{FF2B5EF4-FFF2-40B4-BE49-F238E27FC236}">
              <a16:creationId xmlns:a16="http://schemas.microsoft.com/office/drawing/2014/main" id="{00000000-0008-0000-06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5B66-AF9F-4022-B030-9ED6B7213671}">
  <sheetPr>
    <pageSetUpPr fitToPage="1"/>
  </sheetPr>
  <dimension ref="B7:B42"/>
  <sheetViews>
    <sheetView tabSelected="1" topLeftCell="A10" zoomScaleNormal="100" zoomScalePageLayoutView="40" workbookViewId="0">
      <selection activeCell="C34" sqref="C34"/>
    </sheetView>
  </sheetViews>
  <sheetFormatPr baseColWidth="10" defaultRowHeight="12.75"/>
  <cols>
    <col min="1" max="1" width="3" customWidth="1"/>
    <col min="2" max="2" width="161.140625" customWidth="1"/>
  </cols>
  <sheetData>
    <row r="7" spans="2:2" ht="30.75" customHeight="1">
      <c r="B7" s="647" t="s">
        <v>289</v>
      </c>
    </row>
    <row r="8" spans="2:2" ht="5.25" customHeight="1">
      <c r="B8" s="648"/>
    </row>
    <row r="9" spans="2:2" ht="24.75" customHeight="1">
      <c r="B9" s="649" t="s">
        <v>290</v>
      </c>
    </row>
    <row r="10" spans="2:2" ht="5.25" customHeight="1">
      <c r="B10" s="650"/>
    </row>
    <row r="11" spans="2:2" ht="15">
      <c r="B11" s="651" t="s">
        <v>291</v>
      </c>
    </row>
    <row r="12" spans="2:2" ht="45">
      <c r="B12" s="652" t="s">
        <v>292</v>
      </c>
    </row>
    <row r="13" spans="2:2" ht="30">
      <c r="B13" s="652" t="s">
        <v>293</v>
      </c>
    </row>
    <row r="14" spans="2:2" ht="12.75" customHeight="1">
      <c r="B14" s="653" t="s">
        <v>294</v>
      </c>
    </row>
    <row r="15" spans="2:2" ht="15">
      <c r="B15" s="653" t="s">
        <v>295</v>
      </c>
    </row>
    <row r="16" spans="2:2" ht="30">
      <c r="B16" s="652" t="s">
        <v>296</v>
      </c>
    </row>
    <row r="17" spans="2:2" ht="15">
      <c r="B17" s="653" t="s">
        <v>297</v>
      </c>
    </row>
    <row r="18" spans="2:2" ht="3.75" customHeight="1">
      <c r="B18" s="652"/>
    </row>
    <row r="19" spans="2:2" ht="15">
      <c r="B19" s="651" t="s">
        <v>298</v>
      </c>
    </row>
    <row r="20" spans="2:2" ht="15">
      <c r="B20" s="653" t="s">
        <v>299</v>
      </c>
    </row>
    <row r="21" spans="2:2" ht="15">
      <c r="B21" s="653" t="s">
        <v>300</v>
      </c>
    </row>
    <row r="22" spans="2:2" ht="15">
      <c r="B22" s="653" t="s">
        <v>301</v>
      </c>
    </row>
    <row r="23" spans="2:2" ht="15">
      <c r="B23" s="653" t="s">
        <v>302</v>
      </c>
    </row>
    <row r="24" spans="2:2" ht="15">
      <c r="B24" s="653" t="s">
        <v>303</v>
      </c>
    </row>
    <row r="25" spans="2:2" ht="15">
      <c r="B25" s="653" t="s">
        <v>304</v>
      </c>
    </row>
    <row r="26" spans="2:2" ht="15">
      <c r="B26" s="653" t="s">
        <v>305</v>
      </c>
    </row>
    <row r="27" spans="2:2" ht="30">
      <c r="B27" s="652" t="s">
        <v>306</v>
      </c>
    </row>
    <row r="28" spans="2:2" ht="30">
      <c r="B28" s="652" t="s">
        <v>307</v>
      </c>
    </row>
    <row r="29" spans="2:2" ht="30">
      <c r="B29" s="652" t="s">
        <v>308</v>
      </c>
    </row>
    <row r="30" spans="2:2" ht="14.25" customHeight="1">
      <c r="B30" s="653" t="s">
        <v>309</v>
      </c>
    </row>
    <row r="31" spans="2:2" ht="4.5" customHeight="1">
      <c r="B31" s="652"/>
    </row>
    <row r="32" spans="2:2" ht="15">
      <c r="B32" s="651" t="s">
        <v>310</v>
      </c>
    </row>
    <row r="33" spans="2:2" ht="30">
      <c r="B33" s="652" t="s">
        <v>311</v>
      </c>
    </row>
    <row r="34" spans="2:2" ht="15">
      <c r="B34" s="653" t="s">
        <v>312</v>
      </c>
    </row>
    <row r="35" spans="2:2" ht="4.5" customHeight="1">
      <c r="B35" s="652"/>
    </row>
    <row r="36" spans="2:2" ht="15">
      <c r="B36" s="651" t="s">
        <v>313</v>
      </c>
    </row>
    <row r="37" spans="2:2" ht="17.25" customHeight="1">
      <c r="B37" s="653" t="s">
        <v>314</v>
      </c>
    </row>
    <row r="38" spans="2:2" ht="3.75" customHeight="1">
      <c r="B38" s="652"/>
    </row>
    <row r="39" spans="2:2" ht="15">
      <c r="B39" s="651" t="s">
        <v>315</v>
      </c>
    </row>
    <row r="40" spans="2:2" ht="15">
      <c r="B40" s="653" t="s">
        <v>316</v>
      </c>
    </row>
    <row r="41" spans="2:2" ht="13.5" customHeight="1">
      <c r="B41" s="653"/>
    </row>
    <row r="42" spans="2:2" ht="15">
      <c r="B42" s="654" t="s">
        <v>317</v>
      </c>
    </row>
  </sheetData>
  <pageMargins left="0.28000000000000003" right="0.28999999999999998" top="0.15" bottom="0.2" header="0.16" footer="0.18"/>
  <pageSetup paperSize="9" scale="8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V396"/>
  <sheetViews>
    <sheetView showGridLines="0" topLeftCell="A5" zoomScaleNormal="100" workbookViewId="0">
      <selection activeCell="E17" sqref="E17"/>
    </sheetView>
  </sheetViews>
  <sheetFormatPr baseColWidth="10" defaultColWidth="11.42578125" defaultRowHeight="12.75"/>
  <cols>
    <col min="1" max="1" width="1.5703125" style="1" customWidth="1"/>
    <col min="2" max="2" width="3" style="1" customWidth="1"/>
    <col min="3" max="3" width="31.7109375" style="5" bestFit="1" customWidth="1"/>
    <col min="4" max="4" width="12.7109375" style="5" customWidth="1"/>
    <col min="5" max="5" width="12.28515625" style="5" customWidth="1"/>
    <col min="6" max="8" width="10.7109375" style="5" customWidth="1"/>
    <col min="9" max="10" width="2.85546875" style="5" customWidth="1"/>
    <col min="11" max="11" width="3.7109375" style="5" customWidth="1"/>
    <col min="12" max="12" width="12.7109375" style="5" customWidth="1"/>
    <col min="13" max="13" width="12.7109375" style="1" customWidth="1"/>
    <col min="14" max="14" width="10.7109375" style="1" customWidth="1"/>
    <col min="15" max="15" width="3.7109375" style="1" customWidth="1"/>
    <col min="16" max="16" width="12.7109375" style="1" customWidth="1"/>
    <col min="17" max="17" width="12.7109375" style="3" customWidth="1"/>
    <col min="18" max="18" width="10.7109375" style="3" customWidth="1"/>
    <col min="19" max="19" width="1.140625" style="3" customWidth="1"/>
    <col min="20" max="21" width="13.28515625" style="1" bestFit="1" customWidth="1"/>
    <col min="22" max="16384" width="11.42578125" style="1"/>
  </cols>
  <sheetData>
    <row r="2" spans="2:22" ht="20.25" customHeight="1">
      <c r="C2" s="655" t="s">
        <v>266</v>
      </c>
      <c r="D2" s="656"/>
      <c r="E2" s="656"/>
      <c r="F2" s="4"/>
      <c r="G2" s="4"/>
      <c r="H2" s="4"/>
      <c r="I2" s="4"/>
      <c r="J2" s="4"/>
      <c r="K2" s="4"/>
      <c r="L2" s="4"/>
      <c r="M2" s="4"/>
      <c r="N2" s="4"/>
      <c r="Q2" s="30"/>
      <c r="R2" s="29"/>
    </row>
    <row r="3" spans="2:22" ht="7.5" customHeight="1" thickBot="1"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2:22" ht="19.5" customHeight="1" thickBot="1">
      <c r="C4" s="669" t="s">
        <v>256</v>
      </c>
      <c r="D4" s="670"/>
      <c r="E4" s="670"/>
      <c r="F4" s="670"/>
      <c r="G4" s="670"/>
      <c r="H4" s="670"/>
      <c r="I4" s="670"/>
      <c r="J4" s="670"/>
      <c r="K4" s="671"/>
      <c r="L4" s="671"/>
      <c r="M4" s="671"/>
      <c r="N4" s="671"/>
      <c r="O4" s="671"/>
      <c r="P4" s="671"/>
      <c r="Q4" s="671"/>
      <c r="R4" s="672"/>
    </row>
    <row r="5" spans="2:22" ht="9" customHeight="1">
      <c r="C5" s="158"/>
      <c r="D5" s="159"/>
      <c r="E5" s="159"/>
      <c r="F5" s="159"/>
      <c r="G5" s="159"/>
      <c r="H5" s="159"/>
      <c r="I5" s="159"/>
      <c r="J5" s="159"/>
      <c r="K5" s="215"/>
      <c r="L5" s="215"/>
      <c r="M5" s="215"/>
      <c r="N5" s="215"/>
      <c r="O5" s="215"/>
      <c r="P5" s="215"/>
      <c r="Q5" s="215"/>
      <c r="R5" s="215"/>
      <c r="S5" s="209"/>
    </row>
    <row r="6" spans="2:22" ht="8.25" customHeight="1" thickBot="1">
      <c r="B6" s="162"/>
      <c r="C6" s="163"/>
      <c r="D6" s="163"/>
      <c r="E6" s="163"/>
      <c r="F6" s="163"/>
      <c r="G6" s="163"/>
      <c r="H6" s="163"/>
      <c r="I6" s="164"/>
      <c r="J6" s="8"/>
      <c r="K6" s="210"/>
      <c r="L6" s="211"/>
      <c r="M6" s="212"/>
      <c r="N6" s="212"/>
      <c r="O6" s="212"/>
      <c r="P6" s="212"/>
      <c r="Q6" s="213"/>
      <c r="R6" s="213"/>
      <c r="S6" s="214"/>
      <c r="U6" s="4"/>
    </row>
    <row r="7" spans="2:22" ht="21" thickBot="1">
      <c r="B7" s="165"/>
      <c r="C7" s="663" t="s">
        <v>78</v>
      </c>
      <c r="D7" s="664"/>
      <c r="E7" s="664"/>
      <c r="F7" s="664"/>
      <c r="G7" s="664"/>
      <c r="H7" s="665"/>
      <c r="I7" s="183"/>
      <c r="J7" s="182"/>
      <c r="K7" s="205"/>
      <c r="L7" s="666" t="s">
        <v>99</v>
      </c>
      <c r="M7" s="667"/>
      <c r="N7" s="667"/>
      <c r="O7" s="667"/>
      <c r="P7" s="667"/>
      <c r="Q7" s="667"/>
      <c r="R7" s="668"/>
      <c r="S7" s="204"/>
      <c r="T7" s="4"/>
      <c r="U7" s="4"/>
    </row>
    <row r="8" spans="2:22">
      <c r="B8" s="165"/>
      <c r="C8" s="32"/>
      <c r="D8" s="32"/>
      <c r="E8" s="17"/>
      <c r="F8" s="62"/>
      <c r="G8" s="35"/>
      <c r="H8" s="32"/>
      <c r="I8" s="166"/>
      <c r="J8" s="32"/>
      <c r="K8" s="206"/>
      <c r="L8" s="42"/>
      <c r="M8" s="193"/>
      <c r="N8" s="193"/>
      <c r="O8" s="193"/>
      <c r="P8" s="193"/>
      <c r="Q8" s="194"/>
      <c r="R8" s="194"/>
      <c r="S8" s="204"/>
      <c r="T8" s="4"/>
      <c r="U8" s="4"/>
    </row>
    <row r="9" spans="2:22" ht="30" customHeight="1">
      <c r="B9" s="165"/>
      <c r="C9" s="184" t="s">
        <v>234</v>
      </c>
      <c r="D9" s="185" t="s">
        <v>79</v>
      </c>
      <c r="E9" s="186" t="s">
        <v>80</v>
      </c>
      <c r="F9" s="187" t="s">
        <v>32</v>
      </c>
      <c r="G9" s="68"/>
      <c r="H9" s="187" t="s">
        <v>81</v>
      </c>
      <c r="I9" s="167"/>
      <c r="J9" s="160"/>
      <c r="K9" s="207"/>
      <c r="L9" s="201" t="s">
        <v>95</v>
      </c>
      <c r="M9" s="8"/>
      <c r="N9" s="8"/>
      <c r="O9" s="193"/>
      <c r="P9" s="202" t="s">
        <v>102</v>
      </c>
      <c r="Q9" s="203"/>
      <c r="R9" s="203"/>
      <c r="S9" s="204"/>
      <c r="T9" s="4"/>
      <c r="U9" s="4"/>
      <c r="V9" s="517"/>
    </row>
    <row r="10" spans="2:22" ht="12.75" customHeight="1">
      <c r="B10" s="165"/>
      <c r="C10" s="293" t="s">
        <v>267</v>
      </c>
      <c r="D10" s="293">
        <v>15000</v>
      </c>
      <c r="E10" s="294">
        <v>5</v>
      </c>
      <c r="F10" s="295">
        <v>0.21</v>
      </c>
      <c r="G10" s="168"/>
      <c r="H10" s="301">
        <f>D10*F10</f>
        <v>3150</v>
      </c>
      <c r="I10" s="169"/>
      <c r="J10" s="8"/>
      <c r="K10" s="208"/>
      <c r="L10" s="8"/>
      <c r="M10" s="8"/>
      <c r="N10" s="8"/>
      <c r="O10" s="193"/>
      <c r="P10" s="195"/>
      <c r="Q10" s="8"/>
      <c r="R10" s="8"/>
      <c r="S10" s="204"/>
      <c r="T10" s="4"/>
      <c r="U10" s="4"/>
      <c r="V10" s="517"/>
    </row>
    <row r="11" spans="2:22">
      <c r="B11" s="165"/>
      <c r="C11" s="293" t="s">
        <v>268</v>
      </c>
      <c r="D11" s="293">
        <v>18000</v>
      </c>
      <c r="E11" s="294">
        <v>5</v>
      </c>
      <c r="F11" s="295">
        <v>0.21</v>
      </c>
      <c r="G11" s="168"/>
      <c r="H11" s="301">
        <f t="shared" ref="H11:H18" si="0">D11*F11</f>
        <v>3780</v>
      </c>
      <c r="I11" s="169"/>
      <c r="J11" s="8"/>
      <c r="K11" s="205"/>
      <c r="L11" s="196" t="s">
        <v>79</v>
      </c>
      <c r="M11" s="283">
        <v>55000</v>
      </c>
      <c r="N11" s="7" t="s">
        <v>3</v>
      </c>
      <c r="O11" s="193"/>
      <c r="P11" s="196" t="s">
        <v>79</v>
      </c>
      <c r="Q11" s="283"/>
      <c r="R11" s="7" t="s">
        <v>3</v>
      </c>
      <c r="S11" s="204"/>
      <c r="T11" s="4"/>
      <c r="U11" s="4"/>
    </row>
    <row r="12" spans="2:22">
      <c r="B12" s="165"/>
      <c r="C12" s="293" t="s">
        <v>269</v>
      </c>
      <c r="D12" s="293">
        <v>2500</v>
      </c>
      <c r="E12" s="294">
        <v>5</v>
      </c>
      <c r="F12" s="295">
        <v>0.21</v>
      </c>
      <c r="G12" s="168"/>
      <c r="H12" s="301">
        <f t="shared" si="0"/>
        <v>525</v>
      </c>
      <c r="I12" s="169"/>
      <c r="J12" s="8"/>
      <c r="K12" s="205"/>
      <c r="L12" s="8"/>
      <c r="M12" s="8"/>
      <c r="N12" s="7"/>
      <c r="O12" s="193"/>
      <c r="P12" s="8"/>
      <c r="Q12" s="8"/>
      <c r="R12" s="7"/>
      <c r="S12" s="204"/>
      <c r="T12" s="4"/>
      <c r="U12" s="4"/>
    </row>
    <row r="13" spans="2:22">
      <c r="B13" s="165"/>
      <c r="C13" s="293" t="s">
        <v>270</v>
      </c>
      <c r="D13" s="293">
        <v>2500</v>
      </c>
      <c r="E13" s="294">
        <v>3</v>
      </c>
      <c r="F13" s="295">
        <v>0.21</v>
      </c>
      <c r="G13" s="168"/>
      <c r="H13" s="301">
        <f t="shared" si="0"/>
        <v>525</v>
      </c>
      <c r="I13" s="169"/>
      <c r="J13" s="8"/>
      <c r="K13" s="205"/>
      <c r="L13" s="8" t="s">
        <v>96</v>
      </c>
      <c r="M13" s="284">
        <v>3.4000000000000002E-2</v>
      </c>
      <c r="N13" s="7"/>
      <c r="O13" s="193"/>
      <c r="P13" s="8" t="s">
        <v>96</v>
      </c>
      <c r="Q13" s="284"/>
      <c r="R13" s="7"/>
      <c r="S13" s="169"/>
      <c r="U13" s="4"/>
    </row>
    <row r="14" spans="2:22">
      <c r="B14" s="165"/>
      <c r="C14" s="293" t="s">
        <v>271</v>
      </c>
      <c r="D14" s="293">
        <v>11005</v>
      </c>
      <c r="E14" s="294">
        <v>5</v>
      </c>
      <c r="F14" s="295">
        <v>0.21</v>
      </c>
      <c r="G14" s="168"/>
      <c r="H14" s="301">
        <f t="shared" si="0"/>
        <v>2311.0499999999997</v>
      </c>
      <c r="I14" s="169"/>
      <c r="J14" s="8"/>
      <c r="K14" s="205"/>
      <c r="L14" s="8"/>
      <c r="M14" s="8"/>
      <c r="N14" s="7"/>
      <c r="O14" s="193"/>
      <c r="P14" s="8"/>
      <c r="Q14" s="8"/>
      <c r="R14" s="7"/>
      <c r="S14" s="169"/>
      <c r="U14" s="4"/>
    </row>
    <row r="15" spans="2:22">
      <c r="B15" s="165"/>
      <c r="C15" s="293" t="s">
        <v>272</v>
      </c>
      <c r="D15" s="296">
        <v>15500</v>
      </c>
      <c r="E15" s="294">
        <v>5</v>
      </c>
      <c r="F15" s="295">
        <v>0.21</v>
      </c>
      <c r="G15" s="168"/>
      <c r="H15" s="301">
        <f t="shared" si="0"/>
        <v>3255</v>
      </c>
      <c r="I15" s="169"/>
      <c r="J15" s="8"/>
      <c r="K15" s="205"/>
      <c r="L15" s="8" t="s">
        <v>97</v>
      </c>
      <c r="M15" s="285">
        <v>24</v>
      </c>
      <c r="N15" s="314" t="s">
        <v>264</v>
      </c>
      <c r="O15" s="193"/>
      <c r="P15" s="8" t="s">
        <v>103</v>
      </c>
      <c r="Q15" s="285"/>
      <c r="R15" s="314" t="s">
        <v>263</v>
      </c>
      <c r="S15" s="169"/>
      <c r="U15" s="4"/>
    </row>
    <row r="16" spans="2:22">
      <c r="B16" s="165"/>
      <c r="C16" s="293"/>
      <c r="D16" s="293"/>
      <c r="E16" s="294"/>
      <c r="F16" s="295"/>
      <c r="G16" s="168"/>
      <c r="H16" s="301">
        <f t="shared" si="0"/>
        <v>0</v>
      </c>
      <c r="I16" s="169"/>
      <c r="J16" s="8"/>
      <c r="K16" s="205"/>
      <c r="L16" s="8"/>
      <c r="M16" s="8"/>
      <c r="N16" s="7"/>
      <c r="O16" s="193"/>
      <c r="P16" s="8"/>
      <c r="Q16" s="8"/>
      <c r="R16" s="7"/>
      <c r="S16" s="169"/>
      <c r="U16" s="4"/>
    </row>
    <row r="17" spans="2:21">
      <c r="B17" s="165"/>
      <c r="C17" s="293"/>
      <c r="D17" s="293"/>
      <c r="E17" s="294"/>
      <c r="F17" s="295"/>
      <c r="G17" s="168"/>
      <c r="H17" s="301">
        <f t="shared" si="0"/>
        <v>0</v>
      </c>
      <c r="I17" s="169"/>
      <c r="J17" s="8"/>
      <c r="K17" s="205"/>
      <c r="L17" s="8" t="s">
        <v>265</v>
      </c>
      <c r="M17" s="286">
        <v>120</v>
      </c>
      <c r="N17" s="7" t="s">
        <v>100</v>
      </c>
      <c r="O17" s="193"/>
      <c r="P17" s="8"/>
      <c r="Q17" s="55"/>
      <c r="R17" s="7"/>
      <c r="S17" s="169"/>
      <c r="U17" s="4"/>
    </row>
    <row r="18" spans="2:21">
      <c r="B18" s="165"/>
      <c r="C18" s="297"/>
      <c r="D18" s="298"/>
      <c r="E18" s="294"/>
      <c r="F18" s="295"/>
      <c r="G18" s="168"/>
      <c r="H18" s="301">
        <f t="shared" si="0"/>
        <v>0</v>
      </c>
      <c r="I18" s="169"/>
      <c r="J18" s="8"/>
      <c r="K18" s="205"/>
      <c r="L18" s="8"/>
      <c r="M18" s="8"/>
      <c r="N18" s="7"/>
      <c r="O18" s="193"/>
      <c r="P18" s="8"/>
      <c r="Q18" s="8"/>
      <c r="R18" s="7"/>
      <c r="S18" s="169"/>
      <c r="U18" s="4"/>
    </row>
    <row r="19" spans="2:21">
      <c r="B19" s="165"/>
      <c r="C19" s="299" t="s">
        <v>82</v>
      </c>
      <c r="D19" s="300">
        <f>SUM(D10:D18)</f>
        <v>64505</v>
      </c>
      <c r="E19" s="8"/>
      <c r="F19" s="8"/>
      <c r="G19" s="8"/>
      <c r="H19" s="301">
        <f>SUM(H10:H18)</f>
        <v>13546.05</v>
      </c>
      <c r="I19" s="169"/>
      <c r="J19" s="8"/>
      <c r="K19" s="205"/>
      <c r="L19" s="2" t="s">
        <v>98</v>
      </c>
      <c r="M19" s="197">
        <f>+Càlculs!B66</f>
        <v>655.16748081019057</v>
      </c>
      <c r="N19" s="198" t="s">
        <v>56</v>
      </c>
      <c r="O19" s="193"/>
      <c r="P19" s="2" t="s">
        <v>98</v>
      </c>
      <c r="Q19" s="197">
        <f>Càlculs!B149</f>
        <v>0</v>
      </c>
      <c r="R19" s="198" t="s">
        <v>56</v>
      </c>
      <c r="S19" s="169"/>
      <c r="U19" s="4"/>
    </row>
    <row r="20" spans="2:21">
      <c r="B20" s="165"/>
      <c r="C20" s="42"/>
      <c r="D20" s="42"/>
      <c r="E20" s="2"/>
      <c r="F20" s="8"/>
      <c r="G20" s="8"/>
      <c r="H20" s="8"/>
      <c r="I20" s="169"/>
      <c r="J20" s="8"/>
      <c r="K20" s="208"/>
      <c r="L20" s="8"/>
      <c r="M20" s="8"/>
      <c r="N20" s="8"/>
      <c r="O20" s="193"/>
      <c r="P20" s="8"/>
      <c r="Q20" s="8"/>
      <c r="R20" s="8"/>
      <c r="S20" s="169"/>
    </row>
    <row r="21" spans="2:21" ht="25.5">
      <c r="B21" s="165"/>
      <c r="C21" s="188" t="s">
        <v>83</v>
      </c>
      <c r="D21" s="170"/>
      <c r="E21" s="171"/>
      <c r="F21" s="187" t="s">
        <v>32</v>
      </c>
      <c r="G21" s="189" t="s">
        <v>84</v>
      </c>
      <c r="H21" s="187" t="s">
        <v>81</v>
      </c>
      <c r="I21" s="167"/>
      <c r="J21" s="160"/>
      <c r="K21" s="207"/>
      <c r="L21" s="202" t="s">
        <v>248</v>
      </c>
      <c r="M21" s="8"/>
      <c r="N21" s="8"/>
      <c r="O21" s="193"/>
      <c r="P21" s="288" t="s">
        <v>104</v>
      </c>
      <c r="Q21" s="289"/>
      <c r="R21" s="289"/>
      <c r="S21" s="169"/>
      <c r="U21" s="4"/>
    </row>
    <row r="22" spans="2:21">
      <c r="B22" s="165"/>
      <c r="C22" s="293"/>
      <c r="D22" s="293"/>
      <c r="E22" s="172"/>
      <c r="F22" s="295"/>
      <c r="G22" s="303"/>
      <c r="H22" s="301">
        <f>D22*F22+D22*G22</f>
        <v>0</v>
      </c>
      <c r="I22" s="169"/>
      <c r="J22" s="8"/>
      <c r="K22" s="208"/>
      <c r="L22" s="8"/>
      <c r="M22" s="8"/>
      <c r="N22" s="8"/>
      <c r="O22" s="193"/>
      <c r="P22" s="193"/>
      <c r="Q22" s="199"/>
      <c r="R22" s="194"/>
      <c r="S22" s="169"/>
      <c r="U22" s="4"/>
    </row>
    <row r="23" spans="2:21">
      <c r="B23" s="165"/>
      <c r="C23" s="293"/>
      <c r="D23" s="293"/>
      <c r="E23" s="172"/>
      <c r="F23" s="295"/>
      <c r="G23" s="304"/>
      <c r="H23" s="301">
        <f>D23*F23+D23*G23</f>
        <v>0</v>
      </c>
      <c r="I23" s="169"/>
      <c r="J23" s="8"/>
      <c r="K23" s="205"/>
      <c r="L23" s="200" t="s">
        <v>101</v>
      </c>
      <c r="M23" s="287">
        <v>35000</v>
      </c>
      <c r="N23" s="8" t="s">
        <v>3</v>
      </c>
      <c r="O23" s="8"/>
      <c r="P23" s="8"/>
      <c r="Q23" s="194"/>
      <c r="R23" s="194"/>
      <c r="S23" s="169"/>
      <c r="U23" s="4"/>
    </row>
    <row r="24" spans="2:21">
      <c r="B24" s="165"/>
      <c r="C24" s="293"/>
      <c r="D24" s="293"/>
      <c r="E24" s="172"/>
      <c r="F24" s="305"/>
      <c r="G24" s="306"/>
      <c r="H24" s="301">
        <f>D24*F24+D24*G24</f>
        <v>0</v>
      </c>
      <c r="I24" s="169"/>
      <c r="J24" s="8"/>
      <c r="K24" s="205"/>
      <c r="L24" s="61"/>
      <c r="M24" s="2"/>
      <c r="N24" s="2"/>
      <c r="O24" s="32"/>
      <c r="P24" s="8"/>
      <c r="Q24" s="194"/>
      <c r="R24" s="194"/>
      <c r="S24" s="169"/>
      <c r="U24" s="4"/>
    </row>
    <row r="25" spans="2:21" ht="14.25">
      <c r="B25" s="165"/>
      <c r="C25" s="293"/>
      <c r="D25" s="293"/>
      <c r="E25" s="172"/>
      <c r="F25" s="305"/>
      <c r="G25" s="306"/>
      <c r="H25" s="301">
        <f>D25*F25+D25*G25</f>
        <v>0</v>
      </c>
      <c r="I25" s="169"/>
      <c r="J25" s="8"/>
      <c r="K25" s="205"/>
      <c r="L25" s="290" t="s">
        <v>262</v>
      </c>
      <c r="M25" s="291"/>
      <c r="N25" s="258"/>
      <c r="O25" s="291"/>
      <c r="P25" s="8"/>
      <c r="Q25" s="8"/>
      <c r="R25" s="8"/>
      <c r="S25" s="169"/>
      <c r="U25" s="4"/>
    </row>
    <row r="26" spans="2:21">
      <c r="B26" s="165"/>
      <c r="C26" s="298"/>
      <c r="D26" s="298"/>
      <c r="E26" s="172"/>
      <c r="F26" s="305"/>
      <c r="G26" s="306"/>
      <c r="H26" s="301">
        <f>D26*F26+D26*G26</f>
        <v>0</v>
      </c>
      <c r="I26" s="169"/>
      <c r="J26" s="8"/>
      <c r="K26" s="205"/>
      <c r="L26" s="292"/>
      <c r="M26" s="291"/>
      <c r="N26" s="258"/>
      <c r="O26" s="291"/>
      <c r="P26" s="8"/>
      <c r="Q26" s="8"/>
      <c r="R26" s="8"/>
      <c r="S26" s="169"/>
      <c r="U26" s="4"/>
    </row>
    <row r="27" spans="2:21">
      <c r="B27" s="165"/>
      <c r="C27" s="302" t="s">
        <v>86</v>
      </c>
      <c r="D27" s="300">
        <f>SUM(D22:D26)</f>
        <v>0</v>
      </c>
      <c r="E27" s="2"/>
      <c r="F27" s="8"/>
      <c r="G27" s="8"/>
      <c r="H27" s="301">
        <f>SUM(H22:H26)</f>
        <v>0</v>
      </c>
      <c r="I27" s="169"/>
      <c r="J27" s="8"/>
      <c r="K27" s="515"/>
      <c r="L27" s="211"/>
      <c r="M27" s="212"/>
      <c r="N27" s="212"/>
      <c r="O27" s="212"/>
      <c r="P27" s="163"/>
      <c r="Q27" s="213"/>
      <c r="R27" s="516"/>
      <c r="S27" s="516"/>
      <c r="U27" s="4"/>
    </row>
    <row r="28" spans="2:21">
      <c r="B28" s="165"/>
      <c r="C28" s="300" t="s">
        <v>87</v>
      </c>
      <c r="D28" s="301"/>
      <c r="E28" s="173"/>
      <c r="F28" s="174"/>
      <c r="G28" s="175"/>
      <c r="H28" s="300">
        <f>+H19+H27</f>
        <v>13546.05</v>
      </c>
      <c r="I28" s="176"/>
      <c r="J28" s="2"/>
      <c r="K28" s="2"/>
      <c r="L28" s="42"/>
      <c r="M28" s="193"/>
      <c r="N28" s="193"/>
      <c r="O28" s="193"/>
      <c r="P28" s="8"/>
      <c r="Q28" s="194"/>
      <c r="R28" s="55"/>
      <c r="S28" s="55"/>
      <c r="U28" s="4"/>
    </row>
    <row r="29" spans="2:21">
      <c r="B29" s="165"/>
      <c r="C29" s="8"/>
      <c r="D29" s="8"/>
      <c r="E29" s="8"/>
      <c r="F29" s="8"/>
      <c r="G29" s="8"/>
      <c r="H29" s="8"/>
      <c r="I29" s="169"/>
      <c r="J29" s="8"/>
      <c r="K29" s="8"/>
      <c r="L29" s="42"/>
      <c r="M29" s="193"/>
      <c r="N29" s="193"/>
      <c r="O29" s="193"/>
      <c r="P29" s="8"/>
      <c r="Q29" s="194"/>
      <c r="R29" s="55"/>
      <c r="S29" s="55"/>
      <c r="U29" s="4"/>
    </row>
    <row r="30" spans="2:21" ht="25.5" customHeight="1">
      <c r="B30" s="165"/>
      <c r="C30" s="190" t="s">
        <v>85</v>
      </c>
      <c r="D30" s="191" t="s">
        <v>79</v>
      </c>
      <c r="E30" s="8"/>
      <c r="F30" s="187" t="s">
        <v>32</v>
      </c>
      <c r="G30" s="8"/>
      <c r="H30" s="192" t="s">
        <v>81</v>
      </c>
      <c r="I30" s="177"/>
      <c r="J30" s="161"/>
      <c r="K30" s="8"/>
      <c r="L30" s="42"/>
      <c r="M30" s="193"/>
      <c r="N30" s="193"/>
      <c r="O30" s="193"/>
      <c r="P30" s="514"/>
      <c r="Q30" s="194"/>
      <c r="R30" s="194"/>
      <c r="S30" s="194"/>
      <c r="T30"/>
    </row>
    <row r="31" spans="2:21">
      <c r="B31" s="165"/>
      <c r="C31" s="293" t="s">
        <v>273</v>
      </c>
      <c r="D31" s="293">
        <v>2000</v>
      </c>
      <c r="E31" s="8"/>
      <c r="F31" s="295">
        <v>0.21</v>
      </c>
      <c r="G31" s="8"/>
      <c r="H31" s="308">
        <f t="shared" ref="H31:H36" si="1">D31*F31</f>
        <v>420</v>
      </c>
      <c r="I31" s="75"/>
      <c r="J31" s="15"/>
      <c r="T31"/>
    </row>
    <row r="32" spans="2:21" ht="12.75" customHeight="1">
      <c r="B32" s="165"/>
      <c r="C32" s="293" t="s">
        <v>274</v>
      </c>
      <c r="D32" s="293">
        <v>2200</v>
      </c>
      <c r="E32" s="8"/>
      <c r="F32" s="295"/>
      <c r="G32" s="8"/>
      <c r="H32" s="308">
        <f t="shared" si="1"/>
        <v>0</v>
      </c>
      <c r="I32" s="75"/>
      <c r="J32" s="15"/>
      <c r="T32"/>
    </row>
    <row r="33" spans="2:21" ht="12.75" customHeight="1">
      <c r="B33" s="165"/>
      <c r="C33" s="293" t="s">
        <v>275</v>
      </c>
      <c r="D33" s="293">
        <v>3300</v>
      </c>
      <c r="E33" s="8"/>
      <c r="F33" s="295">
        <v>0.21</v>
      </c>
      <c r="G33" s="8"/>
      <c r="H33" s="308">
        <f t="shared" si="1"/>
        <v>693</v>
      </c>
      <c r="I33" s="75"/>
      <c r="J33" s="15"/>
      <c r="T33"/>
    </row>
    <row r="34" spans="2:21" ht="12.75" customHeight="1">
      <c r="B34" s="165"/>
      <c r="C34" s="293"/>
      <c r="D34" s="293"/>
      <c r="E34" s="8"/>
      <c r="F34" s="295"/>
      <c r="G34" s="8"/>
      <c r="H34" s="308">
        <f t="shared" si="1"/>
        <v>0</v>
      </c>
      <c r="I34" s="75"/>
      <c r="J34" s="15"/>
      <c r="M34" s="8"/>
      <c r="N34" s="63"/>
    </row>
    <row r="35" spans="2:21">
      <c r="B35" s="165"/>
      <c r="C35" s="307"/>
      <c r="D35" s="293"/>
      <c r="E35" s="8"/>
      <c r="F35" s="295"/>
      <c r="G35" s="8"/>
      <c r="H35" s="308">
        <f t="shared" si="1"/>
        <v>0</v>
      </c>
      <c r="I35" s="75"/>
      <c r="J35" s="15"/>
      <c r="K35" s="15"/>
      <c r="L35" s="8"/>
      <c r="M35" s="8"/>
      <c r="N35" s="15"/>
      <c r="O35" s="8"/>
      <c r="P35" s="8"/>
      <c r="Q35" s="8"/>
      <c r="R35"/>
      <c r="S35"/>
      <c r="U35" s="4"/>
    </row>
    <row r="36" spans="2:21" ht="12.75" customHeight="1">
      <c r="B36" s="165"/>
      <c r="C36" s="298"/>
      <c r="D36" s="298"/>
      <c r="E36" s="8"/>
      <c r="F36" s="295"/>
      <c r="G36" s="8"/>
      <c r="H36" s="308">
        <f t="shared" si="1"/>
        <v>0</v>
      </c>
      <c r="I36" s="75"/>
      <c r="J36" s="15"/>
      <c r="K36" s="8"/>
      <c r="L36" s="26"/>
      <c r="M36" s="8"/>
      <c r="N36" s="4"/>
      <c r="O36" s="4"/>
      <c r="P36" s="4"/>
      <c r="R36"/>
      <c r="S36"/>
      <c r="U36" s="4"/>
    </row>
    <row r="37" spans="2:21">
      <c r="B37" s="165"/>
      <c r="C37" s="300" t="s">
        <v>52</v>
      </c>
      <c r="D37" s="300">
        <f>SUM(D31:D36)</f>
        <v>7500</v>
      </c>
      <c r="E37" s="8"/>
      <c r="F37" s="8"/>
      <c r="G37" s="8"/>
      <c r="H37" s="301">
        <f>SUM(H31:H36)</f>
        <v>1113</v>
      </c>
      <c r="I37" s="169"/>
      <c r="J37" s="8"/>
      <c r="K37" s="8"/>
      <c r="L37" s="8"/>
      <c r="M37" s="8"/>
      <c r="N37" s="4"/>
      <c r="O37" s="4"/>
      <c r="P37" s="4"/>
      <c r="R37"/>
      <c r="S37"/>
      <c r="U37" s="4"/>
    </row>
    <row r="38" spans="2:21">
      <c r="B38" s="178"/>
      <c r="C38" s="179"/>
      <c r="D38" s="180"/>
      <c r="E38" s="180"/>
      <c r="F38" s="180"/>
      <c r="G38" s="180"/>
      <c r="H38" s="179"/>
      <c r="I38" s="181"/>
      <c r="J38" s="8"/>
      <c r="K38" s="8"/>
      <c r="L38" s="8"/>
      <c r="M38" s="4"/>
      <c r="N38" s="4"/>
      <c r="O38" s="4"/>
      <c r="P38" s="8"/>
      <c r="Q38" s="8"/>
      <c r="R38" s="8"/>
      <c r="S38" s="8"/>
      <c r="T38" s="8"/>
      <c r="U38" s="4"/>
    </row>
    <row r="39" spans="2:21" ht="13.5" thickBot="1">
      <c r="B39" s="193"/>
      <c r="C39" s="8"/>
      <c r="D39" s="42"/>
      <c r="E39" s="42"/>
      <c r="F39" s="42"/>
      <c r="G39" s="42"/>
      <c r="H39" s="8"/>
      <c r="I39" s="8"/>
      <c r="J39" s="8"/>
      <c r="K39" s="8"/>
      <c r="L39" s="8"/>
      <c r="M39" s="4"/>
      <c r="N39" s="4"/>
      <c r="O39" s="4"/>
      <c r="P39" s="8"/>
      <c r="Q39" s="8"/>
      <c r="R39" s="8"/>
      <c r="S39" s="8"/>
      <c r="T39" s="8"/>
      <c r="U39" s="4"/>
    </row>
    <row r="40" spans="2:21" ht="21" thickBot="1">
      <c r="C40" s="660" t="s">
        <v>88</v>
      </c>
      <c r="D40" s="661"/>
      <c r="G40" s="662" t="s">
        <v>244</v>
      </c>
      <c r="H40" s="658"/>
      <c r="I40" s="658"/>
      <c r="J40" s="658"/>
      <c r="K40" s="658"/>
      <c r="L40" s="659"/>
      <c r="O40" s="657" t="s">
        <v>91</v>
      </c>
      <c r="P40" s="658"/>
      <c r="Q40" s="658"/>
      <c r="R40" s="659"/>
    </row>
    <row r="41" spans="2:21" ht="13.5" thickBot="1"/>
    <row r="42" spans="2:21">
      <c r="C42" s="69"/>
      <c r="D42" s="216" t="s">
        <v>79</v>
      </c>
      <c r="G42" s="71"/>
      <c r="H42" s="72"/>
      <c r="I42" s="72"/>
      <c r="J42" s="72"/>
      <c r="K42" s="73"/>
      <c r="L42" s="217" t="s">
        <v>92</v>
      </c>
      <c r="M42" s="218"/>
      <c r="N42" s="218"/>
      <c r="O42" s="219"/>
      <c r="P42" s="220"/>
      <c r="Q42" s="221" t="s">
        <v>93</v>
      </c>
      <c r="R42" s="222" t="s">
        <v>94</v>
      </c>
    </row>
    <row r="43" spans="2:21" ht="13.5" thickBot="1">
      <c r="C43" s="317" t="s">
        <v>89</v>
      </c>
      <c r="D43" s="318">
        <f>+M11+M23-D19-D27-H28-D37-H37</f>
        <v>3335.9500000000007</v>
      </c>
      <c r="G43" s="310" t="s">
        <v>90</v>
      </c>
      <c r="H43" s="66"/>
      <c r="I43" s="66"/>
      <c r="J43" s="66"/>
      <c r="K43" s="70"/>
      <c r="L43" s="319">
        <v>0.15</v>
      </c>
      <c r="O43" s="310" t="s">
        <v>90</v>
      </c>
      <c r="P43" s="64"/>
      <c r="Q43" s="315"/>
      <c r="R43" s="316"/>
    </row>
    <row r="44" spans="2:2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8"/>
      <c r="Q44" s="8"/>
      <c r="R44" s="8"/>
      <c r="S44" s="8"/>
      <c r="T44" s="4"/>
      <c r="U44" s="4"/>
    </row>
    <row r="45" spans="2:21" hidden="1">
      <c r="C45" s="4"/>
      <c r="D45" s="4"/>
      <c r="E45" s="4"/>
      <c r="F45" s="4"/>
      <c r="G45" s="102">
        <f>D22*G22</f>
        <v>0</v>
      </c>
      <c r="H45" s="4"/>
      <c r="I45" s="4"/>
      <c r="J45" s="4"/>
      <c r="K45" s="4"/>
      <c r="L45" s="4"/>
      <c r="M45" s="4"/>
      <c r="N45" s="4"/>
      <c r="O45" s="4"/>
      <c r="P45" s="4"/>
      <c r="S45" s="1"/>
      <c r="U45" s="4"/>
    </row>
    <row r="46" spans="2:21" ht="15" hidden="1">
      <c r="G46" s="102">
        <f>D23*G23</f>
        <v>0</v>
      </c>
      <c r="Q46" s="27"/>
      <c r="S46" s="7"/>
      <c r="T46" s="8"/>
      <c r="U46" s="4"/>
    </row>
    <row r="47" spans="2:21" hidden="1">
      <c r="G47" s="102">
        <f>D24*G24</f>
        <v>0</v>
      </c>
      <c r="S47" s="7"/>
      <c r="T47" s="8"/>
      <c r="U47" s="4"/>
    </row>
    <row r="48" spans="2:21" hidden="1">
      <c r="G48" s="102">
        <f>D25*G25</f>
        <v>0</v>
      </c>
      <c r="S48" s="7"/>
      <c r="T48" s="8"/>
      <c r="U48" s="4"/>
    </row>
    <row r="49" spans="5:7" hidden="1">
      <c r="G49" s="102">
        <f>D26*G26</f>
        <v>0</v>
      </c>
    </row>
    <row r="50" spans="5:7" hidden="1">
      <c r="E50" s="102" t="s">
        <v>44</v>
      </c>
      <c r="G50" s="157">
        <f>SUM(G45:G49)</f>
        <v>0</v>
      </c>
    </row>
    <row r="51" spans="5:7" hidden="1"/>
    <row r="66" ht="12" customHeight="1"/>
    <row r="106" spans="3:5">
      <c r="C106" s="4"/>
      <c r="D106" s="4"/>
      <c r="E106" s="4"/>
    </row>
    <row r="109" spans="3:5">
      <c r="C109" s="4"/>
      <c r="D109" s="4"/>
      <c r="E109" s="4"/>
    </row>
    <row r="131" spans="3:5">
      <c r="C131" s="4"/>
      <c r="D131" s="4"/>
      <c r="E131" s="4"/>
    </row>
    <row r="132" spans="3:5">
      <c r="C132" s="4"/>
      <c r="D132" s="4"/>
      <c r="E132" s="4"/>
    </row>
    <row r="133" spans="3:5">
      <c r="C133" s="4"/>
      <c r="D133" s="4"/>
      <c r="E133" s="4"/>
    </row>
    <row r="134" spans="3:5">
      <c r="C134" s="4"/>
      <c r="D134" s="4"/>
      <c r="E134" s="4"/>
    </row>
    <row r="135" spans="3:5">
      <c r="C135" s="4"/>
      <c r="D135" s="4"/>
      <c r="E135" s="4"/>
    </row>
    <row r="136" spans="3:5">
      <c r="C136" s="4"/>
      <c r="D136" s="4"/>
      <c r="E136" s="4"/>
    </row>
    <row r="137" spans="3:5">
      <c r="C137" s="4"/>
      <c r="D137" s="4"/>
      <c r="E137" s="4"/>
    </row>
    <row r="138" spans="3:5">
      <c r="C138" s="4"/>
      <c r="D138" s="4"/>
      <c r="E138" s="4"/>
    </row>
    <row r="139" spans="3:5">
      <c r="C139" s="4"/>
      <c r="D139" s="4"/>
      <c r="E139" s="4"/>
    </row>
    <row r="140" spans="3:5">
      <c r="C140" s="4"/>
      <c r="D140" s="4"/>
      <c r="E140" s="4"/>
    </row>
    <row r="141" spans="3:5">
      <c r="C141" s="4"/>
      <c r="D141" s="4"/>
      <c r="E141" s="4"/>
    </row>
    <row r="142" spans="3:5">
      <c r="C142" s="4"/>
      <c r="D142" s="4"/>
      <c r="E142" s="4"/>
    </row>
    <row r="143" spans="3:5">
      <c r="C143" s="4"/>
      <c r="D143" s="4"/>
      <c r="E143" s="4"/>
    </row>
    <row r="144" spans="3:5">
      <c r="C144" s="4"/>
      <c r="D144" s="4"/>
      <c r="E144" s="4"/>
    </row>
    <row r="145" spans="3:5">
      <c r="C145" s="4"/>
      <c r="D145" s="4"/>
      <c r="E145" s="4"/>
    </row>
    <row r="146" spans="3:5">
      <c r="C146" s="4"/>
      <c r="D146" s="4"/>
      <c r="E146" s="4"/>
    </row>
    <row r="159" spans="3:5" s="23" customFormat="1"/>
    <row r="170" s="11" customFormat="1"/>
    <row r="171" s="3" customFormat="1"/>
    <row r="182" s="12" customFormat="1"/>
    <row r="190" s="11" customFormat="1"/>
    <row r="203" s="4" customFormat="1"/>
    <row r="204" s="4" customFormat="1"/>
    <row r="205" s="4" customFormat="1"/>
    <row r="244" s="4" customFormat="1"/>
    <row r="245" s="4" customFormat="1"/>
    <row r="246" s="4" customFormat="1"/>
    <row r="247" s="4" customFormat="1" ht="10.5" customHeight="1"/>
    <row r="248" s="4" customFormat="1"/>
    <row r="249" s="4" customFormat="1"/>
    <row r="250" s="4" customFormat="1"/>
    <row r="251" s="4" customFormat="1"/>
    <row r="252" s="4" customFormat="1"/>
    <row r="253" s="4" customFormat="1"/>
    <row r="254" s="4" customFormat="1"/>
    <row r="255" s="4" customFormat="1"/>
    <row r="256" s="4" customFormat="1"/>
    <row r="257" s="4" customFormat="1"/>
    <row r="258" s="4" customFormat="1"/>
    <row r="259" s="4" customFormat="1"/>
    <row r="260" s="21" customFormat="1"/>
    <row r="261" s="4" customFormat="1"/>
    <row r="262" s="4" customFormat="1"/>
    <row r="263" s="4" customFormat="1"/>
    <row r="264" s="4" customFormat="1"/>
    <row r="266" s="4" customFormat="1"/>
    <row r="267" s="4" customFormat="1"/>
    <row r="268" s="4" customFormat="1"/>
    <row r="269" s="4" customFormat="1"/>
    <row r="270" s="4" customFormat="1"/>
    <row r="271" s="4" customFormat="1"/>
    <row r="272" s="4" customFormat="1"/>
    <row r="273" s="4" customFormat="1"/>
    <row r="274" s="4" customFormat="1"/>
    <row r="275" s="4" customFormat="1"/>
    <row r="276" s="4" customFormat="1"/>
    <row r="277" s="6" customFormat="1"/>
    <row r="278" s="9" customFormat="1"/>
    <row r="279" s="4" customFormat="1"/>
    <row r="280" s="4" customFormat="1"/>
    <row r="281" s="4" customFormat="1"/>
    <row r="282" s="4" customFormat="1"/>
    <row r="283" s="4" customFormat="1"/>
    <row r="284" s="4" customFormat="1"/>
    <row r="285" s="4" customFormat="1"/>
    <row r="286" s="4" customFormat="1"/>
    <row r="287" s="4" customFormat="1"/>
    <row r="288" s="4" customFormat="1"/>
    <row r="289" s="4" customFormat="1"/>
    <row r="290" s="4" customFormat="1"/>
    <row r="291" s="4" customFormat="1"/>
    <row r="292" s="4" customFormat="1"/>
    <row r="293" s="4" customFormat="1"/>
    <row r="294" s="4" customFormat="1"/>
    <row r="295" s="21" customFormat="1"/>
    <row r="296" s="4" customFormat="1"/>
    <row r="297" s="4" customFormat="1"/>
    <row r="298" s="4" customFormat="1"/>
    <row r="299" s="4" customFormat="1"/>
    <row r="300" s="4" customFormat="1"/>
    <row r="301" s="4" customFormat="1"/>
    <row r="302" s="4" customFormat="1"/>
    <row r="303" s="4" customFormat="1"/>
    <row r="304" s="4" customFormat="1"/>
    <row r="305" s="4" customFormat="1"/>
    <row r="306" s="4" customFormat="1"/>
    <row r="307" s="4" customFormat="1"/>
    <row r="308" s="4" customFormat="1"/>
    <row r="309" s="4" customFormat="1"/>
    <row r="310" s="4" customFormat="1"/>
    <row r="311" s="4" customFormat="1"/>
    <row r="312" s="6" customFormat="1"/>
    <row r="313" s="9" customFormat="1"/>
    <row r="314" s="4" customFormat="1"/>
    <row r="315" s="4" customFormat="1"/>
    <row r="316" s="4" customFormat="1"/>
    <row r="317" s="4" customFormat="1"/>
    <row r="318" s="4" customFormat="1"/>
    <row r="319" s="4" customFormat="1"/>
    <row r="320" s="4" customFormat="1"/>
    <row r="321" spans="14:19" s="4" customFormat="1"/>
    <row r="322" spans="14:19" s="4" customFormat="1"/>
    <row r="323" spans="14:19" s="4" customFormat="1"/>
    <row r="324" spans="14:19" s="4" customFormat="1"/>
    <row r="325" spans="14:19" s="4" customFormat="1"/>
    <row r="333" spans="14:19">
      <c r="N333" s="5"/>
      <c r="O333" s="5"/>
      <c r="P333" s="5"/>
      <c r="Q333" s="10"/>
      <c r="R333" s="10"/>
      <c r="S333" s="10"/>
    </row>
    <row r="334" spans="14:19">
      <c r="N334" s="5"/>
      <c r="O334" s="5"/>
      <c r="P334" s="5"/>
      <c r="Q334" s="10"/>
      <c r="R334" s="10"/>
      <c r="S334" s="10"/>
    </row>
    <row r="335" spans="14:19">
      <c r="N335" s="5"/>
      <c r="O335" s="5"/>
      <c r="P335" s="5"/>
      <c r="Q335" s="10"/>
      <c r="R335" s="10"/>
      <c r="S335" s="10"/>
    </row>
    <row r="336" spans="14:19">
      <c r="N336" s="5"/>
      <c r="O336" s="5"/>
      <c r="P336" s="5"/>
      <c r="Q336" s="10"/>
      <c r="R336" s="10"/>
      <c r="S336" s="10"/>
    </row>
    <row r="337" spans="14:19">
      <c r="N337" s="5"/>
      <c r="O337" s="5"/>
      <c r="P337" s="5"/>
      <c r="Q337" s="10"/>
      <c r="R337" s="10"/>
      <c r="S337" s="10"/>
    </row>
    <row r="338" spans="14:19">
      <c r="N338" s="5"/>
      <c r="O338" s="5"/>
      <c r="P338" s="5"/>
      <c r="Q338" s="10"/>
      <c r="R338" s="10"/>
      <c r="S338" s="10"/>
    </row>
    <row r="339" spans="14:19">
      <c r="N339" s="5"/>
      <c r="O339" s="5"/>
      <c r="P339" s="5"/>
      <c r="Q339" s="10"/>
      <c r="R339" s="10"/>
      <c r="S339" s="10"/>
    </row>
    <row r="340" spans="14:19">
      <c r="N340" s="5"/>
      <c r="O340" s="5"/>
      <c r="P340" s="5"/>
      <c r="Q340" s="10"/>
      <c r="R340" s="10"/>
      <c r="S340" s="10"/>
    </row>
    <row r="341" spans="14:19">
      <c r="N341" s="5"/>
      <c r="O341" s="5"/>
      <c r="P341" s="5"/>
      <c r="Q341" s="10"/>
      <c r="R341" s="10"/>
      <c r="S341" s="10"/>
    </row>
    <row r="342" spans="14:19">
      <c r="N342" s="5"/>
      <c r="O342" s="5"/>
      <c r="P342" s="5"/>
      <c r="Q342" s="10"/>
      <c r="R342" s="10"/>
      <c r="S342" s="10"/>
    </row>
    <row r="343" spans="14:19">
      <c r="N343" s="5"/>
      <c r="O343" s="5"/>
      <c r="P343" s="5"/>
      <c r="Q343" s="10"/>
      <c r="R343" s="10"/>
      <c r="S343" s="10"/>
    </row>
    <row r="344" spans="14:19">
      <c r="N344" s="5"/>
      <c r="O344" s="5"/>
      <c r="P344" s="5"/>
      <c r="Q344" s="10"/>
      <c r="R344" s="10"/>
      <c r="S344" s="10"/>
    </row>
    <row r="345" spans="14:19">
      <c r="N345" s="5"/>
      <c r="O345" s="5"/>
      <c r="P345" s="5"/>
      <c r="Q345" s="10"/>
      <c r="R345" s="10"/>
      <c r="S345" s="10"/>
    </row>
    <row r="346" spans="14:19">
      <c r="N346" s="5"/>
      <c r="O346" s="5"/>
      <c r="P346" s="5"/>
      <c r="Q346" s="10"/>
      <c r="R346" s="10"/>
      <c r="S346" s="10"/>
    </row>
    <row r="347" spans="14:19">
      <c r="N347" s="5"/>
      <c r="O347" s="5"/>
      <c r="P347" s="5"/>
      <c r="Q347" s="10"/>
      <c r="R347" s="10"/>
      <c r="S347" s="10"/>
    </row>
    <row r="348" spans="14:19">
      <c r="N348" s="5"/>
      <c r="O348" s="5"/>
      <c r="P348" s="5"/>
      <c r="Q348" s="10"/>
      <c r="R348" s="10"/>
      <c r="S348" s="10"/>
    </row>
    <row r="349" spans="14:19">
      <c r="N349" s="5"/>
      <c r="O349" s="5"/>
      <c r="P349" s="5"/>
      <c r="Q349" s="10"/>
      <c r="R349" s="10"/>
      <c r="S349" s="10"/>
    </row>
    <row r="350" spans="14:19">
      <c r="N350" s="5"/>
      <c r="O350" s="5"/>
      <c r="P350" s="5"/>
      <c r="Q350" s="10"/>
      <c r="R350" s="10"/>
      <c r="S350" s="10"/>
    </row>
    <row r="351" spans="14:19">
      <c r="N351" s="5"/>
      <c r="O351" s="5"/>
      <c r="P351" s="5"/>
      <c r="Q351" s="10"/>
      <c r="R351" s="10"/>
      <c r="S351" s="10"/>
    </row>
    <row r="352" spans="14:19">
      <c r="N352" s="5"/>
      <c r="O352" s="5"/>
      <c r="P352" s="5"/>
      <c r="Q352" s="10"/>
      <c r="R352" s="10"/>
      <c r="S352" s="10"/>
    </row>
    <row r="353" spans="14:19">
      <c r="N353" s="5"/>
      <c r="O353" s="5"/>
      <c r="P353" s="5"/>
      <c r="Q353" s="10"/>
      <c r="R353" s="10"/>
      <c r="S353" s="10"/>
    </row>
    <row r="354" spans="14:19">
      <c r="N354" s="5"/>
      <c r="O354" s="5"/>
      <c r="P354" s="5"/>
      <c r="Q354" s="10"/>
      <c r="R354" s="10"/>
      <c r="S354" s="10"/>
    </row>
    <row r="355" spans="14:19">
      <c r="N355" s="5"/>
      <c r="O355" s="5"/>
      <c r="P355" s="5"/>
      <c r="Q355" s="10"/>
      <c r="R355" s="10"/>
      <c r="S355" s="10"/>
    </row>
    <row r="356" spans="14:19">
      <c r="N356" s="5"/>
      <c r="O356" s="5"/>
      <c r="P356" s="5"/>
      <c r="Q356" s="10"/>
      <c r="R356" s="10"/>
      <c r="S356" s="10"/>
    </row>
    <row r="357" spans="14:19">
      <c r="N357" s="5"/>
      <c r="O357" s="5"/>
      <c r="P357" s="5"/>
      <c r="Q357" s="10"/>
      <c r="R357" s="10"/>
      <c r="S357" s="10"/>
    </row>
    <row r="358" spans="14:19">
      <c r="N358" s="5"/>
      <c r="O358" s="5"/>
      <c r="P358" s="5"/>
      <c r="Q358" s="10"/>
      <c r="R358" s="10"/>
      <c r="S358" s="10"/>
    </row>
    <row r="359" spans="14:19">
      <c r="N359" s="5"/>
      <c r="O359" s="5"/>
      <c r="P359" s="5"/>
      <c r="Q359" s="10"/>
      <c r="R359" s="10"/>
      <c r="S359" s="10"/>
    </row>
    <row r="360" spans="14:19">
      <c r="N360" s="5"/>
      <c r="O360" s="5"/>
      <c r="P360" s="5"/>
      <c r="Q360" s="10"/>
      <c r="R360" s="10"/>
      <c r="S360" s="10"/>
    </row>
    <row r="361" spans="14:19">
      <c r="N361" s="5"/>
      <c r="O361" s="5"/>
      <c r="P361" s="5"/>
      <c r="Q361" s="10"/>
      <c r="R361" s="10"/>
      <c r="S361" s="10"/>
    </row>
    <row r="362" spans="14:19">
      <c r="N362" s="5"/>
      <c r="O362" s="5"/>
      <c r="P362" s="5"/>
      <c r="Q362" s="10"/>
      <c r="R362" s="10"/>
      <c r="S362" s="10"/>
    </row>
    <row r="363" spans="14:19">
      <c r="N363" s="5"/>
      <c r="O363" s="5"/>
      <c r="P363" s="5"/>
      <c r="Q363" s="10"/>
      <c r="R363" s="10"/>
      <c r="S363" s="10"/>
    </row>
    <row r="364" spans="14:19">
      <c r="N364" s="5"/>
      <c r="O364" s="5"/>
      <c r="P364" s="5"/>
      <c r="Q364" s="10"/>
      <c r="R364" s="10"/>
      <c r="S364" s="10"/>
    </row>
    <row r="365" spans="14:19">
      <c r="N365" s="5"/>
      <c r="O365" s="5"/>
      <c r="P365" s="5"/>
      <c r="Q365" s="10"/>
      <c r="R365" s="10"/>
      <c r="S365" s="10"/>
    </row>
    <row r="366" spans="14:19">
      <c r="N366" s="5"/>
      <c r="O366" s="5"/>
      <c r="P366" s="5"/>
      <c r="Q366" s="10"/>
      <c r="R366" s="10"/>
      <c r="S366" s="10"/>
    </row>
    <row r="367" spans="14:19">
      <c r="N367" s="5"/>
      <c r="O367" s="5"/>
      <c r="P367" s="5"/>
      <c r="Q367" s="10"/>
      <c r="R367" s="10"/>
      <c r="S367" s="10"/>
    </row>
    <row r="368" spans="14:19">
      <c r="N368" s="5"/>
      <c r="O368" s="5"/>
      <c r="P368" s="5"/>
      <c r="Q368" s="10"/>
      <c r="R368" s="10"/>
      <c r="S368" s="10"/>
    </row>
    <row r="369" spans="14:19">
      <c r="N369" s="5"/>
      <c r="O369" s="5"/>
      <c r="P369" s="5"/>
      <c r="Q369" s="10"/>
      <c r="R369" s="10"/>
      <c r="S369" s="10"/>
    </row>
    <row r="370" spans="14:19">
      <c r="N370" s="5"/>
      <c r="O370" s="5"/>
      <c r="P370" s="5"/>
      <c r="Q370" s="10"/>
      <c r="R370" s="10"/>
      <c r="S370" s="10"/>
    </row>
    <row r="371" spans="14:19">
      <c r="N371" s="5"/>
      <c r="O371" s="5"/>
      <c r="P371" s="5"/>
      <c r="Q371" s="10"/>
      <c r="R371" s="10"/>
      <c r="S371" s="10"/>
    </row>
    <row r="372" spans="14:19">
      <c r="N372" s="5"/>
      <c r="O372" s="5"/>
      <c r="P372" s="5"/>
      <c r="Q372" s="10"/>
      <c r="R372" s="10"/>
      <c r="S372" s="10"/>
    </row>
    <row r="373" spans="14:19">
      <c r="N373" s="5"/>
      <c r="O373" s="5"/>
      <c r="P373" s="5"/>
      <c r="Q373" s="10"/>
      <c r="R373" s="10"/>
      <c r="S373" s="10"/>
    </row>
    <row r="374" spans="14:19">
      <c r="N374" s="5"/>
      <c r="O374" s="5"/>
      <c r="P374" s="5"/>
      <c r="Q374" s="10"/>
      <c r="R374" s="10"/>
      <c r="S374" s="10"/>
    </row>
    <row r="375" spans="14:19">
      <c r="N375" s="5"/>
      <c r="O375" s="5"/>
      <c r="P375" s="5"/>
      <c r="Q375" s="10"/>
      <c r="R375" s="10"/>
      <c r="S375" s="10"/>
    </row>
    <row r="376" spans="14:19">
      <c r="N376" s="5"/>
      <c r="O376" s="5"/>
      <c r="P376" s="5"/>
      <c r="Q376" s="10"/>
      <c r="R376" s="10"/>
      <c r="S376" s="10"/>
    </row>
    <row r="377" spans="14:19">
      <c r="N377" s="5"/>
      <c r="O377" s="5"/>
      <c r="P377" s="5"/>
      <c r="Q377" s="10"/>
      <c r="R377" s="10"/>
      <c r="S377" s="10"/>
    </row>
    <row r="378" spans="14:19">
      <c r="N378" s="5"/>
      <c r="O378" s="5"/>
      <c r="P378" s="5"/>
      <c r="Q378" s="10"/>
      <c r="R378" s="10"/>
      <c r="S378" s="10"/>
    </row>
    <row r="379" spans="14:19">
      <c r="N379" s="5"/>
      <c r="O379" s="5"/>
      <c r="P379" s="5"/>
      <c r="Q379" s="10"/>
      <c r="R379" s="10"/>
      <c r="S379" s="10"/>
    </row>
    <row r="380" spans="14:19">
      <c r="N380" s="5"/>
      <c r="O380" s="5"/>
      <c r="P380" s="5"/>
      <c r="Q380" s="10"/>
      <c r="R380" s="10"/>
      <c r="S380" s="10"/>
    </row>
    <row r="381" spans="14:19">
      <c r="N381" s="5"/>
      <c r="O381" s="5"/>
      <c r="P381" s="5"/>
      <c r="Q381" s="10"/>
      <c r="R381" s="10"/>
      <c r="S381" s="10"/>
    </row>
    <row r="382" spans="14:19">
      <c r="N382" s="5"/>
      <c r="O382" s="5"/>
      <c r="P382" s="5"/>
      <c r="Q382" s="10"/>
      <c r="R382" s="10"/>
      <c r="S382" s="10"/>
    </row>
    <row r="383" spans="14:19">
      <c r="N383" s="5"/>
      <c r="O383" s="5"/>
      <c r="P383" s="5"/>
      <c r="Q383" s="10"/>
      <c r="R383" s="10"/>
      <c r="S383" s="10"/>
    </row>
    <row r="384" spans="14:19">
      <c r="N384" s="5"/>
      <c r="O384" s="5"/>
      <c r="P384" s="5"/>
      <c r="Q384" s="10"/>
      <c r="R384" s="10"/>
      <c r="S384" s="10"/>
    </row>
    <row r="385" spans="14:19">
      <c r="N385" s="5"/>
      <c r="O385" s="5"/>
      <c r="P385" s="5"/>
      <c r="Q385" s="10"/>
      <c r="R385" s="10"/>
      <c r="S385" s="10"/>
    </row>
    <row r="386" spans="14:19">
      <c r="N386" s="5"/>
      <c r="O386" s="5"/>
      <c r="P386" s="5"/>
      <c r="Q386" s="10"/>
      <c r="R386" s="10"/>
      <c r="S386" s="10"/>
    </row>
    <row r="387" spans="14:19">
      <c r="N387" s="5"/>
      <c r="O387" s="5"/>
      <c r="P387" s="5"/>
      <c r="Q387" s="10"/>
      <c r="R387" s="10"/>
      <c r="S387" s="10"/>
    </row>
    <row r="388" spans="14:19">
      <c r="N388" s="5"/>
      <c r="O388" s="5"/>
      <c r="P388" s="5"/>
      <c r="Q388" s="10"/>
      <c r="R388" s="10"/>
      <c r="S388" s="10"/>
    </row>
    <row r="389" spans="14:19">
      <c r="N389" s="5"/>
      <c r="O389" s="5"/>
      <c r="P389" s="5"/>
      <c r="Q389" s="10"/>
      <c r="R389" s="10"/>
      <c r="S389" s="10"/>
    </row>
    <row r="390" spans="14:19">
      <c r="N390" s="5"/>
      <c r="O390" s="5"/>
      <c r="P390" s="5"/>
      <c r="Q390" s="10"/>
      <c r="R390" s="10"/>
      <c r="S390" s="10"/>
    </row>
    <row r="391" spans="14:19">
      <c r="N391" s="5"/>
      <c r="O391" s="5"/>
      <c r="P391" s="5"/>
      <c r="Q391" s="10"/>
      <c r="R391" s="10"/>
      <c r="S391" s="10"/>
    </row>
    <row r="392" spans="14:19">
      <c r="N392" s="5"/>
      <c r="O392" s="5"/>
      <c r="P392" s="5"/>
      <c r="Q392" s="10"/>
      <c r="R392" s="10"/>
      <c r="S392" s="10"/>
    </row>
    <row r="393" spans="14:19">
      <c r="N393" s="5"/>
      <c r="O393" s="5"/>
      <c r="P393" s="5"/>
      <c r="Q393" s="10"/>
      <c r="R393" s="10"/>
      <c r="S393" s="10"/>
    </row>
    <row r="394" spans="14:19">
      <c r="N394" s="5"/>
      <c r="O394" s="5"/>
      <c r="P394" s="5"/>
      <c r="Q394" s="10"/>
      <c r="R394" s="10"/>
      <c r="S394" s="10"/>
    </row>
    <row r="395" spans="14:19">
      <c r="N395" s="5"/>
      <c r="O395" s="5"/>
      <c r="P395" s="5"/>
      <c r="Q395" s="10"/>
      <c r="R395" s="10"/>
      <c r="S395" s="10"/>
    </row>
    <row r="396" spans="14:19">
      <c r="N396" s="5"/>
      <c r="O396" s="5"/>
      <c r="P396" s="5"/>
      <c r="Q396" s="10"/>
      <c r="R396" s="10"/>
      <c r="S396" s="10"/>
    </row>
  </sheetData>
  <sheetProtection password="D3F4" sheet="1" objects="1" scenarios="1"/>
  <mergeCells count="7">
    <mergeCell ref="C2:E2"/>
    <mergeCell ref="O40:R40"/>
    <mergeCell ref="C40:D40"/>
    <mergeCell ref="G40:L40"/>
    <mergeCell ref="C7:H7"/>
    <mergeCell ref="L7:R7"/>
    <mergeCell ref="C4:R4"/>
  </mergeCells>
  <phoneticPr fontId="0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79" orientation="landscape" horizontalDpi="4294967294" verticalDpi="300" r:id="rId1"/>
  <headerFooter alignWithMargins="0">
    <oddHeader xml:space="preserve">&amp;C
</oddHeader>
  </headerFooter>
  <rowBreaks count="6" manualBreakCount="6">
    <brk id="44" min="2" max="18" man="1"/>
    <brk id="100" max="16383" man="1"/>
    <brk id="145" min="2" max="18" man="1"/>
    <brk id="208" max="16383" man="1"/>
    <brk id="251" max="16383" man="1"/>
    <brk id="28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Y62"/>
  <sheetViews>
    <sheetView showGridLines="0" topLeftCell="A5" zoomScaleNormal="100" workbookViewId="0">
      <selection activeCell="I24" sqref="I24"/>
    </sheetView>
  </sheetViews>
  <sheetFormatPr baseColWidth="10" defaultColWidth="11.42578125" defaultRowHeight="12.75"/>
  <cols>
    <col min="1" max="1" width="0.85546875" customWidth="1"/>
    <col min="2" max="2" width="1.140625" customWidth="1"/>
    <col min="3" max="3" width="27.42578125" customWidth="1"/>
    <col min="4" max="10" width="11.7109375" customWidth="1"/>
    <col min="11" max="11" width="1.42578125" customWidth="1"/>
    <col min="12" max="12" width="1.28515625" customWidth="1"/>
    <col min="13" max="13" width="1.5703125" customWidth="1"/>
    <col min="14" max="17" width="11.7109375" customWidth="1"/>
    <col min="18" max="20" width="0.85546875" customWidth="1"/>
    <col min="21" max="24" width="11.7109375" customWidth="1"/>
    <col min="25" max="25" width="1.85546875" customWidth="1"/>
  </cols>
  <sheetData>
    <row r="2" spans="2:25" ht="18">
      <c r="C2" s="673" t="str">
        <f>'Inversió inicial'!C2</f>
        <v xml:space="preserve">EMPRESA: </v>
      </c>
      <c r="D2" s="674"/>
      <c r="E2" s="674"/>
      <c r="F2" s="4"/>
      <c r="G2" s="4"/>
      <c r="H2" s="4"/>
      <c r="I2" s="4"/>
      <c r="J2" s="4"/>
      <c r="K2" s="4"/>
      <c r="L2" s="4"/>
      <c r="M2" s="9"/>
      <c r="N2" s="9"/>
      <c r="O2" s="7"/>
      <c r="T2" s="4"/>
      <c r="U2" s="22"/>
      <c r="W2" s="31"/>
      <c r="X2" s="25"/>
    </row>
    <row r="3" spans="2:25" ht="6" customHeight="1">
      <c r="M3" s="9"/>
      <c r="N3" s="9"/>
      <c r="O3" s="22"/>
      <c r="P3" s="22"/>
      <c r="Q3" s="22"/>
      <c r="R3" s="22"/>
      <c r="S3" s="22"/>
      <c r="T3" s="4"/>
      <c r="U3" s="22"/>
    </row>
    <row r="4" spans="2:25" ht="22.5" customHeight="1">
      <c r="C4" s="675" t="s">
        <v>257</v>
      </c>
      <c r="D4" s="676"/>
      <c r="E4" s="676"/>
      <c r="F4" s="676"/>
      <c r="G4" s="676"/>
      <c r="H4" s="676"/>
      <c r="I4" s="676"/>
      <c r="J4" s="676"/>
      <c r="K4" s="676"/>
      <c r="L4" s="676"/>
      <c r="M4" s="676"/>
      <c r="N4" s="676"/>
      <c r="O4" s="676"/>
      <c r="P4" s="676"/>
      <c r="Q4" s="676"/>
      <c r="R4" s="676"/>
      <c r="S4" s="676"/>
      <c r="T4" s="676"/>
      <c r="U4" s="676"/>
      <c r="V4" s="676"/>
      <c r="W4" s="677"/>
      <c r="X4" s="677"/>
      <c r="Y4" s="243"/>
    </row>
    <row r="5" spans="2:25" ht="11.25" customHeight="1">
      <c r="C5" s="223"/>
      <c r="D5" s="224"/>
      <c r="E5" s="224"/>
      <c r="F5" s="224"/>
      <c r="G5" s="224"/>
      <c r="H5" s="224"/>
      <c r="I5" s="224"/>
      <c r="J5" s="224"/>
      <c r="K5" s="224"/>
      <c r="L5" s="224"/>
      <c r="M5" s="224"/>
      <c r="N5" s="224"/>
      <c r="O5" s="224"/>
      <c r="P5" s="224"/>
      <c r="Q5" s="224"/>
      <c r="R5" s="224"/>
      <c r="S5" s="224"/>
      <c r="T5" s="224"/>
      <c r="U5" s="224"/>
      <c r="V5" s="224"/>
      <c r="W5" s="224"/>
      <c r="X5" s="224"/>
      <c r="Y5" s="224"/>
    </row>
    <row r="6" spans="2:25">
      <c r="B6" s="225"/>
      <c r="C6" s="226"/>
      <c r="D6" s="226"/>
      <c r="E6" s="226"/>
      <c r="F6" s="226"/>
      <c r="G6" s="226"/>
      <c r="H6" s="226"/>
      <c r="I6" s="226"/>
      <c r="J6" s="226"/>
      <c r="K6" s="226"/>
      <c r="L6" s="244"/>
      <c r="M6" s="227"/>
      <c r="N6" s="226"/>
      <c r="O6" s="226"/>
      <c r="P6" s="226"/>
      <c r="Q6" s="226"/>
      <c r="R6" s="226"/>
      <c r="S6" s="226"/>
      <c r="T6" s="228"/>
      <c r="U6" s="229"/>
      <c r="V6" s="226"/>
      <c r="W6" s="226"/>
      <c r="X6" s="226"/>
      <c r="Y6" s="230"/>
    </row>
    <row r="7" spans="2:25" ht="20.25">
      <c r="B7" s="231"/>
      <c r="C7" s="690" t="s">
        <v>105</v>
      </c>
      <c r="D7" s="691"/>
      <c r="E7" s="691"/>
      <c r="F7" s="691"/>
      <c r="G7" s="691"/>
      <c r="H7" s="691"/>
      <c r="I7" s="691"/>
      <c r="J7" s="691"/>
      <c r="K7" s="8"/>
      <c r="L7" s="245"/>
      <c r="M7" s="7"/>
      <c r="N7" s="688" t="s">
        <v>123</v>
      </c>
      <c r="O7" s="689"/>
      <c r="P7" s="689"/>
      <c r="Q7" s="689"/>
      <c r="R7" s="321"/>
      <c r="S7" s="321"/>
      <c r="T7" s="8"/>
      <c r="U7" s="686" t="s">
        <v>129</v>
      </c>
      <c r="V7" s="687"/>
      <c r="W7" s="687"/>
      <c r="X7" s="687"/>
      <c r="Y7" s="232"/>
    </row>
    <row r="8" spans="2:25">
      <c r="B8" s="231"/>
      <c r="C8" s="8"/>
      <c r="D8" s="8"/>
      <c r="E8" s="8"/>
      <c r="F8" s="8"/>
      <c r="G8" s="8"/>
      <c r="H8" s="8"/>
      <c r="I8" s="8"/>
      <c r="J8" s="8"/>
      <c r="K8" s="8"/>
      <c r="L8" s="245"/>
      <c r="M8" s="7"/>
      <c r="N8" s="55"/>
      <c r="O8" s="55"/>
      <c r="P8" s="55"/>
      <c r="Q8" s="55"/>
      <c r="R8" s="55"/>
      <c r="S8" s="55"/>
      <c r="T8" s="8"/>
      <c r="U8" s="32"/>
      <c r="V8" s="55"/>
      <c r="W8" s="55"/>
      <c r="X8" s="55"/>
      <c r="Y8" s="232"/>
    </row>
    <row r="9" spans="2:25">
      <c r="B9" s="231"/>
      <c r="C9" s="203"/>
      <c r="D9" s="252"/>
      <c r="E9" s="692" t="s">
        <v>191</v>
      </c>
      <c r="F9" s="693"/>
      <c r="G9" s="693"/>
      <c r="H9" s="203"/>
      <c r="I9" s="203"/>
      <c r="J9" s="203"/>
      <c r="K9" s="8"/>
      <c r="L9" s="245"/>
      <c r="M9" s="7"/>
      <c r="N9" s="695" t="s">
        <v>124</v>
      </c>
      <c r="O9" s="694"/>
      <c r="P9" s="692" t="s">
        <v>125</v>
      </c>
      <c r="Q9" s="694"/>
      <c r="R9" s="309"/>
      <c r="S9" s="309"/>
      <c r="T9" s="203"/>
      <c r="U9" s="695" t="s">
        <v>130</v>
      </c>
      <c r="V9" s="694"/>
      <c r="W9" s="692" t="s">
        <v>131</v>
      </c>
      <c r="X9" s="694"/>
      <c r="Y9" s="232"/>
    </row>
    <row r="10" spans="2:25" ht="14.25" customHeight="1">
      <c r="B10" s="231"/>
      <c r="C10" s="203"/>
      <c r="D10" s="252"/>
      <c r="E10" s="692" t="s">
        <v>106</v>
      </c>
      <c r="F10" s="693"/>
      <c r="G10" s="253">
        <v>26</v>
      </c>
      <c r="H10" s="203"/>
      <c r="I10" s="203"/>
      <c r="J10" s="203"/>
      <c r="K10" s="8"/>
      <c r="L10" s="245"/>
      <c r="M10" s="32"/>
      <c r="N10" s="254" t="s">
        <v>27</v>
      </c>
      <c r="O10" s="256" t="s">
        <v>126</v>
      </c>
      <c r="P10" s="257" t="s">
        <v>93</v>
      </c>
      <c r="Q10" s="255" t="s">
        <v>94</v>
      </c>
      <c r="R10" s="255"/>
      <c r="S10" s="255"/>
      <c r="T10" s="203"/>
      <c r="U10" s="254" t="s">
        <v>27</v>
      </c>
      <c r="V10" s="256" t="s">
        <v>126</v>
      </c>
      <c r="W10" s="257" t="s">
        <v>93</v>
      </c>
      <c r="X10" s="255" t="s">
        <v>94</v>
      </c>
      <c r="Y10" s="232"/>
    </row>
    <row r="11" spans="2:25" ht="12.75" customHeight="1">
      <c r="B11" s="231"/>
      <c r="C11" s="203"/>
      <c r="D11" s="203"/>
      <c r="E11" s="203"/>
      <c r="F11" s="203"/>
      <c r="G11" s="203"/>
      <c r="H11" s="203"/>
      <c r="I11" s="203"/>
      <c r="J11" s="203"/>
      <c r="K11" s="8"/>
      <c r="L11" s="245"/>
      <c r="M11" s="32"/>
      <c r="N11" s="234">
        <v>1</v>
      </c>
      <c r="O11" s="279">
        <v>0.19</v>
      </c>
      <c r="P11" s="249"/>
      <c r="Q11" s="249"/>
      <c r="R11" s="322"/>
      <c r="S11" s="322"/>
      <c r="T11" s="8"/>
      <c r="U11" s="234">
        <v>1</v>
      </c>
      <c r="V11" s="282">
        <f>O11</f>
        <v>0.19</v>
      </c>
      <c r="W11" s="260"/>
      <c r="X11" s="249"/>
      <c r="Y11" s="232"/>
    </row>
    <row r="12" spans="2:25">
      <c r="B12" s="231"/>
      <c r="C12" s="678" t="s">
        <v>107</v>
      </c>
      <c r="D12" s="254" t="s">
        <v>108</v>
      </c>
      <c r="E12" s="255" t="s">
        <v>109</v>
      </c>
      <c r="F12" s="254" t="s">
        <v>110</v>
      </c>
      <c r="G12" s="254" t="s">
        <v>110</v>
      </c>
      <c r="H12" s="254" t="s">
        <v>110</v>
      </c>
      <c r="I12" s="254" t="s">
        <v>111</v>
      </c>
      <c r="J12" s="254" t="s">
        <v>112</v>
      </c>
      <c r="K12" s="68"/>
      <c r="L12" s="246"/>
      <c r="M12" s="32"/>
      <c r="N12" s="234">
        <f t="shared" ref="N12:N22" si="0">+N11+1</f>
        <v>2</v>
      </c>
      <c r="O12" s="279">
        <v>0.23</v>
      </c>
      <c r="P12" s="249"/>
      <c r="Q12" s="249"/>
      <c r="R12" s="322"/>
      <c r="S12" s="322"/>
      <c r="T12" s="8"/>
      <c r="U12" s="234">
        <f t="shared" ref="U12:U22" si="1">+U11+1</f>
        <v>2</v>
      </c>
      <c r="V12" s="282">
        <f t="shared" ref="V12:V22" si="2">O12</f>
        <v>0.23</v>
      </c>
      <c r="W12" s="260"/>
      <c r="X12" s="249"/>
      <c r="Y12" s="232"/>
    </row>
    <row r="13" spans="2:25">
      <c r="B13" s="231"/>
      <c r="C13" s="679"/>
      <c r="D13" s="255" t="s">
        <v>113</v>
      </c>
      <c r="E13" s="255" t="s">
        <v>113</v>
      </c>
      <c r="F13" s="255" t="s">
        <v>57</v>
      </c>
      <c r="G13" s="254" t="s">
        <v>58</v>
      </c>
      <c r="H13" s="254" t="s">
        <v>55</v>
      </c>
      <c r="I13" s="255" t="s">
        <v>114</v>
      </c>
      <c r="J13" s="255" t="s">
        <v>114</v>
      </c>
      <c r="K13" s="233"/>
      <c r="L13" s="247"/>
      <c r="M13" s="32"/>
      <c r="N13" s="234">
        <f t="shared" si="0"/>
        <v>3</v>
      </c>
      <c r="O13" s="279">
        <v>0.26</v>
      </c>
      <c r="P13" s="249"/>
      <c r="Q13" s="249"/>
      <c r="R13" s="322"/>
      <c r="S13" s="322"/>
      <c r="T13" s="8"/>
      <c r="U13" s="234">
        <f t="shared" si="1"/>
        <v>3</v>
      </c>
      <c r="V13" s="282">
        <f t="shared" si="2"/>
        <v>0.26</v>
      </c>
      <c r="W13" s="260"/>
      <c r="X13" s="249"/>
      <c r="Y13" s="232"/>
    </row>
    <row r="14" spans="2:25">
      <c r="B14" s="231"/>
      <c r="C14" s="265" t="s">
        <v>276</v>
      </c>
      <c r="D14" s="265">
        <v>50</v>
      </c>
      <c r="E14" s="265">
        <v>89.66</v>
      </c>
      <c r="F14" s="265"/>
      <c r="G14" s="265">
        <v>10</v>
      </c>
      <c r="H14" s="266"/>
      <c r="I14" s="267">
        <f t="shared" ref="I14:I38" si="3">+IF(D14="","",IF(F14&gt;0,D14*F14*$G$10,IF(G14&gt;0,D14*G14*4.33,IF(H14&gt;0,H14*D14,""))))</f>
        <v>2165</v>
      </c>
      <c r="J14" s="268">
        <f t="shared" ref="J14:J38" si="4">+IF(E14="","",IF(F14&gt;0,E14*F14*$G$10,IF(G14&gt;0,E14*G14*4.33,IF(H14&gt;0,E14*H14,""))))</f>
        <v>3882.2779999999998</v>
      </c>
      <c r="K14" s="8"/>
      <c r="L14" s="245"/>
      <c r="M14" s="32"/>
      <c r="N14" s="234">
        <f t="shared" si="0"/>
        <v>4</v>
      </c>
      <c r="O14" s="279">
        <v>0.32</v>
      </c>
      <c r="P14" s="250"/>
      <c r="Q14" s="250"/>
      <c r="R14" s="32"/>
      <c r="S14" s="32"/>
      <c r="T14" s="8"/>
      <c r="U14" s="234">
        <f t="shared" si="1"/>
        <v>4</v>
      </c>
      <c r="V14" s="282">
        <f t="shared" si="2"/>
        <v>0.32</v>
      </c>
      <c r="W14" s="261"/>
      <c r="X14" s="250"/>
      <c r="Y14" s="232"/>
    </row>
    <row r="15" spans="2:25">
      <c r="B15" s="231"/>
      <c r="C15" s="269" t="s">
        <v>277</v>
      </c>
      <c r="D15" s="265">
        <v>58</v>
      </c>
      <c r="E15" s="265">
        <v>99.07</v>
      </c>
      <c r="F15" s="265"/>
      <c r="G15" s="265">
        <v>28</v>
      </c>
      <c r="H15" s="266"/>
      <c r="I15" s="267">
        <f t="shared" si="3"/>
        <v>7031.92</v>
      </c>
      <c r="J15" s="268">
        <f t="shared" si="4"/>
        <v>12011.246800000001</v>
      </c>
      <c r="K15" s="8"/>
      <c r="L15" s="245"/>
      <c r="M15" s="32"/>
      <c r="N15" s="234">
        <f t="shared" si="0"/>
        <v>5</v>
      </c>
      <c r="O15" s="279">
        <v>0.37</v>
      </c>
      <c r="P15" s="249"/>
      <c r="Q15" s="249"/>
      <c r="R15" s="322"/>
      <c r="S15" s="322"/>
      <c r="T15" s="8"/>
      <c r="U15" s="234">
        <f t="shared" si="1"/>
        <v>5</v>
      </c>
      <c r="V15" s="282">
        <f t="shared" si="2"/>
        <v>0.37</v>
      </c>
      <c r="W15" s="260"/>
      <c r="X15" s="249"/>
      <c r="Y15" s="232"/>
    </row>
    <row r="16" spans="2:25">
      <c r="B16" s="231"/>
      <c r="C16" s="269" t="s">
        <v>278</v>
      </c>
      <c r="D16" s="265">
        <v>10</v>
      </c>
      <c r="E16" s="265">
        <v>21.03</v>
      </c>
      <c r="F16" s="265"/>
      <c r="G16" s="265">
        <v>5</v>
      </c>
      <c r="H16" s="266"/>
      <c r="I16" s="267">
        <f t="shared" si="3"/>
        <v>216.5</v>
      </c>
      <c r="J16" s="268">
        <f t="shared" si="4"/>
        <v>455.29950000000002</v>
      </c>
      <c r="K16" s="8"/>
      <c r="L16" s="245"/>
      <c r="M16" s="18"/>
      <c r="N16" s="234">
        <f t="shared" si="0"/>
        <v>6</v>
      </c>
      <c r="O16" s="279">
        <v>0.44</v>
      </c>
      <c r="P16" s="250"/>
      <c r="Q16" s="250"/>
      <c r="R16" s="32"/>
      <c r="S16" s="32"/>
      <c r="T16" s="8"/>
      <c r="U16" s="234">
        <f t="shared" si="1"/>
        <v>6</v>
      </c>
      <c r="V16" s="282">
        <f t="shared" si="2"/>
        <v>0.44</v>
      </c>
      <c r="W16" s="261"/>
      <c r="X16" s="250"/>
      <c r="Y16" s="232"/>
    </row>
    <row r="17" spans="2:25">
      <c r="B17" s="231"/>
      <c r="C17" s="265" t="s">
        <v>279</v>
      </c>
      <c r="D17" s="265">
        <v>17</v>
      </c>
      <c r="E17" s="265">
        <v>42.06</v>
      </c>
      <c r="F17" s="265">
        <v>6</v>
      </c>
      <c r="G17" s="265"/>
      <c r="H17" s="266"/>
      <c r="I17" s="267">
        <f t="shared" si="3"/>
        <v>2652</v>
      </c>
      <c r="J17" s="268">
        <f t="shared" si="4"/>
        <v>6561.3600000000006</v>
      </c>
      <c r="K17" s="8"/>
      <c r="L17" s="245"/>
      <c r="M17" s="18"/>
      <c r="N17" s="234">
        <f t="shared" si="0"/>
        <v>7</v>
      </c>
      <c r="O17" s="279">
        <v>0.51</v>
      </c>
      <c r="P17" s="249"/>
      <c r="Q17" s="249"/>
      <c r="R17" s="322"/>
      <c r="S17" s="322"/>
      <c r="T17" s="8"/>
      <c r="U17" s="234">
        <f t="shared" si="1"/>
        <v>7</v>
      </c>
      <c r="V17" s="282">
        <f t="shared" si="2"/>
        <v>0.51</v>
      </c>
      <c r="W17" s="260"/>
      <c r="X17" s="249"/>
      <c r="Y17" s="232"/>
    </row>
    <row r="18" spans="2:25">
      <c r="B18" s="231"/>
      <c r="C18" s="265" t="s">
        <v>280</v>
      </c>
      <c r="D18" s="265">
        <v>48</v>
      </c>
      <c r="E18" s="265">
        <v>102.8</v>
      </c>
      <c r="F18" s="265">
        <v>1</v>
      </c>
      <c r="G18" s="265"/>
      <c r="H18" s="266"/>
      <c r="I18" s="267">
        <f t="shared" si="3"/>
        <v>1248</v>
      </c>
      <c r="J18" s="268">
        <f t="shared" si="4"/>
        <v>2672.7999999999997</v>
      </c>
      <c r="K18" s="8"/>
      <c r="L18" s="245"/>
      <c r="M18" s="7"/>
      <c r="N18" s="234">
        <f t="shared" si="0"/>
        <v>8</v>
      </c>
      <c r="O18" s="279">
        <v>0.6</v>
      </c>
      <c r="P18" s="251"/>
      <c r="Q18" s="251"/>
      <c r="R18" s="347"/>
      <c r="S18" s="347"/>
      <c r="T18" s="8"/>
      <c r="U18" s="234">
        <f t="shared" si="1"/>
        <v>8</v>
      </c>
      <c r="V18" s="282">
        <f t="shared" si="2"/>
        <v>0.6</v>
      </c>
      <c r="W18" s="262"/>
      <c r="X18" s="251"/>
      <c r="Y18" s="232"/>
    </row>
    <row r="19" spans="2:25">
      <c r="B19" s="231"/>
      <c r="C19" s="265" t="s">
        <v>281</v>
      </c>
      <c r="D19" s="265">
        <v>64</v>
      </c>
      <c r="E19" s="265">
        <v>143.93</v>
      </c>
      <c r="F19" s="265">
        <v>1</v>
      </c>
      <c r="G19" s="265"/>
      <c r="H19" s="266"/>
      <c r="I19" s="267">
        <f t="shared" si="3"/>
        <v>1664</v>
      </c>
      <c r="J19" s="268">
        <f t="shared" si="4"/>
        <v>3742.1800000000003</v>
      </c>
      <c r="K19" s="8"/>
      <c r="L19" s="245"/>
      <c r="M19" s="7"/>
      <c r="N19" s="234">
        <f t="shared" si="0"/>
        <v>9</v>
      </c>
      <c r="O19" s="279">
        <v>0.7</v>
      </c>
      <c r="P19" s="249"/>
      <c r="Q19" s="249"/>
      <c r="R19" s="322"/>
      <c r="S19" s="322"/>
      <c r="T19" s="8"/>
      <c r="U19" s="234">
        <f t="shared" si="1"/>
        <v>9</v>
      </c>
      <c r="V19" s="282">
        <f t="shared" si="2"/>
        <v>0.7</v>
      </c>
      <c r="W19" s="260"/>
      <c r="X19" s="249"/>
      <c r="Y19" s="232"/>
    </row>
    <row r="20" spans="2:25">
      <c r="B20" s="231"/>
      <c r="C20" s="265" t="s">
        <v>282</v>
      </c>
      <c r="D20" s="265">
        <v>15</v>
      </c>
      <c r="E20" s="265">
        <v>26.03</v>
      </c>
      <c r="F20" s="265"/>
      <c r="G20" s="265">
        <v>3</v>
      </c>
      <c r="H20" s="266"/>
      <c r="I20" s="267">
        <f t="shared" si="3"/>
        <v>194.85</v>
      </c>
      <c r="J20" s="268">
        <f t="shared" si="4"/>
        <v>338.12970000000001</v>
      </c>
      <c r="K20" s="8"/>
      <c r="L20" s="245"/>
      <c r="M20" s="7"/>
      <c r="N20" s="234">
        <f t="shared" si="0"/>
        <v>10</v>
      </c>
      <c r="O20" s="279">
        <v>0.8</v>
      </c>
      <c r="P20" s="249"/>
      <c r="Q20" s="249"/>
      <c r="R20" s="322"/>
      <c r="S20" s="322"/>
      <c r="T20" s="8"/>
      <c r="U20" s="234">
        <f t="shared" si="1"/>
        <v>10</v>
      </c>
      <c r="V20" s="282">
        <f t="shared" si="2"/>
        <v>0.8</v>
      </c>
      <c r="W20" s="260"/>
      <c r="X20" s="249"/>
      <c r="Y20" s="232"/>
    </row>
    <row r="21" spans="2:25">
      <c r="B21" s="231"/>
      <c r="C21" s="265" t="s">
        <v>283</v>
      </c>
      <c r="D21" s="265">
        <v>3.4</v>
      </c>
      <c r="E21" s="265">
        <v>6</v>
      </c>
      <c r="F21" s="265"/>
      <c r="G21" s="265">
        <v>5</v>
      </c>
      <c r="H21" s="266"/>
      <c r="I21" s="267">
        <f t="shared" si="3"/>
        <v>73.61</v>
      </c>
      <c r="J21" s="268">
        <f t="shared" si="4"/>
        <v>129.9</v>
      </c>
      <c r="K21" s="8"/>
      <c r="L21" s="245"/>
      <c r="M21" s="7"/>
      <c r="N21" s="234">
        <f t="shared" si="0"/>
        <v>11</v>
      </c>
      <c r="O21" s="279">
        <v>0.9</v>
      </c>
      <c r="P21" s="249"/>
      <c r="Q21" s="249"/>
      <c r="R21" s="322"/>
      <c r="S21" s="322"/>
      <c r="T21" s="8"/>
      <c r="U21" s="234">
        <f t="shared" si="1"/>
        <v>11</v>
      </c>
      <c r="V21" s="282">
        <f t="shared" si="2"/>
        <v>0.9</v>
      </c>
      <c r="W21" s="263"/>
      <c r="X21" s="264"/>
      <c r="Y21" s="232"/>
    </row>
    <row r="22" spans="2:25">
      <c r="B22" s="231"/>
      <c r="C22" s="265"/>
      <c r="D22" s="265"/>
      <c r="E22" s="265"/>
      <c r="F22" s="265"/>
      <c r="G22" s="265"/>
      <c r="H22" s="266"/>
      <c r="I22" s="267" t="str">
        <f t="shared" si="3"/>
        <v/>
      </c>
      <c r="J22" s="268" t="str">
        <f t="shared" si="4"/>
        <v/>
      </c>
      <c r="K22" s="8"/>
      <c r="L22" s="245"/>
      <c r="M22" s="7"/>
      <c r="N22" s="234">
        <f t="shared" si="0"/>
        <v>12</v>
      </c>
      <c r="O22" s="280">
        <v>1</v>
      </c>
      <c r="P22" s="281">
        <v>0.3</v>
      </c>
      <c r="Q22" s="281">
        <v>0.12</v>
      </c>
      <c r="R22" s="352"/>
      <c r="S22" s="352"/>
      <c r="T22" s="8"/>
      <c r="U22" s="234">
        <f t="shared" si="1"/>
        <v>12</v>
      </c>
      <c r="V22" s="280">
        <f t="shared" si="2"/>
        <v>1</v>
      </c>
      <c r="W22" s="280">
        <f>P22</f>
        <v>0.3</v>
      </c>
      <c r="X22" s="280">
        <f>Q22</f>
        <v>0.12</v>
      </c>
      <c r="Y22" s="232"/>
    </row>
    <row r="23" spans="2:25">
      <c r="B23" s="231"/>
      <c r="C23" s="265"/>
      <c r="D23" s="265"/>
      <c r="E23" s="265"/>
      <c r="F23" s="265"/>
      <c r="G23" s="265"/>
      <c r="H23" s="266"/>
      <c r="I23" s="267" t="str">
        <f t="shared" si="3"/>
        <v/>
      </c>
      <c r="J23" s="268" t="str">
        <f t="shared" si="4"/>
        <v/>
      </c>
      <c r="K23" s="8"/>
      <c r="L23" s="245"/>
      <c r="M23" s="7"/>
      <c r="N23" s="275" t="s">
        <v>127</v>
      </c>
      <c r="O23" s="276">
        <f>+'Resultats 1er any'!Q9</f>
        <v>188292.98608</v>
      </c>
      <c r="P23" s="276">
        <f>+O23*(1+P22)</f>
        <v>244780.88190400001</v>
      </c>
      <c r="Q23" s="276">
        <f>+P24*(1+Q22)</f>
        <v>275525.36067114241</v>
      </c>
      <c r="R23" s="348"/>
      <c r="S23" s="348"/>
      <c r="T23" s="8"/>
      <c r="U23" s="275" t="s">
        <v>127</v>
      </c>
      <c r="V23" s="276">
        <f>'Resultats 1er any'!Q10</f>
        <v>96353.96160000001</v>
      </c>
      <c r="W23" s="276">
        <f>+V23*(1+W22)</f>
        <v>125260.15008000002</v>
      </c>
      <c r="X23" s="276">
        <f>+W24*(1+X22)</f>
        <v>140992.82493004802</v>
      </c>
      <c r="Y23" s="232"/>
    </row>
    <row r="24" spans="2:25">
      <c r="B24" s="231"/>
      <c r="C24" s="265"/>
      <c r="D24" s="265"/>
      <c r="E24" s="265"/>
      <c r="F24" s="265"/>
      <c r="G24" s="265"/>
      <c r="H24" s="266"/>
      <c r="I24" s="267" t="str">
        <f t="shared" si="3"/>
        <v/>
      </c>
      <c r="J24" s="268" t="str">
        <f t="shared" si="4"/>
        <v/>
      </c>
      <c r="K24" s="8"/>
      <c r="L24" s="245"/>
      <c r="M24" s="7"/>
      <c r="N24" s="277" t="s">
        <v>128</v>
      </c>
      <c r="O24" s="278"/>
      <c r="P24" s="276">
        <f>+P23*(1+P46)</f>
        <v>246004.78631351999</v>
      </c>
      <c r="Q24" s="276">
        <f>+Q23*(1+Q46)</f>
        <v>276902.98747449811</v>
      </c>
      <c r="R24" s="348"/>
      <c r="S24" s="348"/>
      <c r="T24" s="8"/>
      <c r="U24" s="277" t="s">
        <v>128</v>
      </c>
      <c r="V24" s="278"/>
      <c r="W24" s="276">
        <f>+W23*(1+P46)</f>
        <v>125886.4508304</v>
      </c>
      <c r="X24" s="276">
        <f>+X23*(1+Q46)</f>
        <v>141697.78905469825</v>
      </c>
      <c r="Y24" s="232"/>
    </row>
    <row r="25" spans="2:25">
      <c r="B25" s="231"/>
      <c r="C25" s="265"/>
      <c r="D25" s="265"/>
      <c r="E25" s="265"/>
      <c r="F25" s="265"/>
      <c r="G25" s="265"/>
      <c r="H25" s="266"/>
      <c r="I25" s="267" t="str">
        <f t="shared" si="3"/>
        <v/>
      </c>
      <c r="J25" s="268" t="str">
        <f t="shared" si="4"/>
        <v/>
      </c>
      <c r="K25" s="8"/>
      <c r="L25" s="245"/>
      <c r="M25" s="7"/>
      <c r="N25" s="55"/>
      <c r="O25" s="55"/>
      <c r="P25" s="55"/>
      <c r="Q25" s="55"/>
      <c r="R25" s="55"/>
      <c r="S25" s="55"/>
      <c r="T25" s="8"/>
      <c r="U25" s="32"/>
      <c r="V25" s="67"/>
      <c r="W25" s="55"/>
      <c r="X25" s="55"/>
      <c r="Y25" s="232"/>
    </row>
    <row r="26" spans="2:25">
      <c r="B26" s="231"/>
      <c r="C26" s="265"/>
      <c r="D26" s="265"/>
      <c r="E26" s="265"/>
      <c r="F26" s="265"/>
      <c r="G26" s="265"/>
      <c r="H26" s="266"/>
      <c r="I26" s="267" t="str">
        <f t="shared" si="3"/>
        <v/>
      </c>
      <c r="J26" s="268" t="str">
        <f t="shared" si="4"/>
        <v/>
      </c>
      <c r="K26" s="8"/>
      <c r="L26" s="245"/>
      <c r="M26" s="7"/>
      <c r="N26" s="235"/>
      <c r="O26" s="259" t="s">
        <v>253</v>
      </c>
      <c r="P26" s="259" t="s">
        <v>254</v>
      </c>
      <c r="Q26" s="55"/>
      <c r="R26" s="55"/>
      <c r="S26" s="55"/>
      <c r="T26" s="8"/>
      <c r="U26" s="55"/>
      <c r="V26" s="55"/>
      <c r="W26" s="55"/>
      <c r="X26" s="55"/>
      <c r="Y26" s="232"/>
    </row>
    <row r="27" spans="2:25">
      <c r="B27" s="231"/>
      <c r="C27" s="265"/>
      <c r="D27" s="265"/>
      <c r="E27" s="265"/>
      <c r="F27" s="265"/>
      <c r="G27" s="265"/>
      <c r="H27" s="266"/>
      <c r="I27" s="267" t="str">
        <f t="shared" si="3"/>
        <v/>
      </c>
      <c r="J27" s="268" t="str">
        <f t="shared" si="4"/>
        <v/>
      </c>
      <c r="K27" s="8"/>
      <c r="L27" s="245"/>
      <c r="M27" s="7"/>
      <c r="N27" s="236" t="s">
        <v>255</v>
      </c>
      <c r="O27" s="320" t="s">
        <v>284</v>
      </c>
      <c r="P27" s="320">
        <v>2020</v>
      </c>
      <c r="Q27" s="55"/>
      <c r="R27" s="55"/>
      <c r="S27" s="55"/>
      <c r="T27" s="8"/>
      <c r="U27" s="55"/>
      <c r="V27" s="55"/>
      <c r="W27" s="55"/>
      <c r="X27" s="55"/>
      <c r="Y27" s="232"/>
    </row>
    <row r="28" spans="2:25">
      <c r="B28" s="231"/>
      <c r="C28" s="265"/>
      <c r="D28" s="265"/>
      <c r="E28" s="265"/>
      <c r="F28" s="265"/>
      <c r="G28" s="265"/>
      <c r="H28" s="266"/>
      <c r="I28" s="267" t="str">
        <f t="shared" si="3"/>
        <v/>
      </c>
      <c r="J28" s="268" t="str">
        <f t="shared" si="4"/>
        <v/>
      </c>
      <c r="K28" s="8"/>
      <c r="L28" s="245"/>
      <c r="M28" s="7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232"/>
    </row>
    <row r="29" spans="2:25">
      <c r="B29" s="231"/>
      <c r="C29" s="265"/>
      <c r="D29" s="265"/>
      <c r="E29" s="265"/>
      <c r="F29" s="265"/>
      <c r="G29" s="265"/>
      <c r="H29" s="266"/>
      <c r="I29" s="267" t="str">
        <f t="shared" si="3"/>
        <v/>
      </c>
      <c r="J29" s="268" t="str">
        <f t="shared" si="4"/>
        <v/>
      </c>
      <c r="K29" s="8"/>
      <c r="L29" s="245"/>
      <c r="M29" s="7"/>
      <c r="N29" s="32"/>
      <c r="O29" s="7"/>
      <c r="P29" s="32"/>
      <c r="Q29" s="32"/>
      <c r="R29" s="32"/>
      <c r="S29" s="32"/>
      <c r="T29" s="8"/>
      <c r="U29" s="32"/>
      <c r="V29" s="55"/>
      <c r="W29" s="55"/>
      <c r="X29" s="55"/>
      <c r="Y29" s="232"/>
    </row>
    <row r="30" spans="2:25">
      <c r="B30" s="231"/>
      <c r="C30" s="265"/>
      <c r="D30" s="265"/>
      <c r="E30" s="265"/>
      <c r="F30" s="265"/>
      <c r="G30" s="265"/>
      <c r="H30" s="266"/>
      <c r="I30" s="267" t="str">
        <f t="shared" si="3"/>
        <v/>
      </c>
      <c r="J30" s="268" t="str">
        <f t="shared" si="4"/>
        <v/>
      </c>
      <c r="K30" s="8"/>
      <c r="L30" s="245"/>
      <c r="M30" s="7"/>
      <c r="N30" s="8"/>
      <c r="O30" s="7"/>
      <c r="P30" s="7"/>
      <c r="Q30" s="7"/>
      <c r="R30" s="7"/>
      <c r="S30" s="7"/>
      <c r="T30" s="8"/>
      <c r="U30" s="32"/>
      <c r="V30" s="55"/>
      <c r="W30" s="55"/>
      <c r="X30" s="55"/>
      <c r="Y30" s="232"/>
    </row>
    <row r="31" spans="2:25">
      <c r="B31" s="231"/>
      <c r="C31" s="265"/>
      <c r="D31" s="265"/>
      <c r="E31" s="265"/>
      <c r="F31" s="265"/>
      <c r="G31" s="265"/>
      <c r="H31" s="266"/>
      <c r="I31" s="267" t="str">
        <f t="shared" si="3"/>
        <v/>
      </c>
      <c r="J31" s="268" t="str">
        <f t="shared" si="4"/>
        <v/>
      </c>
      <c r="K31" s="8"/>
      <c r="L31" s="245"/>
      <c r="M31" s="7"/>
      <c r="N31" s="55"/>
      <c r="O31" s="55"/>
      <c r="P31" s="55"/>
      <c r="Q31" s="55"/>
      <c r="R31" s="55"/>
      <c r="S31" s="55"/>
      <c r="T31" s="8"/>
      <c r="U31" s="55"/>
      <c r="V31" s="55"/>
      <c r="W31" s="55"/>
      <c r="X31" s="55"/>
      <c r="Y31" s="232"/>
    </row>
    <row r="32" spans="2:25">
      <c r="B32" s="231"/>
      <c r="C32" s="265"/>
      <c r="D32" s="265"/>
      <c r="E32" s="265"/>
      <c r="F32" s="265"/>
      <c r="G32" s="265"/>
      <c r="H32" s="266"/>
      <c r="I32" s="267" t="str">
        <f t="shared" si="3"/>
        <v/>
      </c>
      <c r="J32" s="268" t="str">
        <f t="shared" si="4"/>
        <v/>
      </c>
      <c r="K32" s="8"/>
      <c r="L32" s="245"/>
      <c r="M32" s="7"/>
      <c r="N32" s="55"/>
      <c r="O32" s="55"/>
      <c r="P32" s="55"/>
      <c r="Q32" s="55"/>
      <c r="R32" s="55"/>
      <c r="S32" s="55"/>
      <c r="T32" s="8"/>
      <c r="U32" s="55"/>
      <c r="V32" s="55"/>
      <c r="W32" s="55"/>
      <c r="X32" s="55"/>
      <c r="Y32" s="232"/>
    </row>
    <row r="33" spans="1:25">
      <c r="B33" s="231"/>
      <c r="C33" s="265"/>
      <c r="D33" s="265"/>
      <c r="E33" s="265"/>
      <c r="F33" s="265"/>
      <c r="G33" s="265"/>
      <c r="H33" s="266"/>
      <c r="I33" s="267" t="str">
        <f t="shared" si="3"/>
        <v/>
      </c>
      <c r="J33" s="268" t="str">
        <f t="shared" si="4"/>
        <v/>
      </c>
      <c r="K33" s="8"/>
      <c r="L33" s="245"/>
      <c r="M33" s="7"/>
      <c r="N33" s="55"/>
      <c r="O33" s="55"/>
      <c r="P33" s="55"/>
      <c r="Q33" s="55"/>
      <c r="R33" s="55"/>
      <c r="S33" s="55"/>
      <c r="T33" s="8"/>
      <c r="U33" s="55"/>
      <c r="V33" s="55"/>
      <c r="W33" s="55"/>
      <c r="X33" s="55"/>
      <c r="Y33" s="232"/>
    </row>
    <row r="34" spans="1:25">
      <c r="B34" s="231"/>
      <c r="C34" s="265"/>
      <c r="D34" s="265"/>
      <c r="E34" s="265"/>
      <c r="F34" s="265"/>
      <c r="G34" s="265"/>
      <c r="H34" s="266"/>
      <c r="I34" s="267" t="str">
        <f t="shared" si="3"/>
        <v/>
      </c>
      <c r="J34" s="268" t="str">
        <f t="shared" si="4"/>
        <v/>
      </c>
      <c r="K34" s="8"/>
      <c r="L34" s="245"/>
      <c r="M34" s="7"/>
      <c r="N34" s="55"/>
      <c r="O34" s="55"/>
      <c r="P34" s="55"/>
      <c r="Q34" s="55"/>
      <c r="R34" s="55"/>
      <c r="S34" s="55"/>
      <c r="T34" s="8"/>
      <c r="U34" s="55"/>
      <c r="V34" s="55"/>
      <c r="W34" s="55"/>
      <c r="X34" s="55"/>
      <c r="Y34" s="232"/>
    </row>
    <row r="35" spans="1:25">
      <c r="B35" s="231"/>
      <c r="C35" s="265"/>
      <c r="D35" s="265"/>
      <c r="E35" s="265"/>
      <c r="F35" s="265"/>
      <c r="G35" s="265"/>
      <c r="H35" s="266"/>
      <c r="I35" s="267" t="str">
        <f t="shared" si="3"/>
        <v/>
      </c>
      <c r="J35" s="268" t="str">
        <f t="shared" si="4"/>
        <v/>
      </c>
      <c r="K35" s="8"/>
      <c r="L35" s="245"/>
      <c r="M35" s="7"/>
      <c r="N35" s="55"/>
      <c r="O35" s="55"/>
      <c r="P35" s="55"/>
      <c r="Q35" s="55"/>
      <c r="R35" s="55"/>
      <c r="S35" s="55"/>
      <c r="T35" s="8"/>
      <c r="U35" s="55"/>
      <c r="V35" s="55"/>
      <c r="W35" s="55"/>
      <c r="X35" s="55"/>
      <c r="Y35" s="232"/>
    </row>
    <row r="36" spans="1:25">
      <c r="B36" s="231"/>
      <c r="C36" s="265"/>
      <c r="D36" s="265"/>
      <c r="E36" s="265"/>
      <c r="F36" s="265"/>
      <c r="G36" s="265"/>
      <c r="H36" s="266"/>
      <c r="I36" s="267" t="str">
        <f t="shared" si="3"/>
        <v/>
      </c>
      <c r="J36" s="268" t="str">
        <f t="shared" si="4"/>
        <v/>
      </c>
      <c r="K36" s="8"/>
      <c r="L36" s="245"/>
      <c r="M36" s="7"/>
      <c r="N36" s="55"/>
      <c r="O36" s="55"/>
      <c r="P36" s="55"/>
      <c r="Q36" s="55"/>
      <c r="R36" s="55"/>
      <c r="S36" s="55"/>
      <c r="T36" s="8"/>
      <c r="U36" s="55"/>
      <c r="V36" s="55"/>
      <c r="W36" s="55"/>
      <c r="X36" s="55"/>
      <c r="Y36" s="232"/>
    </row>
    <row r="37" spans="1:25">
      <c r="B37" s="231"/>
      <c r="C37" s="265"/>
      <c r="D37" s="265"/>
      <c r="E37" s="265"/>
      <c r="F37" s="265"/>
      <c r="G37" s="265"/>
      <c r="H37" s="266"/>
      <c r="I37" s="267" t="str">
        <f t="shared" si="3"/>
        <v/>
      </c>
      <c r="J37" s="268" t="str">
        <f t="shared" si="4"/>
        <v/>
      </c>
      <c r="K37" s="8"/>
      <c r="L37" s="245"/>
      <c r="M37" s="7"/>
      <c r="N37" s="8"/>
      <c r="O37" s="7"/>
      <c r="P37" s="7"/>
      <c r="Q37" s="7"/>
      <c r="R37" s="7"/>
      <c r="S37" s="7"/>
      <c r="T37" s="8"/>
      <c r="U37" s="32"/>
      <c r="V37" s="55"/>
      <c r="W37" s="55"/>
      <c r="X37" s="55"/>
      <c r="Y37" s="232"/>
    </row>
    <row r="38" spans="1:25">
      <c r="B38" s="231"/>
      <c r="C38" s="265"/>
      <c r="D38" s="265"/>
      <c r="E38" s="265"/>
      <c r="F38" s="265"/>
      <c r="G38" s="265"/>
      <c r="H38" s="266"/>
      <c r="I38" s="267" t="str">
        <f t="shared" si="3"/>
        <v/>
      </c>
      <c r="J38" s="268" t="str">
        <f t="shared" si="4"/>
        <v/>
      </c>
      <c r="K38" s="8"/>
      <c r="L38" s="245"/>
      <c r="M38" s="7"/>
      <c r="N38" s="32"/>
      <c r="O38" s="32"/>
      <c r="P38" s="32"/>
      <c r="Q38" s="32"/>
      <c r="R38" s="32"/>
      <c r="S38" s="32"/>
      <c r="T38" s="8"/>
      <c r="U38" s="32"/>
      <c r="V38" s="55"/>
      <c r="W38" s="55"/>
      <c r="X38" s="55"/>
      <c r="Y38" s="232"/>
    </row>
    <row r="39" spans="1:25" ht="17.25" customHeight="1">
      <c r="B39" s="231"/>
      <c r="C39" s="270" t="s">
        <v>52</v>
      </c>
      <c r="D39" s="271"/>
      <c r="E39" s="271"/>
      <c r="F39" s="271"/>
      <c r="G39" s="271"/>
      <c r="H39" s="272"/>
      <c r="I39" s="273">
        <f>SUM(I14:I38)</f>
        <v>15245.880000000001</v>
      </c>
      <c r="J39" s="274">
        <f>SUM(J14:J38)</f>
        <v>29793.194000000003</v>
      </c>
      <c r="K39" s="2"/>
      <c r="L39" s="248"/>
      <c r="M39" s="7"/>
      <c r="N39" s="32"/>
      <c r="O39" s="32"/>
      <c r="P39" s="32"/>
      <c r="Q39" s="32"/>
      <c r="R39" s="32"/>
      <c r="S39" s="32"/>
      <c r="T39" s="8"/>
      <c r="U39" s="32"/>
      <c r="V39" s="55"/>
      <c r="W39" s="55"/>
      <c r="X39" s="55"/>
      <c r="Y39" s="232"/>
    </row>
    <row r="40" spans="1:25">
      <c r="B40" s="237"/>
      <c r="C40" s="238"/>
      <c r="D40" s="238"/>
      <c r="E40" s="238"/>
      <c r="F40" s="238"/>
      <c r="G40" s="238"/>
      <c r="H40" s="238"/>
      <c r="I40" s="238"/>
      <c r="J40" s="238"/>
      <c r="K40" s="238"/>
      <c r="L40" s="244"/>
      <c r="M40" s="239"/>
      <c r="N40" s="240"/>
      <c r="O40" s="240"/>
      <c r="P40" s="240"/>
      <c r="Q40" s="240"/>
      <c r="R40" s="240"/>
      <c r="S40" s="240"/>
      <c r="T40" s="241"/>
      <c r="U40" s="240"/>
      <c r="V40" s="238"/>
      <c r="W40" s="238"/>
      <c r="X40" s="238"/>
      <c r="Y40" s="242"/>
    </row>
    <row r="41" spans="1:25"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322"/>
      <c r="N41" s="32"/>
      <c r="O41" s="32"/>
      <c r="P41" s="32"/>
      <c r="Q41" s="32"/>
      <c r="R41" s="32"/>
      <c r="S41" s="32"/>
      <c r="T41" s="8"/>
      <c r="U41" s="32"/>
      <c r="V41" s="55"/>
      <c r="W41" s="55"/>
      <c r="X41" s="55"/>
      <c r="Y41" s="55"/>
    </row>
    <row r="42" spans="1:25">
      <c r="A42" s="328"/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44"/>
      <c r="M42" s="324"/>
      <c r="N42" s="325"/>
      <c r="O42" s="325"/>
      <c r="P42" s="325"/>
      <c r="Q42" s="325"/>
      <c r="R42" s="349"/>
      <c r="S42" s="356"/>
      <c r="T42" s="357"/>
      <c r="U42" s="325"/>
      <c r="V42" s="323"/>
      <c r="W42" s="323"/>
      <c r="X42" s="323"/>
      <c r="Y42" s="326"/>
    </row>
    <row r="43" spans="1:25" ht="20.25">
      <c r="A43" s="328"/>
      <c r="B43" s="55"/>
      <c r="C43" s="680" t="s">
        <v>115</v>
      </c>
      <c r="D43" s="681"/>
      <c r="E43" s="681"/>
      <c r="F43" s="681"/>
      <c r="G43" s="681"/>
      <c r="H43" s="681"/>
      <c r="I43" s="52"/>
      <c r="J43" s="53"/>
      <c r="K43" s="53"/>
      <c r="L43" s="345"/>
      <c r="M43" s="7"/>
      <c r="N43" s="682" t="s">
        <v>132</v>
      </c>
      <c r="O43" s="683"/>
      <c r="P43" s="683"/>
      <c r="Q43" s="683"/>
      <c r="R43" s="353"/>
      <c r="S43" s="353"/>
      <c r="T43" s="358"/>
      <c r="U43" s="684" t="s">
        <v>133</v>
      </c>
      <c r="V43" s="685"/>
      <c r="W43" s="685"/>
      <c r="X43" s="685"/>
      <c r="Y43" s="328"/>
    </row>
    <row r="44" spans="1:25">
      <c r="A44" s="328"/>
      <c r="B44" s="55"/>
      <c r="C44" s="55"/>
      <c r="D44" s="55"/>
      <c r="E44" s="55"/>
      <c r="F44" s="55"/>
      <c r="G44" s="55"/>
      <c r="H44" s="55"/>
      <c r="I44" s="32"/>
      <c r="J44" s="32"/>
      <c r="K44" s="32"/>
      <c r="L44" s="346"/>
      <c r="M44" s="7"/>
      <c r="N44" s="55"/>
      <c r="O44" s="55"/>
      <c r="P44" s="55"/>
      <c r="Q44" s="55"/>
      <c r="R44" s="328"/>
      <c r="S44" s="328"/>
      <c r="T44" s="358"/>
      <c r="U44" s="55"/>
      <c r="V44" s="55"/>
      <c r="W44" s="55"/>
      <c r="X44" s="55"/>
      <c r="Y44" s="328"/>
    </row>
    <row r="45" spans="1:25">
      <c r="A45" s="328"/>
      <c r="B45" s="55"/>
      <c r="C45" s="55"/>
      <c r="D45" s="329" t="s">
        <v>116</v>
      </c>
      <c r="E45" s="330" t="s">
        <v>117</v>
      </c>
      <c r="F45" s="330" t="s">
        <v>118</v>
      </c>
      <c r="G45" s="330" t="s">
        <v>119</v>
      </c>
      <c r="H45" s="331" t="s">
        <v>120</v>
      </c>
      <c r="I45" s="332"/>
      <c r="J45" s="32"/>
      <c r="K45" s="32"/>
      <c r="L45" s="346"/>
      <c r="M45" s="7"/>
      <c r="N45" s="333"/>
      <c r="O45" s="333"/>
      <c r="P45" s="330" t="s">
        <v>93</v>
      </c>
      <c r="Q45" s="334" t="s">
        <v>94</v>
      </c>
      <c r="R45" s="350"/>
      <c r="S45" s="350"/>
      <c r="T45" s="358"/>
      <c r="U45" s="335"/>
      <c r="V45" s="336" t="s">
        <v>126</v>
      </c>
      <c r="W45" s="330" t="s">
        <v>93</v>
      </c>
      <c r="X45" s="334" t="s">
        <v>94</v>
      </c>
      <c r="Y45" s="328"/>
    </row>
    <row r="46" spans="1:25">
      <c r="A46" s="328"/>
      <c r="B46" s="55"/>
      <c r="C46" s="337" t="s">
        <v>121</v>
      </c>
      <c r="D46" s="311">
        <v>1</v>
      </c>
      <c r="E46" s="311"/>
      <c r="F46" s="311"/>
      <c r="G46" s="311"/>
      <c r="H46" s="311"/>
      <c r="I46" s="55"/>
      <c r="J46" s="55"/>
      <c r="K46" s="55"/>
      <c r="L46" s="344"/>
      <c r="M46" s="7"/>
      <c r="N46" s="338" t="s">
        <v>90</v>
      </c>
      <c r="O46" s="333"/>
      <c r="P46" s="312">
        <v>5.0000000000000001E-3</v>
      </c>
      <c r="Q46" s="355">
        <v>5.0000000000000001E-3</v>
      </c>
      <c r="R46" s="354"/>
      <c r="S46" s="354"/>
      <c r="T46" s="359"/>
      <c r="U46" s="361"/>
      <c r="V46" s="313"/>
      <c r="W46" s="313"/>
      <c r="X46" s="313"/>
      <c r="Y46" s="328"/>
    </row>
    <row r="47" spans="1:25">
      <c r="A47" s="328"/>
      <c r="B47" s="55"/>
      <c r="C47" s="337" t="s">
        <v>122</v>
      </c>
      <c r="D47" s="311"/>
      <c r="E47" s="311">
        <v>0.09</v>
      </c>
      <c r="F47" s="311">
        <v>0.33</v>
      </c>
      <c r="G47" s="311">
        <v>0.33</v>
      </c>
      <c r="H47" s="311">
        <v>0.25</v>
      </c>
      <c r="I47" s="55"/>
      <c r="J47" s="55"/>
      <c r="K47" s="55"/>
      <c r="L47" s="344"/>
      <c r="M47" s="7"/>
      <c r="N47" s="55"/>
      <c r="O47" s="55"/>
      <c r="P47" s="55"/>
      <c r="Q47" s="55"/>
      <c r="R47" s="328"/>
      <c r="S47" s="328"/>
      <c r="T47" s="327"/>
      <c r="U47" s="361"/>
      <c r="V47" s="313"/>
      <c r="W47" s="313"/>
      <c r="X47" s="313"/>
      <c r="Y47" s="328"/>
    </row>
    <row r="48" spans="1:25">
      <c r="A48" s="328"/>
      <c r="B48" s="55"/>
      <c r="C48" s="32"/>
      <c r="D48" s="32"/>
      <c r="E48" s="55"/>
      <c r="F48" s="55"/>
      <c r="G48" s="55"/>
      <c r="H48" s="55"/>
      <c r="I48" s="55"/>
      <c r="J48" s="55"/>
      <c r="K48" s="55"/>
      <c r="L48" s="344"/>
      <c r="M48" s="7"/>
      <c r="N48" s="55"/>
      <c r="O48" s="55"/>
      <c r="P48" s="55"/>
      <c r="Q48" s="55"/>
      <c r="R48" s="328"/>
      <c r="S48" s="328"/>
      <c r="T48" s="327"/>
      <c r="U48" s="361"/>
      <c r="V48" s="313"/>
      <c r="W48" s="313"/>
      <c r="X48" s="313"/>
      <c r="Y48" s="328"/>
    </row>
    <row r="49" spans="1:25">
      <c r="A49" s="328"/>
      <c r="B49" s="339"/>
      <c r="C49" s="340"/>
      <c r="D49" s="340"/>
      <c r="E49" s="339"/>
      <c r="F49" s="339"/>
      <c r="G49" s="339"/>
      <c r="H49" s="339"/>
      <c r="I49" s="339"/>
      <c r="J49" s="339"/>
      <c r="K49" s="339"/>
      <c r="L49" s="344"/>
      <c r="M49" s="341"/>
      <c r="N49" s="340"/>
      <c r="O49" s="340"/>
      <c r="P49" s="340"/>
      <c r="Q49" s="340"/>
      <c r="R49" s="351"/>
      <c r="S49" s="356"/>
      <c r="T49" s="360"/>
      <c r="U49" s="342"/>
      <c r="V49" s="341"/>
      <c r="W49" s="341"/>
      <c r="X49" s="341"/>
      <c r="Y49" s="343"/>
    </row>
    <row r="50" spans="1:25">
      <c r="C50" s="22"/>
      <c r="D50" s="22"/>
      <c r="E50" s="8"/>
      <c r="F50" s="18"/>
      <c r="G50" s="7"/>
      <c r="H50" s="7"/>
      <c r="I50" s="7"/>
      <c r="J50" s="32"/>
      <c r="K50" s="32"/>
      <c r="L50" s="32"/>
      <c r="M50" s="9"/>
      <c r="N50" s="22"/>
      <c r="O50" s="22"/>
      <c r="P50" s="22"/>
      <c r="Q50" s="22"/>
      <c r="R50" s="22"/>
      <c r="S50" s="22"/>
      <c r="T50" s="4"/>
    </row>
    <row r="51" spans="1:25">
      <c r="C51" s="22"/>
      <c r="D51" s="22"/>
      <c r="M51" s="9"/>
      <c r="N51" s="22"/>
      <c r="O51" s="22"/>
      <c r="P51" s="22"/>
      <c r="Q51" s="22"/>
      <c r="R51" s="22"/>
      <c r="S51" s="22"/>
      <c r="T51" s="4"/>
    </row>
    <row r="52" spans="1:25">
      <c r="C52" s="4"/>
      <c r="D52" s="4"/>
      <c r="E52" s="22"/>
      <c r="F52" s="22"/>
      <c r="G52" s="22"/>
      <c r="H52" s="22"/>
      <c r="I52" s="22"/>
      <c r="J52" s="4"/>
      <c r="K52" s="4"/>
      <c r="L52" s="4"/>
      <c r="M52" s="9"/>
      <c r="N52" s="22"/>
      <c r="O52" s="22"/>
      <c r="P52" s="22"/>
      <c r="Q52" s="22"/>
      <c r="R52" s="22"/>
      <c r="S52" s="22"/>
      <c r="T52" s="4"/>
      <c r="U52" s="22"/>
    </row>
    <row r="53" spans="1:25">
      <c r="C53" s="4"/>
      <c r="D53" s="4"/>
      <c r="E53" s="22"/>
      <c r="F53" s="22"/>
      <c r="G53" s="22"/>
      <c r="H53" s="22"/>
      <c r="I53" s="22"/>
      <c r="J53" s="4"/>
      <c r="K53" s="4"/>
      <c r="L53" s="4"/>
      <c r="M53" s="9"/>
      <c r="N53" s="9" t="s">
        <v>21</v>
      </c>
      <c r="O53" s="9"/>
      <c r="P53" s="4"/>
      <c r="Q53" s="4"/>
      <c r="R53" s="4"/>
      <c r="S53" s="4"/>
      <c r="T53" s="4"/>
      <c r="U53" s="22"/>
    </row>
    <row r="54" spans="1:25">
      <c r="C54" s="4"/>
      <c r="D54" s="4"/>
      <c r="J54" s="1"/>
      <c r="K54" s="1"/>
      <c r="L54" s="1"/>
      <c r="M54" s="3"/>
      <c r="N54" s="3"/>
      <c r="O54" s="3"/>
      <c r="P54" s="1"/>
      <c r="Q54" s="1"/>
      <c r="R54" s="1"/>
      <c r="S54" s="1"/>
      <c r="T54" s="4"/>
    </row>
    <row r="55" spans="1:25">
      <c r="C55" s="4"/>
      <c r="D55" s="4"/>
      <c r="J55" s="1"/>
      <c r="K55" s="1"/>
      <c r="L55" s="1"/>
      <c r="M55" s="3"/>
      <c r="N55" s="3"/>
      <c r="O55" s="3"/>
      <c r="P55" s="1"/>
      <c r="Q55" s="1"/>
      <c r="R55" s="1"/>
      <c r="S55" s="1"/>
      <c r="T55" s="4"/>
    </row>
    <row r="56" spans="1:25">
      <c r="C56" s="4"/>
      <c r="D56" s="4"/>
      <c r="J56" s="1"/>
      <c r="K56" s="1"/>
      <c r="L56" s="1"/>
      <c r="M56" s="3"/>
      <c r="N56" s="3"/>
      <c r="O56" s="3"/>
      <c r="P56" s="1"/>
      <c r="Q56" s="1"/>
      <c r="R56" s="1"/>
      <c r="S56" s="1"/>
      <c r="T56" s="4"/>
    </row>
    <row r="57" spans="1:25">
      <c r="C57" s="5"/>
      <c r="D57" s="5"/>
      <c r="J57" s="1"/>
      <c r="K57" s="1"/>
      <c r="L57" s="1"/>
      <c r="M57" s="3"/>
      <c r="N57" s="3"/>
      <c r="O57" s="3"/>
      <c r="P57" s="1"/>
      <c r="Q57" s="1"/>
      <c r="R57" s="1"/>
      <c r="S57" s="1"/>
      <c r="T57" s="4"/>
    </row>
    <row r="58" spans="1:25">
      <c r="C58" s="5"/>
      <c r="D58" s="5"/>
      <c r="E58" s="5"/>
      <c r="F58" s="5"/>
      <c r="G58" s="1"/>
      <c r="H58" s="1"/>
      <c r="I58" s="1"/>
      <c r="J58" s="1"/>
      <c r="K58" s="1"/>
      <c r="L58" s="1"/>
      <c r="M58" s="3"/>
      <c r="N58" s="3"/>
      <c r="O58" s="3"/>
      <c r="P58" s="1"/>
      <c r="Q58" s="1"/>
      <c r="R58" s="1"/>
      <c r="S58" s="1"/>
      <c r="T58" s="4"/>
    </row>
    <row r="59" spans="1:25">
      <c r="C59" s="5"/>
      <c r="D59" s="5"/>
      <c r="E59" s="5"/>
      <c r="F59" s="5"/>
      <c r="G59" s="1"/>
      <c r="H59" s="1"/>
      <c r="I59" s="1"/>
      <c r="J59" s="1"/>
      <c r="K59" s="1"/>
      <c r="L59" s="1"/>
      <c r="M59" s="3"/>
      <c r="N59" s="3"/>
      <c r="O59" s="3"/>
      <c r="P59" s="1"/>
      <c r="Q59" s="1"/>
      <c r="R59" s="1"/>
      <c r="S59" s="1"/>
      <c r="T59" s="4"/>
    </row>
    <row r="60" spans="1:25">
      <c r="C60" s="5"/>
      <c r="D60" s="5"/>
      <c r="E60" s="5"/>
      <c r="F60" s="5"/>
      <c r="G60" s="1"/>
      <c r="H60" s="1"/>
      <c r="I60" s="1"/>
      <c r="J60" s="1"/>
      <c r="K60" s="1"/>
      <c r="L60" s="1"/>
      <c r="M60" s="3"/>
      <c r="N60" s="3"/>
      <c r="O60" s="3"/>
      <c r="P60" s="1"/>
      <c r="Q60" s="1"/>
      <c r="R60" s="1"/>
      <c r="S60" s="1"/>
      <c r="T60" s="4"/>
    </row>
    <row r="62" spans="1:25">
      <c r="W62" s="34"/>
    </row>
  </sheetData>
  <sheetProtection password="D3F4" sheet="1"/>
  <mergeCells count="15">
    <mergeCell ref="C2:E2"/>
    <mergeCell ref="C4:X4"/>
    <mergeCell ref="C12:C13"/>
    <mergeCell ref="C43:H43"/>
    <mergeCell ref="N43:Q43"/>
    <mergeCell ref="U43:X43"/>
    <mergeCell ref="U7:X7"/>
    <mergeCell ref="N7:Q7"/>
    <mergeCell ref="C7:J7"/>
    <mergeCell ref="E9:G9"/>
    <mergeCell ref="W9:X9"/>
    <mergeCell ref="E10:F10"/>
    <mergeCell ref="N9:O9"/>
    <mergeCell ref="P9:Q9"/>
    <mergeCell ref="U9:V9"/>
  </mergeCells>
  <phoneticPr fontId="0" type="noConversion"/>
  <printOptions horizontalCentered="1" verticalCentered="1"/>
  <pageMargins left="0.19685039370078741" right="0" top="0" bottom="0" header="0" footer="0"/>
  <pageSetup paperSize="9" scale="67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R54"/>
  <sheetViews>
    <sheetView showGridLines="0" topLeftCell="A25" zoomScaleNormal="100" workbookViewId="0">
      <selection activeCell="P38" sqref="P38"/>
    </sheetView>
  </sheetViews>
  <sheetFormatPr baseColWidth="10" defaultColWidth="11.42578125" defaultRowHeight="12.75"/>
  <cols>
    <col min="1" max="2" width="3.42578125" customWidth="1"/>
    <col min="3" max="3" width="35.85546875" customWidth="1"/>
    <col min="4" max="5" width="11.42578125" customWidth="1"/>
    <col min="6" max="6" width="12" bestFit="1" customWidth="1"/>
    <col min="7" max="7" width="11.42578125" customWidth="1"/>
    <col min="8" max="8" width="11.7109375" bestFit="1" customWidth="1"/>
    <col min="9" max="9" width="12" bestFit="1" customWidth="1"/>
    <col min="10" max="10" width="11.42578125" customWidth="1"/>
    <col min="11" max="11" width="11.7109375" customWidth="1"/>
    <col min="12" max="12" width="11.7109375" bestFit="1" customWidth="1"/>
    <col min="13" max="13" width="3.85546875" customWidth="1"/>
    <col min="14" max="14" width="11.85546875" bestFit="1" customWidth="1"/>
  </cols>
  <sheetData>
    <row r="1" spans="1:15" ht="7.5" customHeight="1"/>
    <row r="2" spans="1:15" ht="10.5" customHeight="1">
      <c r="B2" s="364"/>
      <c r="C2" s="323"/>
      <c r="D2" s="323"/>
      <c r="E2" s="323"/>
      <c r="F2" s="323"/>
      <c r="G2" s="323"/>
      <c r="H2" s="323"/>
      <c r="I2" s="323"/>
      <c r="J2" s="323"/>
      <c r="K2" s="323"/>
      <c r="L2" s="323"/>
      <c r="M2" s="326"/>
    </row>
    <row r="3" spans="1:15" ht="18">
      <c r="A3" s="4"/>
      <c r="B3" s="358"/>
      <c r="C3" s="700" t="str">
        <f>'Inversió inicial'!C2</f>
        <v xml:space="preserve">EMPRESA: </v>
      </c>
      <c r="D3" s="701"/>
      <c r="E3" s="701"/>
      <c r="F3" s="402"/>
      <c r="G3" s="402"/>
      <c r="H3" s="402"/>
      <c r="I3" s="402"/>
      <c r="J3" s="403"/>
      <c r="K3" s="403"/>
      <c r="L3" s="7"/>
      <c r="M3" s="365"/>
      <c r="N3" s="4"/>
      <c r="O3" s="22"/>
    </row>
    <row r="4" spans="1:15" ht="9" customHeight="1">
      <c r="A4" s="4"/>
      <c r="B4" s="358"/>
      <c r="C4" s="8"/>
      <c r="D4" s="8"/>
      <c r="E4" s="8"/>
      <c r="F4" s="32"/>
      <c r="G4" s="32"/>
      <c r="H4" s="32"/>
      <c r="I4" s="32"/>
      <c r="J4" s="7"/>
      <c r="K4" s="8"/>
      <c r="L4" s="32"/>
      <c r="M4" s="366"/>
      <c r="N4" s="24"/>
      <c r="O4" s="22"/>
    </row>
    <row r="5" spans="1:15" ht="21" customHeight="1">
      <c r="A5" s="4"/>
      <c r="B5" s="358"/>
      <c r="C5" s="702" t="s">
        <v>258</v>
      </c>
      <c r="D5" s="703"/>
      <c r="E5" s="703"/>
      <c r="F5" s="703"/>
      <c r="G5" s="703"/>
      <c r="H5" s="703"/>
      <c r="I5" s="703"/>
      <c r="J5" s="703"/>
      <c r="K5" s="703"/>
      <c r="L5" s="703"/>
      <c r="M5" s="365"/>
      <c r="N5" s="4"/>
      <c r="O5" s="22"/>
    </row>
    <row r="6" spans="1:15" ht="12.75" customHeight="1">
      <c r="A6" s="4"/>
      <c r="B6" s="358"/>
      <c r="C6" s="55"/>
      <c r="D6" s="55"/>
      <c r="E6" s="55"/>
      <c r="F6" s="55"/>
      <c r="G6" s="55"/>
      <c r="H6" s="55"/>
      <c r="I6" s="55"/>
      <c r="J6" s="55"/>
      <c r="K6" s="55"/>
      <c r="L6" s="55"/>
      <c r="M6" s="328"/>
      <c r="O6" s="22"/>
    </row>
    <row r="7" spans="1:15" ht="18" customHeight="1">
      <c r="A7" s="4"/>
      <c r="B7" s="358"/>
      <c r="C7" s="698" t="s">
        <v>259</v>
      </c>
      <c r="D7" s="699"/>
      <c r="E7" s="699"/>
      <c r="F7" s="699"/>
      <c r="G7" s="699"/>
      <c r="H7" s="699"/>
      <c r="I7" s="699"/>
      <c r="J7" s="699"/>
      <c r="K7" s="699"/>
      <c r="L7" s="699"/>
      <c r="M7" s="328"/>
      <c r="O7" s="22"/>
    </row>
    <row r="8" spans="1:15">
      <c r="A8" s="4"/>
      <c r="B8" s="358"/>
      <c r="C8" s="387"/>
      <c r="D8" s="364"/>
      <c r="E8" s="323"/>
      <c r="F8" s="323"/>
      <c r="G8" s="323"/>
      <c r="H8" s="323"/>
      <c r="I8" s="323"/>
      <c r="J8" s="323"/>
      <c r="K8" s="323"/>
      <c r="L8" s="326"/>
      <c r="M8" s="328"/>
      <c r="O8" s="22"/>
    </row>
    <row r="9" spans="1:15">
      <c r="A9" s="4"/>
      <c r="B9" s="358"/>
      <c r="C9" s="388"/>
      <c r="D9" s="696" t="s">
        <v>135</v>
      </c>
      <c r="E9" s="697"/>
      <c r="F9" s="697"/>
      <c r="G9" s="696" t="s">
        <v>137</v>
      </c>
      <c r="H9" s="697"/>
      <c r="I9" s="697"/>
      <c r="J9" s="696" t="s">
        <v>138</v>
      </c>
      <c r="K9" s="697"/>
      <c r="L9" s="697"/>
      <c r="M9" s="328"/>
      <c r="O9" s="22"/>
    </row>
    <row r="10" spans="1:15">
      <c r="A10" s="4"/>
      <c r="B10" s="358"/>
      <c r="C10" s="389" t="s">
        <v>134</v>
      </c>
      <c r="D10" s="393" t="s">
        <v>79</v>
      </c>
      <c r="E10" s="393" t="s">
        <v>79</v>
      </c>
      <c r="F10" s="393" t="s">
        <v>136</v>
      </c>
      <c r="G10" s="393" t="s">
        <v>79</v>
      </c>
      <c r="H10" s="393" t="s">
        <v>79</v>
      </c>
      <c r="I10" s="393" t="s">
        <v>136</v>
      </c>
      <c r="J10" s="393" t="s">
        <v>79</v>
      </c>
      <c r="K10" s="393" t="s">
        <v>79</v>
      </c>
      <c r="L10" s="393" t="s">
        <v>136</v>
      </c>
      <c r="M10" s="328"/>
      <c r="O10" s="22"/>
    </row>
    <row r="11" spans="1:15">
      <c r="A11" s="4"/>
      <c r="B11" s="358"/>
      <c r="C11" s="390"/>
      <c r="D11" s="394" t="s">
        <v>54</v>
      </c>
      <c r="E11" s="394" t="s">
        <v>55</v>
      </c>
      <c r="F11" s="395" t="s">
        <v>114</v>
      </c>
      <c r="G11" s="394" t="s">
        <v>54</v>
      </c>
      <c r="H11" s="394" t="s">
        <v>55</v>
      </c>
      <c r="I11" s="395" t="s">
        <v>114</v>
      </c>
      <c r="J11" s="394" t="s">
        <v>54</v>
      </c>
      <c r="K11" s="394" t="s">
        <v>55</v>
      </c>
      <c r="L11" s="395" t="s">
        <v>114</v>
      </c>
      <c r="M11" s="328"/>
      <c r="O11" s="22"/>
    </row>
    <row r="12" spans="1:15">
      <c r="A12" s="4"/>
      <c r="B12" s="358"/>
      <c r="C12" s="381" t="s">
        <v>139</v>
      </c>
      <c r="D12" s="391"/>
      <c r="E12" s="392"/>
      <c r="F12" s="383">
        <f>SUM(F13:F15)</f>
        <v>3452</v>
      </c>
      <c r="G12" s="392"/>
      <c r="H12" s="392"/>
      <c r="I12" s="383">
        <f>SUM(I13:I15)</f>
        <v>4822</v>
      </c>
      <c r="J12" s="392"/>
      <c r="K12" s="392"/>
      <c r="L12" s="383">
        <f>SUM(L13:L15)</f>
        <v>5796</v>
      </c>
      <c r="M12" s="328"/>
      <c r="O12" s="22"/>
    </row>
    <row r="13" spans="1:15">
      <c r="A13" s="4"/>
      <c r="B13" s="358"/>
      <c r="C13" s="396" t="s">
        <v>140</v>
      </c>
      <c r="D13" s="376"/>
      <c r="E13" s="374">
        <v>2592</v>
      </c>
      <c r="F13" s="384">
        <f>+IF(C13="","",IF(D13&gt;0,D13/12,E13))</f>
        <v>2592</v>
      </c>
      <c r="G13" s="378"/>
      <c r="H13" s="374">
        <v>3630</v>
      </c>
      <c r="I13" s="384">
        <f t="shared" ref="I13:I24" si="0">+IF(G13="",IF(H13="",F13,H13),G13/12)</f>
        <v>3630</v>
      </c>
      <c r="J13" s="378"/>
      <c r="K13" s="374">
        <v>4368</v>
      </c>
      <c r="L13" s="384">
        <f t="shared" ref="L13:L24" si="1">+IF(J13="",IF(K13="",I13,K13),J13/12)</f>
        <v>4368</v>
      </c>
      <c r="M13" s="328"/>
      <c r="O13" s="22"/>
    </row>
    <row r="14" spans="1:15">
      <c r="A14" s="4"/>
      <c r="B14" s="358"/>
      <c r="C14" s="397" t="s">
        <v>141</v>
      </c>
      <c r="D14" s="376"/>
      <c r="E14" s="374">
        <v>830</v>
      </c>
      <c r="F14" s="384">
        <f>+IF(C14="","",IF(D14&gt;0,D14/12,E14))</f>
        <v>830</v>
      </c>
      <c r="G14" s="378"/>
      <c r="H14" s="374">
        <v>1162</v>
      </c>
      <c r="I14" s="384">
        <f t="shared" si="0"/>
        <v>1162</v>
      </c>
      <c r="J14" s="378"/>
      <c r="K14" s="374">
        <v>1398</v>
      </c>
      <c r="L14" s="384">
        <f t="shared" si="1"/>
        <v>1398</v>
      </c>
      <c r="M14" s="328"/>
      <c r="O14" s="22"/>
    </row>
    <row r="15" spans="1:15">
      <c r="A15" s="4"/>
      <c r="B15" s="358"/>
      <c r="C15" s="396" t="s">
        <v>142</v>
      </c>
      <c r="D15" s="376">
        <v>360</v>
      </c>
      <c r="E15" s="374"/>
      <c r="F15" s="384">
        <f>+IF(C15="","",IF(D15&gt;0,D15/12,E15))</f>
        <v>30</v>
      </c>
      <c r="G15" s="378"/>
      <c r="H15" s="374"/>
      <c r="I15" s="384">
        <f t="shared" si="0"/>
        <v>30</v>
      </c>
      <c r="J15" s="378"/>
      <c r="K15" s="374"/>
      <c r="L15" s="384">
        <f t="shared" si="1"/>
        <v>30</v>
      </c>
      <c r="M15" s="328"/>
      <c r="O15" s="22"/>
    </row>
    <row r="16" spans="1:15">
      <c r="A16" s="4"/>
      <c r="B16" s="358"/>
      <c r="C16" s="381" t="s">
        <v>143</v>
      </c>
      <c r="D16" s="376"/>
      <c r="E16" s="374"/>
      <c r="F16" s="383">
        <f>+IF(C16="","",IF(D16&gt;0,D16/12,E16))</f>
        <v>0</v>
      </c>
      <c r="G16" s="378"/>
      <c r="H16" s="374"/>
      <c r="I16" s="383">
        <f t="shared" si="0"/>
        <v>0</v>
      </c>
      <c r="J16" s="378"/>
      <c r="K16" s="374"/>
      <c r="L16" s="383">
        <f t="shared" si="1"/>
        <v>0</v>
      </c>
      <c r="M16" s="328"/>
      <c r="O16" s="22"/>
    </row>
    <row r="17" spans="1:15">
      <c r="A17" s="4"/>
      <c r="B17" s="358"/>
      <c r="C17" s="382" t="s">
        <v>144</v>
      </c>
      <c r="D17" s="377"/>
      <c r="E17" s="375"/>
      <c r="F17" s="383">
        <f>F18+F19+F20+F21+F30+F31+F32+F33+F34+F35+F36+F37+F38</f>
        <v>2021.6666666666665</v>
      </c>
      <c r="G17" s="379"/>
      <c r="H17" s="375"/>
      <c r="I17" s="383">
        <f>I18+I19+I20+I21+I30+I31+I32+I33+I34+I35+I36+I37+I38</f>
        <v>2211.6666666666665</v>
      </c>
      <c r="J17" s="379"/>
      <c r="K17" s="375"/>
      <c r="L17" s="383">
        <f>L18+L19+L20+L21+L30+L31+L32+L33+L34+L35+L36+L37+L38</f>
        <v>2355.8333333333335</v>
      </c>
      <c r="M17" s="328"/>
      <c r="O17" s="22"/>
    </row>
    <row r="18" spans="1:15">
      <c r="A18" s="4"/>
      <c r="B18" s="358"/>
      <c r="C18" s="396" t="s">
        <v>145</v>
      </c>
      <c r="D18" s="376"/>
      <c r="E18" s="374">
        <v>1100</v>
      </c>
      <c r="F18" s="384">
        <f>+IF(C18="","",IF(D18&gt;0,D18/12,E18))</f>
        <v>1100</v>
      </c>
      <c r="G18" s="378"/>
      <c r="H18" s="374"/>
      <c r="I18" s="384">
        <f t="shared" si="0"/>
        <v>1100</v>
      </c>
      <c r="J18" s="378"/>
      <c r="K18" s="374"/>
      <c r="L18" s="384">
        <f t="shared" si="1"/>
        <v>1100</v>
      </c>
      <c r="M18" s="328"/>
      <c r="O18" s="22"/>
    </row>
    <row r="19" spans="1:15">
      <c r="A19" s="59"/>
      <c r="B19" s="358"/>
      <c r="C19" s="396" t="s">
        <v>146</v>
      </c>
      <c r="D19" s="376"/>
      <c r="E19" s="374"/>
      <c r="F19" s="384">
        <f>+IF(C19="","",IF(D19&gt;0,D19/12,E19))</f>
        <v>0</v>
      </c>
      <c r="G19" s="378"/>
      <c r="H19" s="374"/>
      <c r="I19" s="384">
        <f t="shared" si="0"/>
        <v>0</v>
      </c>
      <c r="J19" s="378"/>
      <c r="K19" s="374"/>
      <c r="L19" s="384">
        <f t="shared" si="1"/>
        <v>0</v>
      </c>
      <c r="M19" s="328"/>
      <c r="O19" s="22"/>
    </row>
    <row r="20" spans="1:15">
      <c r="A20" s="4"/>
      <c r="B20" s="358"/>
      <c r="C20" s="396" t="s">
        <v>147</v>
      </c>
      <c r="D20" s="376">
        <v>120</v>
      </c>
      <c r="E20" s="374"/>
      <c r="F20" s="384">
        <f>+IF(C20="","",IF(D20&gt;0,D20/12,E20))</f>
        <v>10</v>
      </c>
      <c r="G20" s="378"/>
      <c r="H20" s="374"/>
      <c r="I20" s="384">
        <f t="shared" si="0"/>
        <v>10</v>
      </c>
      <c r="J20" s="378"/>
      <c r="K20" s="374"/>
      <c r="L20" s="384">
        <f t="shared" si="1"/>
        <v>10</v>
      </c>
      <c r="M20" s="328"/>
      <c r="O20" s="22"/>
    </row>
    <row r="21" spans="1:15">
      <c r="A21" s="4"/>
      <c r="B21" s="358"/>
      <c r="C21" s="397" t="s">
        <v>148</v>
      </c>
      <c r="D21" s="15"/>
      <c r="E21" s="367"/>
      <c r="F21" s="385">
        <f>SUM(F22:F29)</f>
        <v>385</v>
      </c>
      <c r="G21" s="367"/>
      <c r="H21" s="367"/>
      <c r="I21" s="385">
        <f>SUM(I22:I29)</f>
        <v>445</v>
      </c>
      <c r="J21" s="367"/>
      <c r="K21" s="367"/>
      <c r="L21" s="385">
        <f>SUM(L22:L29)</f>
        <v>505</v>
      </c>
      <c r="M21" s="328"/>
      <c r="O21" s="22"/>
    </row>
    <row r="22" spans="1:15">
      <c r="A22" s="4"/>
      <c r="B22" s="358"/>
      <c r="C22" s="398" t="s">
        <v>149</v>
      </c>
      <c r="D22" s="376"/>
      <c r="E22" s="374">
        <v>40</v>
      </c>
      <c r="F22" s="384">
        <f t="shared" ref="F22:F37" si="2">+IF(C22="","",IF(D22&gt;0,D22/12,E22))</f>
        <v>40</v>
      </c>
      <c r="G22" s="378"/>
      <c r="H22" s="374"/>
      <c r="I22" s="384">
        <f t="shared" si="0"/>
        <v>40</v>
      </c>
      <c r="J22" s="378"/>
      <c r="K22" s="374"/>
      <c r="L22" s="384">
        <f t="shared" si="1"/>
        <v>40</v>
      </c>
      <c r="M22" s="328"/>
      <c r="O22" s="22"/>
    </row>
    <row r="23" spans="1:15">
      <c r="A23" s="4"/>
      <c r="B23" s="358"/>
      <c r="C23" s="398" t="s">
        <v>39</v>
      </c>
      <c r="D23" s="376"/>
      <c r="E23" s="374"/>
      <c r="F23" s="384">
        <f t="shared" si="2"/>
        <v>0</v>
      </c>
      <c r="G23" s="378"/>
      <c r="H23" s="374"/>
      <c r="I23" s="384">
        <f t="shared" si="0"/>
        <v>0</v>
      </c>
      <c r="J23" s="378"/>
      <c r="K23" s="374"/>
      <c r="L23" s="384">
        <f t="shared" si="1"/>
        <v>0</v>
      </c>
      <c r="M23" s="328"/>
      <c r="O23" s="22"/>
    </row>
    <row r="24" spans="1:15">
      <c r="A24" s="4"/>
      <c r="B24" s="358"/>
      <c r="C24" s="398" t="s">
        <v>150</v>
      </c>
      <c r="D24" s="376"/>
      <c r="E24" s="374">
        <v>200</v>
      </c>
      <c r="F24" s="384">
        <f t="shared" si="2"/>
        <v>200</v>
      </c>
      <c r="G24" s="378"/>
      <c r="H24" s="374"/>
      <c r="I24" s="384">
        <f t="shared" si="0"/>
        <v>200</v>
      </c>
      <c r="J24" s="378"/>
      <c r="K24" s="374"/>
      <c r="L24" s="384">
        <f t="shared" si="1"/>
        <v>200</v>
      </c>
      <c r="M24" s="328"/>
      <c r="O24" s="22"/>
    </row>
    <row r="25" spans="1:15">
      <c r="A25" s="4"/>
      <c r="B25" s="358"/>
      <c r="C25" s="398" t="s">
        <v>151</v>
      </c>
      <c r="D25" s="376"/>
      <c r="E25" s="374"/>
      <c r="F25" s="386">
        <f t="shared" si="2"/>
        <v>0</v>
      </c>
      <c r="G25" s="378"/>
      <c r="H25" s="374"/>
      <c r="I25" s="386">
        <f t="shared" ref="I25:I37" si="3">+IF(G25="",IF(H25="",F25,H25),G25/12)</f>
        <v>0</v>
      </c>
      <c r="J25" s="378"/>
      <c r="K25" s="374"/>
      <c r="L25" s="386">
        <f t="shared" ref="L25:L37" si="4">+IF(J25="",IF(K25="",I25,K25),J25/12)</f>
        <v>0</v>
      </c>
      <c r="M25" s="328"/>
      <c r="O25" s="22"/>
    </row>
    <row r="26" spans="1:15">
      <c r="A26" s="4"/>
      <c r="B26" s="358"/>
      <c r="C26" s="398" t="s">
        <v>152</v>
      </c>
      <c r="D26" s="376"/>
      <c r="E26" s="374">
        <v>120</v>
      </c>
      <c r="F26" s="384">
        <f t="shared" si="2"/>
        <v>120</v>
      </c>
      <c r="G26" s="378"/>
      <c r="H26" s="374">
        <v>180</v>
      </c>
      <c r="I26" s="384">
        <f t="shared" si="3"/>
        <v>180</v>
      </c>
      <c r="J26" s="378"/>
      <c r="K26" s="374">
        <v>240</v>
      </c>
      <c r="L26" s="384">
        <f t="shared" si="4"/>
        <v>240</v>
      </c>
      <c r="M26" s="328"/>
      <c r="O26" s="22"/>
    </row>
    <row r="27" spans="1:15">
      <c r="A27" s="4"/>
      <c r="B27" s="358"/>
      <c r="C27" s="398" t="s">
        <v>153</v>
      </c>
      <c r="D27" s="376"/>
      <c r="E27" s="374"/>
      <c r="F27" s="384">
        <f t="shared" si="2"/>
        <v>0</v>
      </c>
      <c r="G27" s="378"/>
      <c r="H27" s="374"/>
      <c r="I27" s="384">
        <f t="shared" si="3"/>
        <v>0</v>
      </c>
      <c r="J27" s="378"/>
      <c r="K27" s="374"/>
      <c r="L27" s="384">
        <f t="shared" si="4"/>
        <v>0</v>
      </c>
      <c r="M27" s="328"/>
      <c r="O27" s="22"/>
    </row>
    <row r="28" spans="1:15">
      <c r="A28" s="4"/>
      <c r="B28" s="358"/>
      <c r="C28" s="399" t="s">
        <v>154</v>
      </c>
      <c r="D28" s="376">
        <v>300</v>
      </c>
      <c r="E28" s="374"/>
      <c r="F28" s="384">
        <f t="shared" si="2"/>
        <v>25</v>
      </c>
      <c r="G28" s="378"/>
      <c r="H28" s="374"/>
      <c r="I28" s="384">
        <f t="shared" si="3"/>
        <v>25</v>
      </c>
      <c r="J28" s="378"/>
      <c r="K28" s="374"/>
      <c r="L28" s="384">
        <f t="shared" si="4"/>
        <v>25</v>
      </c>
      <c r="M28" s="328"/>
      <c r="O28" s="22"/>
    </row>
    <row r="29" spans="1:15">
      <c r="A29" s="4"/>
      <c r="B29" s="358"/>
      <c r="C29" s="398" t="s">
        <v>155</v>
      </c>
      <c r="D29" s="376"/>
      <c r="E29" s="374"/>
      <c r="F29" s="386">
        <f t="shared" si="2"/>
        <v>0</v>
      </c>
      <c r="G29" s="378"/>
      <c r="H29" s="374"/>
      <c r="I29" s="386">
        <f t="shared" si="3"/>
        <v>0</v>
      </c>
      <c r="J29" s="378"/>
      <c r="K29" s="374"/>
      <c r="L29" s="384">
        <f t="shared" si="4"/>
        <v>0</v>
      </c>
      <c r="M29" s="328"/>
      <c r="O29" s="22"/>
    </row>
    <row r="30" spans="1:15">
      <c r="A30" s="4"/>
      <c r="B30" s="358"/>
      <c r="C30" s="396" t="s">
        <v>156</v>
      </c>
      <c r="D30" s="376">
        <v>200</v>
      </c>
      <c r="E30" s="374"/>
      <c r="F30" s="384">
        <f t="shared" si="2"/>
        <v>16.666666666666668</v>
      </c>
      <c r="G30" s="378"/>
      <c r="H30" s="374"/>
      <c r="I30" s="384">
        <f t="shared" si="3"/>
        <v>16.666666666666668</v>
      </c>
      <c r="J30" s="378"/>
      <c r="K30" s="374"/>
      <c r="L30" s="384">
        <f t="shared" si="4"/>
        <v>16.666666666666668</v>
      </c>
      <c r="M30" s="328"/>
      <c r="O30" s="22"/>
    </row>
    <row r="31" spans="1:15">
      <c r="A31" s="4"/>
      <c r="B31" s="358"/>
      <c r="C31" s="396" t="s">
        <v>157</v>
      </c>
      <c r="D31" s="376"/>
      <c r="E31" s="374"/>
      <c r="F31" s="385">
        <f t="shared" si="2"/>
        <v>0</v>
      </c>
      <c r="G31" s="378"/>
      <c r="H31" s="374"/>
      <c r="I31" s="385">
        <f t="shared" si="3"/>
        <v>0</v>
      </c>
      <c r="J31" s="378"/>
      <c r="K31" s="374"/>
      <c r="L31" s="385">
        <f t="shared" si="4"/>
        <v>0</v>
      </c>
      <c r="M31" s="328"/>
      <c r="O31" s="22"/>
    </row>
    <row r="32" spans="1:15">
      <c r="A32" s="4"/>
      <c r="B32" s="358"/>
      <c r="C32" s="396" t="s">
        <v>158</v>
      </c>
      <c r="D32" s="376"/>
      <c r="E32" s="374">
        <v>300</v>
      </c>
      <c r="F32" s="384">
        <f t="shared" si="2"/>
        <v>300</v>
      </c>
      <c r="G32" s="378"/>
      <c r="H32" s="374"/>
      <c r="I32" s="384">
        <f t="shared" si="3"/>
        <v>300</v>
      </c>
      <c r="J32" s="378"/>
      <c r="K32" s="374"/>
      <c r="L32" s="384">
        <f t="shared" si="4"/>
        <v>300</v>
      </c>
      <c r="M32" s="328"/>
      <c r="O32" s="22"/>
    </row>
    <row r="33" spans="1:15">
      <c r="A33" s="4"/>
      <c r="B33" s="358"/>
      <c r="C33" s="396" t="s">
        <v>159</v>
      </c>
      <c r="D33" s="376"/>
      <c r="E33" s="374"/>
      <c r="F33" s="384">
        <f t="shared" si="2"/>
        <v>0</v>
      </c>
      <c r="G33" s="378"/>
      <c r="H33" s="374"/>
      <c r="I33" s="384">
        <f t="shared" si="3"/>
        <v>0</v>
      </c>
      <c r="J33" s="378"/>
      <c r="K33" s="374"/>
      <c r="L33" s="384">
        <f t="shared" si="4"/>
        <v>0</v>
      </c>
      <c r="M33" s="328"/>
      <c r="O33" s="22"/>
    </row>
    <row r="34" spans="1:15">
      <c r="A34" s="4"/>
      <c r="B34" s="358"/>
      <c r="C34" s="396" t="s">
        <v>160</v>
      </c>
      <c r="D34" s="376"/>
      <c r="E34" s="374"/>
      <c r="F34" s="384">
        <f t="shared" si="2"/>
        <v>0</v>
      </c>
      <c r="G34" s="378"/>
      <c r="H34" s="374"/>
      <c r="I34" s="384">
        <f t="shared" si="3"/>
        <v>0</v>
      </c>
      <c r="J34" s="378"/>
      <c r="K34" s="374"/>
      <c r="L34" s="384">
        <f t="shared" si="4"/>
        <v>0</v>
      </c>
      <c r="M34" s="328"/>
      <c r="O34" s="22"/>
    </row>
    <row r="35" spans="1:15">
      <c r="A35" s="4"/>
      <c r="B35" s="358"/>
      <c r="C35" s="396" t="s">
        <v>161</v>
      </c>
      <c r="D35" s="376">
        <v>250</v>
      </c>
      <c r="E35" s="374"/>
      <c r="F35" s="384">
        <f t="shared" si="2"/>
        <v>20.833333333333332</v>
      </c>
      <c r="G35" s="378"/>
      <c r="H35" s="374"/>
      <c r="I35" s="384">
        <f t="shared" si="3"/>
        <v>20.833333333333332</v>
      </c>
      <c r="J35" s="378"/>
      <c r="K35" s="374"/>
      <c r="L35" s="384">
        <f t="shared" si="4"/>
        <v>20.833333333333332</v>
      </c>
      <c r="M35" s="328"/>
      <c r="O35" s="22"/>
    </row>
    <row r="36" spans="1:15">
      <c r="A36" s="4"/>
      <c r="B36" s="358"/>
      <c r="C36" s="396" t="s">
        <v>162</v>
      </c>
      <c r="D36" s="376">
        <v>1000</v>
      </c>
      <c r="E36" s="374"/>
      <c r="F36" s="384">
        <f t="shared" si="2"/>
        <v>83.333333333333329</v>
      </c>
      <c r="G36" s="378">
        <v>2000</v>
      </c>
      <c r="H36" s="374"/>
      <c r="I36" s="384">
        <f t="shared" si="3"/>
        <v>166.66666666666666</v>
      </c>
      <c r="J36" s="378">
        <v>2500</v>
      </c>
      <c r="K36" s="374"/>
      <c r="L36" s="384">
        <f t="shared" si="4"/>
        <v>208.33333333333334</v>
      </c>
      <c r="M36" s="328"/>
      <c r="O36" s="22"/>
    </row>
    <row r="37" spans="1:15">
      <c r="A37" s="4"/>
      <c r="B37" s="358"/>
      <c r="C37" s="396" t="s">
        <v>163</v>
      </c>
      <c r="D37" s="376">
        <v>300</v>
      </c>
      <c r="E37" s="374"/>
      <c r="F37" s="384">
        <f t="shared" si="2"/>
        <v>25</v>
      </c>
      <c r="G37" s="378"/>
      <c r="H37" s="374"/>
      <c r="I37" s="384">
        <f t="shared" si="3"/>
        <v>25</v>
      </c>
      <c r="J37" s="378"/>
      <c r="K37" s="374"/>
      <c r="L37" s="384">
        <f t="shared" si="4"/>
        <v>25</v>
      </c>
      <c r="M37" s="328"/>
      <c r="O37" s="22"/>
    </row>
    <row r="38" spans="1:15">
      <c r="A38" s="4"/>
      <c r="B38" s="358"/>
      <c r="C38" s="396" t="s">
        <v>164</v>
      </c>
      <c r="D38" s="15"/>
      <c r="E38" s="367"/>
      <c r="F38" s="384">
        <f>SUM(F39:F44)</f>
        <v>80.833333333333343</v>
      </c>
      <c r="G38" s="367"/>
      <c r="H38" s="367"/>
      <c r="I38" s="385">
        <f>SUM(I39:I44)</f>
        <v>127.50000000000001</v>
      </c>
      <c r="J38" s="367"/>
      <c r="K38" s="367"/>
      <c r="L38" s="384">
        <f>SUM(L39:L44)</f>
        <v>170</v>
      </c>
      <c r="M38" s="328"/>
      <c r="O38" s="22"/>
    </row>
    <row r="39" spans="1:15">
      <c r="A39" s="4"/>
      <c r="B39" s="358"/>
      <c r="C39" s="400" t="s">
        <v>165</v>
      </c>
      <c r="D39" s="376">
        <v>200</v>
      </c>
      <c r="E39" s="374"/>
      <c r="F39" s="384">
        <f t="shared" ref="F39:F44" si="5">+IF(C39="","",IF(D39&gt;0,D39/12,E39))</f>
        <v>16.666666666666668</v>
      </c>
      <c r="G39" s="378">
        <v>300</v>
      </c>
      <c r="H39" s="374"/>
      <c r="I39" s="384">
        <f t="shared" ref="I39:I44" si="6">+IF(G39="",IF(H39="",F39,H39),G39/12)</f>
        <v>25</v>
      </c>
      <c r="J39" s="378">
        <v>350</v>
      </c>
      <c r="K39" s="374"/>
      <c r="L39" s="384">
        <f t="shared" ref="L39:L44" si="7">+IF(J39="",IF(K39="",I39,K39),J39/12)</f>
        <v>29.166666666666668</v>
      </c>
      <c r="M39" s="328"/>
      <c r="O39" s="22"/>
    </row>
    <row r="40" spans="1:15">
      <c r="A40" s="4"/>
      <c r="B40" s="358"/>
      <c r="C40" s="400" t="s">
        <v>166</v>
      </c>
      <c r="D40" s="376"/>
      <c r="E40" s="374"/>
      <c r="F40" s="384">
        <f t="shared" si="5"/>
        <v>0</v>
      </c>
      <c r="G40" s="378"/>
      <c r="H40" s="374"/>
      <c r="I40" s="384">
        <f t="shared" si="6"/>
        <v>0</v>
      </c>
      <c r="J40" s="378"/>
      <c r="K40" s="374"/>
      <c r="L40" s="384">
        <f t="shared" si="7"/>
        <v>0</v>
      </c>
      <c r="M40" s="328"/>
      <c r="O40" s="22"/>
    </row>
    <row r="41" spans="1:15">
      <c r="A41" s="4"/>
      <c r="B41" s="358"/>
      <c r="C41" s="401" t="s">
        <v>285</v>
      </c>
      <c r="D41" s="372">
        <v>180</v>
      </c>
      <c r="E41" s="374"/>
      <c r="F41" s="384">
        <f t="shared" si="5"/>
        <v>15</v>
      </c>
      <c r="G41" s="378">
        <v>290</v>
      </c>
      <c r="H41" s="374"/>
      <c r="I41" s="384">
        <f t="shared" si="6"/>
        <v>24.166666666666668</v>
      </c>
      <c r="J41" s="378">
        <v>400</v>
      </c>
      <c r="K41" s="374"/>
      <c r="L41" s="384">
        <f t="shared" si="7"/>
        <v>33.333333333333336</v>
      </c>
      <c r="M41" s="328"/>
      <c r="O41" s="22"/>
    </row>
    <row r="42" spans="1:15">
      <c r="A42" s="4"/>
      <c r="B42" s="358"/>
      <c r="C42" s="373" t="s">
        <v>286</v>
      </c>
      <c r="D42" s="372">
        <v>180</v>
      </c>
      <c r="E42" s="374"/>
      <c r="F42" s="384">
        <f t="shared" si="5"/>
        <v>15</v>
      </c>
      <c r="G42" s="378">
        <v>290</v>
      </c>
      <c r="H42" s="374"/>
      <c r="I42" s="384">
        <f t="shared" si="6"/>
        <v>24.166666666666668</v>
      </c>
      <c r="J42" s="378">
        <v>400</v>
      </c>
      <c r="K42" s="374"/>
      <c r="L42" s="384">
        <f t="shared" si="7"/>
        <v>33.333333333333336</v>
      </c>
      <c r="M42" s="328"/>
      <c r="O42" s="22"/>
    </row>
    <row r="43" spans="1:15">
      <c r="A43" s="4"/>
      <c r="B43" s="358"/>
      <c r="C43" s="373" t="s">
        <v>287</v>
      </c>
      <c r="D43" s="372">
        <v>130</v>
      </c>
      <c r="E43" s="374"/>
      <c r="F43" s="384">
        <f t="shared" si="5"/>
        <v>10.833333333333334</v>
      </c>
      <c r="G43" s="378">
        <v>260</v>
      </c>
      <c r="H43" s="374"/>
      <c r="I43" s="384">
        <f t="shared" si="6"/>
        <v>21.666666666666668</v>
      </c>
      <c r="J43" s="378">
        <v>390</v>
      </c>
      <c r="K43" s="374"/>
      <c r="L43" s="384">
        <f t="shared" si="7"/>
        <v>32.5</v>
      </c>
      <c r="M43" s="328"/>
      <c r="O43" s="22"/>
    </row>
    <row r="44" spans="1:15">
      <c r="A44" s="6"/>
      <c r="B44" s="368"/>
      <c r="C44" s="380" t="s">
        <v>288</v>
      </c>
      <c r="D44" s="372">
        <v>280</v>
      </c>
      <c r="E44" s="374"/>
      <c r="F44" s="384">
        <f t="shared" si="5"/>
        <v>23.333333333333332</v>
      </c>
      <c r="G44" s="378">
        <v>390</v>
      </c>
      <c r="H44" s="374"/>
      <c r="I44" s="384">
        <f t="shared" si="6"/>
        <v>32.5</v>
      </c>
      <c r="J44" s="378">
        <v>500</v>
      </c>
      <c r="K44" s="374"/>
      <c r="L44" s="384">
        <f t="shared" si="7"/>
        <v>41.666666666666664</v>
      </c>
      <c r="M44" s="328"/>
      <c r="O44" s="22"/>
    </row>
    <row r="45" spans="1:15">
      <c r="A45" s="4"/>
      <c r="B45" s="358"/>
      <c r="C45" s="404" t="s">
        <v>59</v>
      </c>
      <c r="D45" s="197"/>
      <c r="E45" s="362"/>
      <c r="F45" s="405">
        <f>F12+F16+F17</f>
        <v>5473.6666666666661</v>
      </c>
      <c r="G45" s="362"/>
      <c r="H45" s="362"/>
      <c r="I45" s="405">
        <f>I12+I16+I17</f>
        <v>7033.6666666666661</v>
      </c>
      <c r="J45" s="362"/>
      <c r="K45" s="362"/>
      <c r="L45" s="405">
        <f>L12+L16+L17</f>
        <v>8151.8333333333339</v>
      </c>
      <c r="M45" s="328"/>
      <c r="O45" s="22"/>
    </row>
    <row r="46" spans="1:15">
      <c r="A46" s="4"/>
      <c r="B46" s="358"/>
      <c r="C46" s="404" t="s">
        <v>167</v>
      </c>
      <c r="D46" s="8"/>
      <c r="E46" s="271"/>
      <c r="F46" s="406"/>
      <c r="G46" s="369"/>
      <c r="H46" s="369"/>
      <c r="I46" s="405">
        <f>I45*(1+Ingressos!P46)</f>
        <v>7068.8349999999982</v>
      </c>
      <c r="J46" s="370"/>
      <c r="K46" s="370"/>
      <c r="L46" s="405">
        <f>L45*(1+ Ingressos!P46)*(1+Ingressos!Q46)</f>
        <v>8233.5554624999986</v>
      </c>
      <c r="M46" s="328"/>
      <c r="O46" s="22"/>
    </row>
    <row r="47" spans="1:15">
      <c r="A47" s="5"/>
      <c r="B47" s="371"/>
      <c r="C47" s="339"/>
      <c r="D47" s="339"/>
      <c r="E47" s="339"/>
      <c r="F47" s="339"/>
      <c r="G47" s="339"/>
      <c r="H47" s="339"/>
      <c r="I47" s="339"/>
      <c r="J47" s="339"/>
      <c r="K47" s="339"/>
      <c r="L47" s="339"/>
      <c r="M47" s="343"/>
    </row>
    <row r="48" spans="1:15">
      <c r="A48" s="5"/>
      <c r="B48" s="5"/>
      <c r="C48" s="5"/>
      <c r="D48" s="1"/>
      <c r="E48" s="1"/>
      <c r="F48" s="1"/>
      <c r="G48" s="1"/>
      <c r="H48" s="1"/>
      <c r="I48" s="1"/>
      <c r="J48" s="3"/>
      <c r="K48" s="3"/>
      <c r="L48" s="3"/>
      <c r="M48" s="1"/>
      <c r="N48" s="1"/>
    </row>
    <row r="51" spans="15:18">
      <c r="O51" s="34"/>
    </row>
    <row r="54" spans="15:18">
      <c r="R54" s="34"/>
    </row>
  </sheetData>
  <sheetProtection password="D3F4" sheet="1" objects="1" scenarios="1"/>
  <mergeCells count="6">
    <mergeCell ref="D9:F9"/>
    <mergeCell ref="G9:I9"/>
    <mergeCell ref="J9:L9"/>
    <mergeCell ref="C7:L7"/>
    <mergeCell ref="C3:E3"/>
    <mergeCell ref="C5:L5"/>
  </mergeCells>
  <phoneticPr fontId="0" type="noConversion"/>
  <printOptions horizontalCentered="1" verticalCentered="1"/>
  <pageMargins left="0.39370078740157483" right="0" top="0" bottom="0" header="0" footer="0"/>
  <pageSetup paperSize="9" scale="92" orientation="landscape" horizontalDpi="300" verticalDpi="300" r:id="rId1"/>
  <headerFooter alignWithMargins="0"/>
  <colBreaks count="1" manualBreakCount="1">
    <brk id="12" min="2" max="4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CJ84"/>
  <sheetViews>
    <sheetView showGridLines="0" topLeftCell="A30" zoomScaleNormal="75" workbookViewId="0">
      <pane xSplit="3" topLeftCell="E1" activePane="topRight" state="frozen"/>
      <selection pane="topRight" activeCell="E18" sqref="E18"/>
    </sheetView>
  </sheetViews>
  <sheetFormatPr baseColWidth="10" defaultColWidth="11.42578125" defaultRowHeight="12.75"/>
  <cols>
    <col min="1" max="1" width="2.140625" customWidth="1"/>
    <col min="2" max="2" width="2.85546875" customWidth="1"/>
    <col min="3" max="3" width="27.7109375" customWidth="1"/>
    <col min="4" max="4" width="11" customWidth="1"/>
    <col min="5" max="16" width="11.7109375" customWidth="1"/>
    <col min="17" max="17" width="12.7109375" customWidth="1"/>
    <col min="18" max="18" width="2.85546875" customWidth="1"/>
  </cols>
  <sheetData>
    <row r="1" spans="2:20" ht="8.25" customHeight="1">
      <c r="B1" s="467"/>
      <c r="C1" s="467"/>
      <c r="D1" s="467"/>
      <c r="E1" s="467"/>
      <c r="F1" s="467"/>
      <c r="G1" s="467"/>
      <c r="H1" s="467"/>
      <c r="I1" s="467"/>
      <c r="J1" s="467"/>
      <c r="K1" s="467"/>
      <c r="L1" s="467"/>
      <c r="M1" s="467"/>
      <c r="N1" s="467"/>
      <c r="O1" s="467"/>
      <c r="P1" s="467"/>
      <c r="Q1" s="467"/>
      <c r="R1" s="55"/>
    </row>
    <row r="2" spans="2:20">
      <c r="B2" s="478"/>
      <c r="R2" s="486"/>
    </row>
    <row r="3" spans="2:20" ht="18">
      <c r="B3" s="479"/>
      <c r="C3" s="710" t="str">
        <f>Ingressos!C2</f>
        <v xml:space="preserve">EMPRESA: </v>
      </c>
      <c r="D3" s="711"/>
      <c r="E3" s="711"/>
      <c r="F3" s="711"/>
      <c r="G3" s="4"/>
      <c r="H3" s="20"/>
      <c r="I3" s="4"/>
      <c r="J3" s="4"/>
      <c r="K3" s="4"/>
      <c r="L3" s="4"/>
      <c r="M3" s="4"/>
      <c r="N3" s="9"/>
      <c r="O3" s="31"/>
      <c r="P3" s="24"/>
      <c r="Q3" s="4"/>
      <c r="R3" s="469"/>
    </row>
    <row r="4" spans="2:20" s="48" customFormat="1" ht="5.25" customHeight="1">
      <c r="B4" s="480"/>
      <c r="D4" s="47"/>
      <c r="E4" s="47"/>
      <c r="F4" s="49"/>
      <c r="G4" s="50"/>
      <c r="H4" s="49"/>
      <c r="I4" s="47"/>
      <c r="J4" s="47"/>
      <c r="K4" s="47"/>
      <c r="L4" s="47"/>
      <c r="M4" s="47"/>
      <c r="N4" s="50"/>
      <c r="O4" s="50"/>
      <c r="P4" s="47"/>
      <c r="Q4" s="47"/>
      <c r="R4" s="470"/>
    </row>
    <row r="5" spans="2:20" ht="5.25" customHeight="1" thickBot="1">
      <c r="B5" s="479"/>
      <c r="C5" s="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69"/>
    </row>
    <row r="6" spans="2:20" ht="21.75" thickBot="1">
      <c r="B6" s="479"/>
      <c r="C6" s="707" t="s">
        <v>168</v>
      </c>
      <c r="D6" s="708"/>
      <c r="E6" s="708"/>
      <c r="F6" s="708"/>
      <c r="G6" s="708"/>
      <c r="H6" s="708"/>
      <c r="I6" s="708"/>
      <c r="J6" s="708"/>
      <c r="K6" s="708"/>
      <c r="L6" s="708"/>
      <c r="M6" s="708"/>
      <c r="N6" s="708"/>
      <c r="O6" s="708"/>
      <c r="P6" s="708"/>
      <c r="Q6" s="709"/>
      <c r="R6" s="469"/>
    </row>
    <row r="7" spans="2:20" ht="13.5" thickBot="1">
      <c r="B7" s="479"/>
      <c r="Q7" s="4"/>
      <c r="R7" s="469"/>
    </row>
    <row r="8" spans="2:20" s="39" customFormat="1" ht="15">
      <c r="B8" s="481"/>
      <c r="C8" s="65"/>
      <c r="D8" s="100"/>
      <c r="E8" s="444">
        <f>+Ingressos!N11</f>
        <v>1</v>
      </c>
      <c r="F8" s="444">
        <f t="shared" ref="F8:P8" si="0">+E8+1</f>
        <v>2</v>
      </c>
      <c r="G8" s="444">
        <f t="shared" si="0"/>
        <v>3</v>
      </c>
      <c r="H8" s="444">
        <f t="shared" si="0"/>
        <v>4</v>
      </c>
      <c r="I8" s="444">
        <f t="shared" si="0"/>
        <v>5</v>
      </c>
      <c r="J8" s="444">
        <f t="shared" si="0"/>
        <v>6</v>
      </c>
      <c r="K8" s="444">
        <f t="shared" si="0"/>
        <v>7</v>
      </c>
      <c r="L8" s="444">
        <f t="shared" si="0"/>
        <v>8</v>
      </c>
      <c r="M8" s="444">
        <f t="shared" si="0"/>
        <v>9</v>
      </c>
      <c r="N8" s="444">
        <f t="shared" si="0"/>
        <v>10</v>
      </c>
      <c r="O8" s="444">
        <f t="shared" si="0"/>
        <v>11</v>
      </c>
      <c r="P8" s="444">
        <f t="shared" si="0"/>
        <v>12</v>
      </c>
      <c r="Q8" s="445" t="s">
        <v>52</v>
      </c>
      <c r="R8" s="471"/>
      <c r="S8" s="11"/>
      <c r="T8" s="11"/>
    </row>
    <row r="9" spans="2:20">
      <c r="B9" s="479"/>
      <c r="C9" s="407" t="s">
        <v>169</v>
      </c>
      <c r="D9" s="441"/>
      <c r="E9" s="439">
        <f>+Ingressos!$J$39*Ingressos!O11</f>
        <v>5660.7068600000002</v>
      </c>
      <c r="F9" s="439">
        <f>+Ingressos!$J$39*Ingressos!O12</f>
        <v>6852.4346200000009</v>
      </c>
      <c r="G9" s="439">
        <f>+Ingressos!$J$39*Ingressos!O13</f>
        <v>7746.2304400000012</v>
      </c>
      <c r="H9" s="439">
        <f>+Ingressos!$J$39*Ingressos!O14</f>
        <v>9533.8220800000017</v>
      </c>
      <c r="I9" s="439">
        <f>+Ingressos!$J$39*Ingressos!O15</f>
        <v>11023.481780000002</v>
      </c>
      <c r="J9" s="439">
        <f>+Ingressos!$J$39*Ingressos!O16</f>
        <v>13109.005360000001</v>
      </c>
      <c r="K9" s="439">
        <f>+Ingressos!$J$39*Ingressos!O17</f>
        <v>15194.528940000002</v>
      </c>
      <c r="L9" s="439">
        <f>+Ingressos!$J$39*Ingressos!O18</f>
        <v>17875.916400000002</v>
      </c>
      <c r="M9" s="439">
        <f>+Ingressos!$J$39*Ingressos!O19</f>
        <v>20855.235800000002</v>
      </c>
      <c r="N9" s="439">
        <f>+Ingressos!$J$39*Ingressos!O20</f>
        <v>23834.555200000003</v>
      </c>
      <c r="O9" s="439">
        <f>+Ingressos!$J$39*Ingressos!O21</f>
        <v>26813.874600000003</v>
      </c>
      <c r="P9" s="439">
        <f>+Ingressos!$J$39*Ingressos!O22</f>
        <v>29793.194000000003</v>
      </c>
      <c r="Q9" s="443">
        <f t="shared" ref="Q9:Q22" si="1">SUM(E9:P9)</f>
        <v>188292.98608</v>
      </c>
      <c r="R9" s="468"/>
      <c r="S9" s="4"/>
      <c r="T9" s="23"/>
    </row>
    <row r="10" spans="2:20">
      <c r="B10" s="479"/>
      <c r="C10" s="407" t="s">
        <v>170</v>
      </c>
      <c r="D10" s="408"/>
      <c r="E10" s="409">
        <f>+Ingressos!$I$39*Ingressos!V11</f>
        <v>2896.7172</v>
      </c>
      <c r="F10" s="409">
        <f>+Ingressos!$I$39*Ingressos!V12</f>
        <v>3506.5524000000005</v>
      </c>
      <c r="G10" s="409">
        <f>+Ingressos!$I$39*Ingressos!V13</f>
        <v>3963.9288000000006</v>
      </c>
      <c r="H10" s="409">
        <f>+Ingressos!$I$39*Ingressos!V14</f>
        <v>4878.6816000000008</v>
      </c>
      <c r="I10" s="409">
        <f>+Ingressos!$I$39*Ingressos!V15</f>
        <v>5640.9756000000007</v>
      </c>
      <c r="J10" s="409">
        <f>+Ingressos!$I$39*Ingressos!V16</f>
        <v>6708.1872000000003</v>
      </c>
      <c r="K10" s="409">
        <f>+Ingressos!$I$39*Ingressos!V17</f>
        <v>7775.3988000000008</v>
      </c>
      <c r="L10" s="409">
        <f>+Ingressos!$I$39*Ingressos!V18</f>
        <v>9147.5280000000002</v>
      </c>
      <c r="M10" s="409">
        <f>+Ingressos!$I$39*Ingressos!V19</f>
        <v>10672.116</v>
      </c>
      <c r="N10" s="409">
        <f>+Ingressos!$I$39*Ingressos!V20</f>
        <v>12196.704000000002</v>
      </c>
      <c r="O10" s="409">
        <f>+Ingressos!$I$39*Ingressos!V21</f>
        <v>13721.292000000001</v>
      </c>
      <c r="P10" s="409">
        <f>+Ingressos!$I$39*Ingressos!V22</f>
        <v>15245.880000000001</v>
      </c>
      <c r="Q10" s="410">
        <f t="shared" si="1"/>
        <v>96353.96160000001</v>
      </c>
      <c r="R10" s="469"/>
      <c r="S10" s="1"/>
      <c r="T10" s="23"/>
    </row>
    <row r="11" spans="2:20">
      <c r="B11" s="479"/>
      <c r="C11" s="411">
        <f>+Ingressos!U46</f>
        <v>0</v>
      </c>
      <c r="D11" s="408"/>
      <c r="E11" s="409">
        <f>+E9*Ingressos!$V$46</f>
        <v>0</v>
      </c>
      <c r="F11" s="409">
        <f>+F9*Ingressos!$V$46</f>
        <v>0</v>
      </c>
      <c r="G11" s="409">
        <f>+G9*Ingressos!$V$46</f>
        <v>0</v>
      </c>
      <c r="H11" s="409">
        <f>+H9*Ingressos!$V$46</f>
        <v>0</v>
      </c>
      <c r="I11" s="409">
        <f>+I9*Ingressos!$V$46</f>
        <v>0</v>
      </c>
      <c r="J11" s="409">
        <f>+J9*Ingressos!$V$46</f>
        <v>0</v>
      </c>
      <c r="K11" s="409">
        <f>+K9*Ingressos!$V$46</f>
        <v>0</v>
      </c>
      <c r="L11" s="409">
        <f>+L9*Ingressos!$V$46</f>
        <v>0</v>
      </c>
      <c r="M11" s="409">
        <f>+M9*Ingressos!$V$46</f>
        <v>0</v>
      </c>
      <c r="N11" s="409">
        <f>+N9*Ingressos!$V$46</f>
        <v>0</v>
      </c>
      <c r="O11" s="409">
        <f>+O9*Ingressos!$V$46</f>
        <v>0</v>
      </c>
      <c r="P11" s="409">
        <f>+P9*Ingressos!$V$46</f>
        <v>0</v>
      </c>
      <c r="Q11" s="410">
        <f t="shared" si="1"/>
        <v>0</v>
      </c>
      <c r="R11" s="469"/>
      <c r="S11" s="1"/>
      <c r="T11" s="23"/>
    </row>
    <row r="12" spans="2:20" s="51" customFormat="1">
      <c r="B12" s="482"/>
      <c r="C12" s="411">
        <f>+Ingressos!U47</f>
        <v>0</v>
      </c>
      <c r="D12" s="408"/>
      <c r="E12" s="409">
        <f>+E9*Ingressos!$V$47</f>
        <v>0</v>
      </c>
      <c r="F12" s="409">
        <f>+F9*Ingressos!$V$47</f>
        <v>0</v>
      </c>
      <c r="G12" s="409">
        <f>+G9*Ingressos!$V$47</f>
        <v>0</v>
      </c>
      <c r="H12" s="409">
        <f>+H9*Ingressos!$V$47</f>
        <v>0</v>
      </c>
      <c r="I12" s="409">
        <f>+I9*Ingressos!$V$47</f>
        <v>0</v>
      </c>
      <c r="J12" s="409">
        <f>+J9*Ingressos!$V$47</f>
        <v>0</v>
      </c>
      <c r="K12" s="409">
        <f>+K9*Ingressos!$V$47</f>
        <v>0</v>
      </c>
      <c r="L12" s="409">
        <f>+L9*Ingressos!$V$47</f>
        <v>0</v>
      </c>
      <c r="M12" s="409">
        <f>+M9*Ingressos!$V$47</f>
        <v>0</v>
      </c>
      <c r="N12" s="409">
        <f>+N9*Ingressos!$V$47</f>
        <v>0</v>
      </c>
      <c r="O12" s="409">
        <f>+O9*Ingressos!$V$47</f>
        <v>0</v>
      </c>
      <c r="P12" s="409">
        <f>+P9*Ingressos!$V$47</f>
        <v>0</v>
      </c>
      <c r="Q12" s="410">
        <f t="shared" si="1"/>
        <v>0</v>
      </c>
      <c r="R12" s="472"/>
      <c r="S12" s="23"/>
      <c r="T12" s="23"/>
    </row>
    <row r="13" spans="2:20">
      <c r="B13" s="479"/>
      <c r="C13" s="411">
        <f>+Ingressos!U48</f>
        <v>0</v>
      </c>
      <c r="D13" s="408"/>
      <c r="E13" s="409">
        <f>+E9*Ingressos!$V$48</f>
        <v>0</v>
      </c>
      <c r="F13" s="409">
        <f>+F9*Ingressos!$V$48</f>
        <v>0</v>
      </c>
      <c r="G13" s="409">
        <f>+G9*Ingressos!$V$48</f>
        <v>0</v>
      </c>
      <c r="H13" s="409">
        <f>+H9*Ingressos!$V$48</f>
        <v>0</v>
      </c>
      <c r="I13" s="409">
        <f>+I9*Ingressos!$V$48</f>
        <v>0</v>
      </c>
      <c r="J13" s="409">
        <f>+J9*Ingressos!$V$48</f>
        <v>0</v>
      </c>
      <c r="K13" s="409">
        <f>+K9*Ingressos!$V$48</f>
        <v>0</v>
      </c>
      <c r="L13" s="409">
        <f>+L9*Ingressos!$V$48</f>
        <v>0</v>
      </c>
      <c r="M13" s="409">
        <f>+M9*Ingressos!$V$48</f>
        <v>0</v>
      </c>
      <c r="N13" s="409">
        <f>+N9*Ingressos!$V$48</f>
        <v>0</v>
      </c>
      <c r="O13" s="409">
        <f>+O9*Ingressos!$V$48</f>
        <v>0</v>
      </c>
      <c r="P13" s="409">
        <f>+P9*Ingressos!$V$48</f>
        <v>0</v>
      </c>
      <c r="Q13" s="410">
        <f t="shared" si="1"/>
        <v>0</v>
      </c>
      <c r="R13" s="469"/>
      <c r="S13" s="1"/>
      <c r="T13" s="23"/>
    </row>
    <row r="14" spans="2:20">
      <c r="B14" s="479"/>
      <c r="C14" s="491" t="s">
        <v>171</v>
      </c>
      <c r="D14" s="437"/>
      <c r="E14" s="438">
        <f>E9-E10-E11-E12-E13</f>
        <v>2763.9896600000002</v>
      </c>
      <c r="F14" s="438">
        <f t="shared" ref="F14:P14" si="2">F9-F10-F11-F12-F13</f>
        <v>3345.8822200000004</v>
      </c>
      <c r="G14" s="438">
        <f t="shared" si="2"/>
        <v>3782.3016400000006</v>
      </c>
      <c r="H14" s="438">
        <f t="shared" si="2"/>
        <v>4655.1404800000009</v>
      </c>
      <c r="I14" s="438">
        <f t="shared" si="2"/>
        <v>5382.5061800000012</v>
      </c>
      <c r="J14" s="438">
        <f t="shared" si="2"/>
        <v>6400.8181600000007</v>
      </c>
      <c r="K14" s="438">
        <f t="shared" si="2"/>
        <v>7419.1301400000011</v>
      </c>
      <c r="L14" s="438">
        <f t="shared" si="2"/>
        <v>8728.3884000000016</v>
      </c>
      <c r="M14" s="438">
        <f t="shared" si="2"/>
        <v>10183.119800000002</v>
      </c>
      <c r="N14" s="438">
        <f t="shared" si="2"/>
        <v>11637.851200000001</v>
      </c>
      <c r="O14" s="438">
        <f t="shared" si="2"/>
        <v>13092.582600000002</v>
      </c>
      <c r="P14" s="438">
        <f t="shared" si="2"/>
        <v>14547.314000000002</v>
      </c>
      <c r="Q14" s="442">
        <f t="shared" si="1"/>
        <v>91939.024480000007</v>
      </c>
      <c r="R14" s="469"/>
      <c r="S14" s="1"/>
      <c r="T14" s="23"/>
    </row>
    <row r="15" spans="2:20">
      <c r="B15" s="479"/>
      <c r="C15" s="412" t="s">
        <v>243</v>
      </c>
      <c r="D15" s="408"/>
      <c r="E15" s="413">
        <f>D41+E41</f>
        <v>0</v>
      </c>
      <c r="F15" s="413">
        <f t="shared" ref="F15:P15" si="3">F41</f>
        <v>0</v>
      </c>
      <c r="G15" s="413">
        <f t="shared" si="3"/>
        <v>0</v>
      </c>
      <c r="H15" s="413">
        <f t="shared" si="3"/>
        <v>0</v>
      </c>
      <c r="I15" s="413">
        <f t="shared" si="3"/>
        <v>0</v>
      </c>
      <c r="J15" s="413">
        <f t="shared" si="3"/>
        <v>0</v>
      </c>
      <c r="K15" s="413">
        <f t="shared" si="3"/>
        <v>0</v>
      </c>
      <c r="L15" s="413">
        <f t="shared" si="3"/>
        <v>0</v>
      </c>
      <c r="M15" s="413">
        <f t="shared" si="3"/>
        <v>0</v>
      </c>
      <c r="N15" s="413">
        <f t="shared" si="3"/>
        <v>0</v>
      </c>
      <c r="O15" s="413">
        <f t="shared" si="3"/>
        <v>0</v>
      </c>
      <c r="P15" s="413">
        <f t="shared" si="3"/>
        <v>0</v>
      </c>
      <c r="Q15" s="363">
        <f t="shared" si="1"/>
        <v>0</v>
      </c>
      <c r="R15" s="469"/>
      <c r="S15" s="1"/>
      <c r="T15" s="23"/>
    </row>
    <row r="16" spans="2:20">
      <c r="B16" s="479"/>
      <c r="C16" s="414" t="s">
        <v>172</v>
      </c>
      <c r="D16" s="408"/>
      <c r="E16" s="413">
        <f>'Despeses fixes'!$F$12</f>
        <v>3452</v>
      </c>
      <c r="F16" s="413">
        <f>'Despeses fixes'!$F$12</f>
        <v>3452</v>
      </c>
      <c r="G16" s="413">
        <f>'Despeses fixes'!$F$12</f>
        <v>3452</v>
      </c>
      <c r="H16" s="413">
        <f>'Despeses fixes'!$F$12</f>
        <v>3452</v>
      </c>
      <c r="I16" s="413">
        <f>'Despeses fixes'!$F$12</f>
        <v>3452</v>
      </c>
      <c r="J16" s="413">
        <f>'Despeses fixes'!$F$12</f>
        <v>3452</v>
      </c>
      <c r="K16" s="413">
        <f>'Despeses fixes'!$F$12</f>
        <v>3452</v>
      </c>
      <c r="L16" s="413">
        <f>'Despeses fixes'!$F$12</f>
        <v>3452</v>
      </c>
      <c r="M16" s="413">
        <f>'Despeses fixes'!$F$12</f>
        <v>3452</v>
      </c>
      <c r="N16" s="413">
        <f>'Despeses fixes'!$F$12</f>
        <v>3452</v>
      </c>
      <c r="O16" s="413">
        <f>'Despeses fixes'!$F$12</f>
        <v>3452</v>
      </c>
      <c r="P16" s="413">
        <f>'Despeses fixes'!$F$12</f>
        <v>3452</v>
      </c>
      <c r="Q16" s="363">
        <f t="shared" si="1"/>
        <v>41424</v>
      </c>
      <c r="R16" s="469"/>
      <c r="S16" s="1"/>
      <c r="T16" s="23"/>
    </row>
    <row r="17" spans="2:20">
      <c r="B17" s="479"/>
      <c r="C17" s="412" t="s">
        <v>143</v>
      </c>
      <c r="D17" s="408"/>
      <c r="E17" s="409">
        <f>'Despeses fixes'!$F$16</f>
        <v>0</v>
      </c>
      <c r="F17" s="409">
        <f>'Despeses fixes'!$F$16</f>
        <v>0</v>
      </c>
      <c r="G17" s="409">
        <f>'Despeses fixes'!$F$16</f>
        <v>0</v>
      </c>
      <c r="H17" s="409">
        <f>'Despeses fixes'!$F$16</f>
        <v>0</v>
      </c>
      <c r="I17" s="409">
        <f>'Despeses fixes'!$F$16</f>
        <v>0</v>
      </c>
      <c r="J17" s="409">
        <f>'Despeses fixes'!$F$16</f>
        <v>0</v>
      </c>
      <c r="K17" s="409">
        <f>'Despeses fixes'!$F$16</f>
        <v>0</v>
      </c>
      <c r="L17" s="409">
        <f>'Despeses fixes'!$F$16</f>
        <v>0</v>
      </c>
      <c r="M17" s="409">
        <f>'Despeses fixes'!$F$16</f>
        <v>0</v>
      </c>
      <c r="N17" s="409">
        <f>'Despeses fixes'!$F$16</f>
        <v>0</v>
      </c>
      <c r="O17" s="409">
        <f>'Despeses fixes'!$F$16</f>
        <v>0</v>
      </c>
      <c r="P17" s="409">
        <f>'Despeses fixes'!$F$16</f>
        <v>0</v>
      </c>
      <c r="Q17" s="363">
        <f t="shared" si="1"/>
        <v>0</v>
      </c>
      <c r="R17" s="469"/>
      <c r="S17" s="1"/>
      <c r="T17" s="11"/>
    </row>
    <row r="18" spans="2:20" s="39" customFormat="1">
      <c r="B18" s="481"/>
      <c r="C18" s="414" t="s">
        <v>144</v>
      </c>
      <c r="D18" s="415"/>
      <c r="E18" s="413">
        <f>'Despeses fixes'!$F$17+'Inversió inicial'!D37</f>
        <v>9521.6666666666661</v>
      </c>
      <c r="F18" s="413">
        <f>'Despeses fixes'!$F$17</f>
        <v>2021.6666666666665</v>
      </c>
      <c r="G18" s="413">
        <f>'Despeses fixes'!$F$17</f>
        <v>2021.6666666666665</v>
      </c>
      <c r="H18" s="413">
        <f>'Despeses fixes'!$F$17</f>
        <v>2021.6666666666665</v>
      </c>
      <c r="I18" s="413">
        <f>'Despeses fixes'!$F$17</f>
        <v>2021.6666666666665</v>
      </c>
      <c r="J18" s="413">
        <f>'Despeses fixes'!$F$17</f>
        <v>2021.6666666666665</v>
      </c>
      <c r="K18" s="413">
        <f>'Despeses fixes'!$F$17</f>
        <v>2021.6666666666665</v>
      </c>
      <c r="L18" s="413">
        <f>'Despeses fixes'!$F$17</f>
        <v>2021.6666666666665</v>
      </c>
      <c r="M18" s="413">
        <f>'Despeses fixes'!$F$17</f>
        <v>2021.6666666666665</v>
      </c>
      <c r="N18" s="413">
        <f>'Despeses fixes'!$F$17</f>
        <v>2021.6666666666665</v>
      </c>
      <c r="O18" s="413">
        <f>'Despeses fixes'!$F$17</f>
        <v>2021.6666666666665</v>
      </c>
      <c r="P18" s="413">
        <f>'Despeses fixes'!$F$17</f>
        <v>2021.6666666666665</v>
      </c>
      <c r="Q18" s="363">
        <f t="shared" si="1"/>
        <v>31760.000000000007</v>
      </c>
      <c r="R18" s="471"/>
      <c r="S18" s="11"/>
      <c r="T18" s="11"/>
    </row>
    <row r="19" spans="2:20">
      <c r="B19" s="479"/>
      <c r="C19" s="407" t="s">
        <v>173</v>
      </c>
      <c r="D19" s="408"/>
      <c r="E19" s="409">
        <f>Càlculs!D233/12+Càlculs!D154/12</f>
        <v>1102.8611111111111</v>
      </c>
      <c r="F19" s="409">
        <f t="shared" ref="F19:P19" si="4">+E19</f>
        <v>1102.8611111111111</v>
      </c>
      <c r="G19" s="409">
        <f t="shared" si="4"/>
        <v>1102.8611111111111</v>
      </c>
      <c r="H19" s="409">
        <f t="shared" si="4"/>
        <v>1102.8611111111111</v>
      </c>
      <c r="I19" s="409">
        <f t="shared" si="4"/>
        <v>1102.8611111111111</v>
      </c>
      <c r="J19" s="409">
        <f t="shared" si="4"/>
        <v>1102.8611111111111</v>
      </c>
      <c r="K19" s="409">
        <f t="shared" si="4"/>
        <v>1102.8611111111111</v>
      </c>
      <c r="L19" s="409">
        <f t="shared" si="4"/>
        <v>1102.8611111111111</v>
      </c>
      <c r="M19" s="409">
        <f t="shared" si="4"/>
        <v>1102.8611111111111</v>
      </c>
      <c r="N19" s="409">
        <f t="shared" si="4"/>
        <v>1102.8611111111111</v>
      </c>
      <c r="O19" s="409">
        <f t="shared" si="4"/>
        <v>1102.8611111111111</v>
      </c>
      <c r="P19" s="409">
        <f t="shared" si="4"/>
        <v>1102.8611111111111</v>
      </c>
      <c r="Q19" s="410">
        <f t="shared" si="1"/>
        <v>13234.333333333334</v>
      </c>
      <c r="R19" s="469"/>
      <c r="S19" s="1"/>
      <c r="T19" s="23"/>
    </row>
    <row r="20" spans="2:20">
      <c r="B20" s="479"/>
      <c r="C20" s="487" t="s">
        <v>174</v>
      </c>
      <c r="D20" s="437"/>
      <c r="E20" s="438">
        <f>+E14+E15-E16-E17-E18-E19</f>
        <v>-11312.538117777776</v>
      </c>
      <c r="F20" s="438">
        <f t="shared" ref="F20:P20" si="5">+F14+F15-F16-F17-F18-F19</f>
        <v>-3230.645557777777</v>
      </c>
      <c r="G20" s="438">
        <f t="shared" si="5"/>
        <v>-2794.2261377777768</v>
      </c>
      <c r="H20" s="438">
        <f t="shared" si="5"/>
        <v>-1921.3872977777767</v>
      </c>
      <c r="I20" s="438">
        <f t="shared" si="5"/>
        <v>-1194.0215977777764</v>
      </c>
      <c r="J20" s="438">
        <f t="shared" si="5"/>
        <v>-175.70961777777688</v>
      </c>
      <c r="K20" s="438">
        <f t="shared" si="5"/>
        <v>842.60236222222352</v>
      </c>
      <c r="L20" s="438">
        <f t="shared" si="5"/>
        <v>2151.8606222222243</v>
      </c>
      <c r="M20" s="438">
        <f t="shared" si="5"/>
        <v>3606.5920222222248</v>
      </c>
      <c r="N20" s="438">
        <f t="shared" si="5"/>
        <v>5061.3234222222236</v>
      </c>
      <c r="O20" s="438">
        <f t="shared" si="5"/>
        <v>6516.0548222222242</v>
      </c>
      <c r="P20" s="438">
        <f t="shared" si="5"/>
        <v>7970.7862222222248</v>
      </c>
      <c r="Q20" s="442">
        <f t="shared" si="1"/>
        <v>5520.6911466666879</v>
      </c>
      <c r="R20" s="469"/>
      <c r="S20" s="1"/>
      <c r="T20" s="23"/>
    </row>
    <row r="21" spans="2:20">
      <c r="B21" s="479"/>
      <c r="C21" s="488" t="s">
        <v>175</v>
      </c>
      <c r="D21" s="437"/>
      <c r="E21" s="439">
        <f>IF(Càlculs!C71&lt;0,0,Càlculs!C71)+Càlculs!D211/12</f>
        <v>155.83333333333334</v>
      </c>
      <c r="F21" s="439">
        <f>IF(Càlculs!C72&lt;0,0,Càlculs!C72)+Càlculs!D211/12</f>
        <v>155.83333333333334</v>
      </c>
      <c r="G21" s="439">
        <f>IF(Càlculs!C73&lt;0,0,Càlculs!C73)+Càlculs!D211/12</f>
        <v>155.83333333333334</v>
      </c>
      <c r="H21" s="439">
        <f>IF(Càlculs!C74&lt;0,0,Càlculs!C74)+Càlculs!D211/12</f>
        <v>155.83333333333334</v>
      </c>
      <c r="I21" s="439">
        <f>IF(Càlculs!C75&lt;0,0,Càlculs!C75)+Càlculs!D211/12</f>
        <v>155.83333333333334</v>
      </c>
      <c r="J21" s="439">
        <f>IF(Càlculs!C76&lt;0,0,Càlculs!C76)+Càlculs!D211/12</f>
        <v>155.83333333333334</v>
      </c>
      <c r="K21" s="439">
        <f>IF(Càlculs!C77&lt;0,0,Càlculs!C77)+Càlculs!D211/12</f>
        <v>155.83333333333334</v>
      </c>
      <c r="L21" s="439">
        <f>IF(Càlculs!C78&lt;0,0,Càlculs!C78)+Càlculs!D211/12</f>
        <v>155.83333333333334</v>
      </c>
      <c r="M21" s="439">
        <f>IF(Càlculs!C79&lt;0,0,Càlculs!C79)+Càlculs!D211/12</f>
        <v>155.83333333333334</v>
      </c>
      <c r="N21" s="439">
        <f>IF(Càlculs!C80&lt;0,0,Càlculs!C80)+Càlculs!D211/12</f>
        <v>155.83333333333334</v>
      </c>
      <c r="O21" s="439">
        <f>IF(Càlculs!C81&lt;0,0,Càlculs!C81)+Càlculs!D211/12</f>
        <v>155.83333333333334</v>
      </c>
      <c r="P21" s="439">
        <f>IF(Càlculs!C82&lt;0,0,Càlculs!C82)+Càlculs!D211/12</f>
        <v>155.83333333333334</v>
      </c>
      <c r="Q21" s="443">
        <f t="shared" si="1"/>
        <v>1869.9999999999998</v>
      </c>
      <c r="R21" s="469"/>
      <c r="S21" s="1"/>
      <c r="T21" s="23"/>
    </row>
    <row r="22" spans="2:20">
      <c r="B22" s="479"/>
      <c r="C22" s="489" t="s">
        <v>176</v>
      </c>
      <c r="D22" s="437"/>
      <c r="E22" s="438">
        <f t="shared" ref="E22:P22" si="6">+E20-E21</f>
        <v>-11468.37145111111</v>
      </c>
      <c r="F22" s="438">
        <f t="shared" si="6"/>
        <v>-3386.4788911111104</v>
      </c>
      <c r="G22" s="438">
        <f t="shared" si="6"/>
        <v>-2950.0594711111103</v>
      </c>
      <c r="H22" s="438">
        <f t="shared" si="6"/>
        <v>-2077.2206311111099</v>
      </c>
      <c r="I22" s="438">
        <f t="shared" si="6"/>
        <v>-1349.8549311111096</v>
      </c>
      <c r="J22" s="438">
        <f t="shared" si="6"/>
        <v>-331.54295111111026</v>
      </c>
      <c r="K22" s="438">
        <f t="shared" si="6"/>
        <v>686.76902888889015</v>
      </c>
      <c r="L22" s="438">
        <f t="shared" si="6"/>
        <v>1996.027288888891</v>
      </c>
      <c r="M22" s="438">
        <f t="shared" si="6"/>
        <v>3450.7586888888914</v>
      </c>
      <c r="N22" s="438">
        <f t="shared" si="6"/>
        <v>4905.4900888888906</v>
      </c>
      <c r="O22" s="438">
        <f t="shared" si="6"/>
        <v>6360.2214888888911</v>
      </c>
      <c r="P22" s="438">
        <f t="shared" si="6"/>
        <v>7814.9528888888917</v>
      </c>
      <c r="Q22" s="442">
        <f t="shared" si="1"/>
        <v>3650.6911466666843</v>
      </c>
      <c r="R22" s="469"/>
      <c r="S22" s="1"/>
      <c r="T22" s="23"/>
    </row>
    <row r="23" spans="2:20" s="39" customFormat="1">
      <c r="B23" s="481"/>
      <c r="C23" s="490" t="s">
        <v>250</v>
      </c>
      <c r="D23" s="440"/>
      <c r="E23" s="438"/>
      <c r="F23" s="438"/>
      <c r="G23" s="438"/>
      <c r="H23" s="438"/>
      <c r="I23" s="438"/>
      <c r="J23" s="438"/>
      <c r="K23" s="438"/>
      <c r="L23" s="438"/>
      <c r="M23" s="438"/>
      <c r="N23" s="438"/>
      <c r="O23" s="438"/>
      <c r="P23" s="438"/>
      <c r="Q23" s="443">
        <f>Càlculs!C241</f>
        <v>547.60367199999769</v>
      </c>
      <c r="R23" s="471"/>
      <c r="S23" s="11"/>
      <c r="T23" s="11"/>
    </row>
    <row r="24" spans="2:20" ht="13.5" thickBot="1">
      <c r="B24" s="479"/>
      <c r="C24" s="434" t="s">
        <v>247</v>
      </c>
      <c r="D24" s="435"/>
      <c r="E24" s="435"/>
      <c r="F24" s="435"/>
      <c r="G24" s="435"/>
      <c r="H24" s="435"/>
      <c r="I24" s="435"/>
      <c r="J24" s="435"/>
      <c r="K24" s="435"/>
      <c r="L24" s="435"/>
      <c r="M24" s="435"/>
      <c r="N24" s="435"/>
      <c r="O24" s="435"/>
      <c r="P24" s="435"/>
      <c r="Q24" s="436">
        <f>Q22-Q23</f>
        <v>3103.0874746666868</v>
      </c>
      <c r="R24" s="473"/>
      <c r="S24" s="1"/>
      <c r="T24" s="11"/>
    </row>
    <row r="25" spans="2:20" ht="13.5" thickBot="1">
      <c r="B25" s="479"/>
      <c r="R25" s="469"/>
      <c r="S25" s="1"/>
      <c r="T25" s="23"/>
    </row>
    <row r="26" spans="2:20" s="39" customFormat="1">
      <c r="B26" s="481"/>
      <c r="C26" s="423" t="s">
        <v>178</v>
      </c>
      <c r="D26" s="424"/>
      <c r="E26" s="425">
        <f t="shared" ref="E26:Q26" si="7">IF(E9=0,0,+E14/E9)</f>
        <v>0.4882764164191325</v>
      </c>
      <c r="F26" s="425">
        <f t="shared" si="7"/>
        <v>0.4882764164191325</v>
      </c>
      <c r="G26" s="425">
        <f t="shared" si="7"/>
        <v>0.4882764164191325</v>
      </c>
      <c r="H26" s="425">
        <f t="shared" si="7"/>
        <v>0.4882764164191325</v>
      </c>
      <c r="I26" s="425">
        <f t="shared" si="7"/>
        <v>0.48827641641913255</v>
      </c>
      <c r="J26" s="425">
        <f t="shared" si="7"/>
        <v>0.4882764164191325</v>
      </c>
      <c r="K26" s="425">
        <f t="shared" si="7"/>
        <v>0.4882764164191325</v>
      </c>
      <c r="L26" s="425">
        <f t="shared" si="7"/>
        <v>0.48827641641913255</v>
      </c>
      <c r="M26" s="425">
        <f t="shared" si="7"/>
        <v>0.48827641641913255</v>
      </c>
      <c r="N26" s="425">
        <f t="shared" si="7"/>
        <v>0.4882764164191325</v>
      </c>
      <c r="O26" s="425">
        <f t="shared" si="7"/>
        <v>0.4882764164191325</v>
      </c>
      <c r="P26" s="425">
        <f t="shared" si="7"/>
        <v>0.4882764164191325</v>
      </c>
      <c r="Q26" s="426">
        <f t="shared" si="7"/>
        <v>0.48827641641913255</v>
      </c>
      <c r="R26" s="472"/>
      <c r="S26" s="11"/>
      <c r="T26" s="11"/>
    </row>
    <row r="27" spans="2:20" s="39" customFormat="1">
      <c r="B27" s="481"/>
      <c r="C27" s="427" t="s">
        <v>179</v>
      </c>
      <c r="D27" s="421"/>
      <c r="E27" s="428">
        <f t="shared" ref="E27:Q27" si="8">IF(E9=0,0,+E20/E9)</f>
        <v>-1.9984320682130809</v>
      </c>
      <c r="F27" s="428">
        <f t="shared" si="8"/>
        <v>-0.47145952306477845</v>
      </c>
      <c r="G27" s="428">
        <f t="shared" si="8"/>
        <v>-0.3607207608166349</v>
      </c>
      <c r="H27" s="428">
        <f t="shared" si="8"/>
        <v>-0.2015337900849285</v>
      </c>
      <c r="I27" s="428">
        <f t="shared" si="8"/>
        <v>-0.10831619461140672</v>
      </c>
      <c r="J27" s="428">
        <f t="shared" si="8"/>
        <v>-1.3403733765639171E-2</v>
      </c>
      <c r="K27" s="428">
        <f t="shared" si="8"/>
        <v>5.5454326063643235E-2</v>
      </c>
      <c r="L27" s="428">
        <f t="shared" si="8"/>
        <v>0.12037763961696667</v>
      </c>
      <c r="M27" s="428">
        <f t="shared" si="8"/>
        <v>0.1729346077315618</v>
      </c>
      <c r="N27" s="428">
        <f t="shared" si="8"/>
        <v>0.21235233381750809</v>
      </c>
      <c r="O27" s="428">
        <f t="shared" si="8"/>
        <v>0.2430105652176886</v>
      </c>
      <c r="P27" s="428">
        <f t="shared" si="8"/>
        <v>0.26753715033783299</v>
      </c>
      <c r="Q27" s="429">
        <f t="shared" si="8"/>
        <v>2.9319685568750357E-2</v>
      </c>
      <c r="R27" s="472"/>
      <c r="S27" s="11"/>
      <c r="T27" s="11"/>
    </row>
    <row r="28" spans="2:20" s="39" customFormat="1" ht="13.5" thickBot="1">
      <c r="B28" s="481"/>
      <c r="C28" s="430" t="s">
        <v>60</v>
      </c>
      <c r="D28" s="431"/>
      <c r="E28" s="432">
        <f>E20+E19</f>
        <v>-10209.677006666665</v>
      </c>
      <c r="F28" s="432">
        <f t="shared" ref="F28:P28" si="9">F20+F19</f>
        <v>-2127.7844466666656</v>
      </c>
      <c r="G28" s="432">
        <f t="shared" si="9"/>
        <v>-1691.3650266666657</v>
      </c>
      <c r="H28" s="432">
        <f t="shared" si="9"/>
        <v>-818.52618666666558</v>
      </c>
      <c r="I28" s="432">
        <f t="shared" si="9"/>
        <v>-91.160486666665292</v>
      </c>
      <c r="J28" s="432">
        <f t="shared" si="9"/>
        <v>927.1514933333342</v>
      </c>
      <c r="K28" s="432">
        <f t="shared" si="9"/>
        <v>1945.4634733333346</v>
      </c>
      <c r="L28" s="432">
        <f t="shared" si="9"/>
        <v>3254.7217333333356</v>
      </c>
      <c r="M28" s="432">
        <f t="shared" si="9"/>
        <v>4709.4531333333362</v>
      </c>
      <c r="N28" s="432">
        <f t="shared" si="9"/>
        <v>6164.1845333333349</v>
      </c>
      <c r="O28" s="432">
        <f t="shared" si="9"/>
        <v>7618.9159333333355</v>
      </c>
      <c r="P28" s="432">
        <f t="shared" si="9"/>
        <v>9073.6473333333361</v>
      </c>
      <c r="Q28" s="433">
        <f>SUM(E28:P28)</f>
        <v>18755.024480000022</v>
      </c>
      <c r="R28" s="472"/>
    </row>
    <row r="29" spans="2:20">
      <c r="B29" s="479"/>
      <c r="C29" s="13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69"/>
    </row>
    <row r="30" spans="2:20" ht="13.5" thickBot="1">
      <c r="B30" s="479"/>
      <c r="R30" s="469"/>
      <c r="S30" s="1"/>
      <c r="T30" s="1"/>
    </row>
    <row r="31" spans="2:20" s="48" customFormat="1" ht="21" customHeight="1" thickBot="1">
      <c r="B31" s="480"/>
      <c r="C31" s="704" t="s">
        <v>180</v>
      </c>
      <c r="D31" s="705"/>
      <c r="E31" s="705"/>
      <c r="F31" s="705"/>
      <c r="G31" s="705"/>
      <c r="H31" s="705"/>
      <c r="I31" s="705"/>
      <c r="J31" s="705"/>
      <c r="K31" s="705"/>
      <c r="L31" s="705"/>
      <c r="M31" s="705"/>
      <c r="N31" s="705"/>
      <c r="O31" s="705"/>
      <c r="P31" s="705"/>
      <c r="Q31" s="706"/>
      <c r="R31" s="470"/>
    </row>
    <row r="32" spans="2:20" s="37" customFormat="1" ht="12.75" customHeight="1" thickBot="1">
      <c r="B32" s="483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74"/>
    </row>
    <row r="33" spans="2:88" ht="12.75" customHeight="1">
      <c r="B33" s="479"/>
      <c r="C33" s="78"/>
      <c r="D33" s="446" t="s">
        <v>31</v>
      </c>
      <c r="E33" s="446">
        <f t="shared" ref="E33:Q33" si="10">+E8</f>
        <v>1</v>
      </c>
      <c r="F33" s="446">
        <f t="shared" si="10"/>
        <v>2</v>
      </c>
      <c r="G33" s="446">
        <f t="shared" si="10"/>
        <v>3</v>
      </c>
      <c r="H33" s="446">
        <f t="shared" si="10"/>
        <v>4</v>
      </c>
      <c r="I33" s="446">
        <f t="shared" si="10"/>
        <v>5</v>
      </c>
      <c r="J33" s="446">
        <f t="shared" si="10"/>
        <v>6</v>
      </c>
      <c r="K33" s="446">
        <f t="shared" si="10"/>
        <v>7</v>
      </c>
      <c r="L33" s="446">
        <f t="shared" si="10"/>
        <v>8</v>
      </c>
      <c r="M33" s="446">
        <f t="shared" si="10"/>
        <v>9</v>
      </c>
      <c r="N33" s="446">
        <f t="shared" si="10"/>
        <v>10</v>
      </c>
      <c r="O33" s="446">
        <f t="shared" si="10"/>
        <v>11</v>
      </c>
      <c r="P33" s="446">
        <f t="shared" si="10"/>
        <v>12</v>
      </c>
      <c r="Q33" s="447" t="str">
        <f t="shared" si="10"/>
        <v>Total</v>
      </c>
      <c r="R33" s="469"/>
    </row>
    <row r="34" spans="2:88">
      <c r="B34" s="479"/>
      <c r="C34" s="416" t="s">
        <v>247</v>
      </c>
      <c r="D34" s="417"/>
      <c r="E34" s="417">
        <f>+E22</f>
        <v>-11468.37145111111</v>
      </c>
      <c r="F34" s="417">
        <f t="shared" ref="F34:P34" si="11">+F22</f>
        <v>-3386.4788911111104</v>
      </c>
      <c r="G34" s="417">
        <f t="shared" si="11"/>
        <v>-2950.0594711111103</v>
      </c>
      <c r="H34" s="417">
        <f t="shared" si="11"/>
        <v>-2077.2206311111099</v>
      </c>
      <c r="I34" s="417">
        <f t="shared" si="11"/>
        <v>-1349.8549311111096</v>
      </c>
      <c r="J34" s="417">
        <f t="shared" si="11"/>
        <v>-331.54295111111026</v>
      </c>
      <c r="K34" s="417">
        <f t="shared" si="11"/>
        <v>686.76902888889015</v>
      </c>
      <c r="L34" s="417">
        <f t="shared" si="11"/>
        <v>1996.027288888891</v>
      </c>
      <c r="M34" s="417">
        <f t="shared" si="11"/>
        <v>3450.7586888888914</v>
      </c>
      <c r="N34" s="417">
        <f t="shared" si="11"/>
        <v>4905.4900888888906</v>
      </c>
      <c r="O34" s="417">
        <f t="shared" si="11"/>
        <v>6360.2214888888911</v>
      </c>
      <c r="P34" s="417">
        <f t="shared" si="11"/>
        <v>7814.9528888888917</v>
      </c>
      <c r="Q34" s="418">
        <f>SUM(E34:P34)</f>
        <v>3650.6911466666843</v>
      </c>
      <c r="R34" s="475"/>
    </row>
    <row r="35" spans="2:88">
      <c r="B35" s="479"/>
      <c r="C35" s="416" t="s">
        <v>181</v>
      </c>
      <c r="D35" s="417"/>
      <c r="E35" s="417">
        <f t="shared" ref="E35:P35" si="12">-E9+E51</f>
        <v>0</v>
      </c>
      <c r="F35" s="417">
        <f t="shared" si="12"/>
        <v>0</v>
      </c>
      <c r="G35" s="417">
        <f t="shared" si="12"/>
        <v>0</v>
      </c>
      <c r="H35" s="417">
        <f t="shared" si="12"/>
        <v>0</v>
      </c>
      <c r="I35" s="417">
        <f t="shared" si="12"/>
        <v>0</v>
      </c>
      <c r="J35" s="417">
        <f t="shared" si="12"/>
        <v>0</v>
      </c>
      <c r="K35" s="417">
        <f t="shared" si="12"/>
        <v>0</v>
      </c>
      <c r="L35" s="417">
        <f t="shared" si="12"/>
        <v>0</v>
      </c>
      <c r="M35" s="417">
        <f t="shared" si="12"/>
        <v>0</v>
      </c>
      <c r="N35" s="417">
        <f t="shared" si="12"/>
        <v>0</v>
      </c>
      <c r="O35" s="417">
        <f t="shared" si="12"/>
        <v>0</v>
      </c>
      <c r="P35" s="417">
        <f t="shared" si="12"/>
        <v>0</v>
      </c>
      <c r="Q35" s="418">
        <f>SUM(E35:P35)</f>
        <v>0</v>
      </c>
      <c r="R35" s="469"/>
    </row>
    <row r="36" spans="2:88">
      <c r="B36" s="479"/>
      <c r="C36" s="416" t="s">
        <v>182</v>
      </c>
      <c r="D36" s="417"/>
      <c r="E36" s="417">
        <f t="shared" ref="E36:P36" si="13">+E10-E52</f>
        <v>2896.7172</v>
      </c>
      <c r="F36" s="417">
        <f t="shared" si="13"/>
        <v>3245.8478520000003</v>
      </c>
      <c r="G36" s="417">
        <f t="shared" si="13"/>
        <v>2692.4224080000004</v>
      </c>
      <c r="H36" s="417">
        <f t="shared" si="13"/>
        <v>2408.8490400000005</v>
      </c>
      <c r="I36" s="417">
        <f t="shared" si="13"/>
        <v>2012.4561600000006</v>
      </c>
      <c r="J36" s="417">
        <f t="shared" si="13"/>
        <v>2405.7998639999996</v>
      </c>
      <c r="K36" s="417">
        <f t="shared" si="13"/>
        <v>2709.1928760000001</v>
      </c>
      <c r="L36" s="417">
        <f t="shared" si="13"/>
        <v>3152.8479839999991</v>
      </c>
      <c r="M36" s="417">
        <f t="shared" si="13"/>
        <v>3659.0111999999981</v>
      </c>
      <c r="N36" s="417">
        <f t="shared" si="13"/>
        <v>3974.6009160000012</v>
      </c>
      <c r="O36" s="417">
        <f t="shared" si="13"/>
        <v>4139.2564199999997</v>
      </c>
      <c r="P36" s="417">
        <f t="shared" si="13"/>
        <v>4177.3711200000016</v>
      </c>
      <c r="Q36" s="418">
        <f>SUM(C36:P36)</f>
        <v>37474.373040000006</v>
      </c>
      <c r="R36" s="469"/>
      <c r="S36" s="1"/>
      <c r="T36" s="1"/>
    </row>
    <row r="37" spans="2:88">
      <c r="B37" s="479"/>
      <c r="C37" s="416" t="s">
        <v>183</v>
      </c>
      <c r="D37" s="417"/>
      <c r="E37" s="417">
        <f>Càlculs!D233/12+Càlculs!D154/12</f>
        <v>1102.8611111111111</v>
      </c>
      <c r="F37" s="417">
        <f>+E37</f>
        <v>1102.8611111111111</v>
      </c>
      <c r="G37" s="417">
        <f t="shared" ref="G37:P37" si="14">+F37</f>
        <v>1102.8611111111111</v>
      </c>
      <c r="H37" s="417">
        <f t="shared" si="14"/>
        <v>1102.8611111111111</v>
      </c>
      <c r="I37" s="417">
        <f t="shared" si="14"/>
        <v>1102.8611111111111</v>
      </c>
      <c r="J37" s="417">
        <f t="shared" si="14"/>
        <v>1102.8611111111111</v>
      </c>
      <c r="K37" s="417">
        <f t="shared" si="14"/>
        <v>1102.8611111111111</v>
      </c>
      <c r="L37" s="417">
        <f t="shared" si="14"/>
        <v>1102.8611111111111</v>
      </c>
      <c r="M37" s="417">
        <f t="shared" si="14"/>
        <v>1102.8611111111111</v>
      </c>
      <c r="N37" s="417">
        <f t="shared" si="14"/>
        <v>1102.8611111111111</v>
      </c>
      <c r="O37" s="417">
        <f t="shared" si="14"/>
        <v>1102.8611111111111</v>
      </c>
      <c r="P37" s="417">
        <f t="shared" si="14"/>
        <v>1102.8611111111111</v>
      </c>
      <c r="Q37" s="418">
        <f>SUM(D37:P37)</f>
        <v>13234.333333333334</v>
      </c>
      <c r="R37" s="469"/>
      <c r="S37" s="1"/>
      <c r="T37" s="1"/>
    </row>
    <row r="38" spans="2:88">
      <c r="B38" s="479"/>
      <c r="C38" s="448" t="s">
        <v>177</v>
      </c>
      <c r="D38" s="417"/>
      <c r="E38" s="417"/>
      <c r="F38" s="417"/>
      <c r="G38" s="417"/>
      <c r="H38" s="417"/>
      <c r="I38" s="417"/>
      <c r="J38" s="417"/>
      <c r="K38" s="417"/>
      <c r="L38" s="417"/>
      <c r="M38" s="417"/>
      <c r="N38" s="417"/>
      <c r="O38" s="417"/>
      <c r="P38" s="417"/>
      <c r="Q38" s="418">
        <f>Q23</f>
        <v>547.60367199999769</v>
      </c>
      <c r="R38" s="469"/>
      <c r="S38" s="1"/>
      <c r="T38" s="1"/>
    </row>
    <row r="39" spans="2:88">
      <c r="B39" s="479"/>
      <c r="C39" s="422" t="s">
        <v>184</v>
      </c>
      <c r="D39" s="419"/>
      <c r="E39" s="465">
        <f t="shared" ref="E39:P39" si="15">SUM(E34:E38)</f>
        <v>-7468.7931399999998</v>
      </c>
      <c r="F39" s="465">
        <f t="shared" si="15"/>
        <v>962.23007200000097</v>
      </c>
      <c r="G39" s="465">
        <f t="shared" si="15"/>
        <v>845.22404800000118</v>
      </c>
      <c r="H39" s="465">
        <f t="shared" si="15"/>
        <v>1434.4895200000017</v>
      </c>
      <c r="I39" s="465">
        <f t="shared" si="15"/>
        <v>1765.4623400000021</v>
      </c>
      <c r="J39" s="465">
        <f t="shared" si="15"/>
        <v>3177.1180240000003</v>
      </c>
      <c r="K39" s="465">
        <f t="shared" si="15"/>
        <v>4498.8230160000012</v>
      </c>
      <c r="L39" s="465">
        <f t="shared" si="15"/>
        <v>6251.7363840000016</v>
      </c>
      <c r="M39" s="465">
        <f t="shared" si="15"/>
        <v>8212.6310000000012</v>
      </c>
      <c r="N39" s="465">
        <f t="shared" si="15"/>
        <v>9982.9521160000022</v>
      </c>
      <c r="O39" s="465">
        <f t="shared" si="15"/>
        <v>11602.339020000001</v>
      </c>
      <c r="P39" s="465">
        <f t="shared" si="15"/>
        <v>13095.185120000004</v>
      </c>
      <c r="Q39" s="449">
        <f>SUM(E39:P39)</f>
        <v>54359.397520000013</v>
      </c>
      <c r="R39" s="469"/>
      <c r="S39" s="1"/>
      <c r="T39" s="1"/>
    </row>
    <row r="40" spans="2:88">
      <c r="B40" s="479"/>
      <c r="C40" s="416" t="s">
        <v>185</v>
      </c>
      <c r="D40" s="463">
        <f>+'Inversió inicial'!M11</f>
        <v>55000</v>
      </c>
      <c r="E40" s="466"/>
      <c r="F40" s="466"/>
      <c r="G40" s="466"/>
      <c r="H40" s="466"/>
      <c r="I40" s="466"/>
      <c r="J40" s="466"/>
      <c r="K40" s="466"/>
      <c r="L40" s="466"/>
      <c r="M40" s="466"/>
      <c r="N40" s="466"/>
      <c r="O40" s="466"/>
      <c r="P40" s="466"/>
      <c r="Q40" s="418">
        <f>SUM(D40:P40)</f>
        <v>55000</v>
      </c>
      <c r="R40" s="469"/>
      <c r="S40" s="1"/>
      <c r="T40" s="1"/>
    </row>
    <row r="41" spans="2:88">
      <c r="B41" s="479"/>
      <c r="C41" s="420" t="s">
        <v>243</v>
      </c>
      <c r="D41" s="464"/>
      <c r="E41" s="466"/>
      <c r="F41" s="466"/>
      <c r="G41" s="466"/>
      <c r="H41" s="466"/>
      <c r="I41" s="466"/>
      <c r="J41" s="466"/>
      <c r="K41" s="466"/>
      <c r="L41" s="466"/>
      <c r="M41" s="466"/>
      <c r="N41" s="466"/>
      <c r="O41" s="466"/>
      <c r="P41" s="466"/>
      <c r="Q41" s="418">
        <f>SUM(D41:P41)</f>
        <v>0</v>
      </c>
      <c r="R41" s="471"/>
      <c r="S41" s="1"/>
      <c r="T41" s="1"/>
    </row>
    <row r="42" spans="2:88">
      <c r="B42" s="479"/>
      <c r="C42" s="416" t="s">
        <v>248</v>
      </c>
      <c r="D42" s="463">
        <f>+'Inversió inicial'!M23</f>
        <v>35000</v>
      </c>
      <c r="E42" s="466"/>
      <c r="F42" s="466"/>
      <c r="G42" s="466"/>
      <c r="H42" s="466"/>
      <c r="I42" s="466"/>
      <c r="J42" s="466"/>
      <c r="K42" s="466"/>
      <c r="L42" s="466"/>
      <c r="M42" s="466"/>
      <c r="N42" s="466"/>
      <c r="O42" s="466"/>
      <c r="P42" s="466"/>
      <c r="Q42" s="418">
        <f>SUM(D42:P42)</f>
        <v>35000</v>
      </c>
      <c r="R42" s="469"/>
      <c r="S42" s="1"/>
      <c r="T42" s="1"/>
    </row>
    <row r="43" spans="2:88">
      <c r="B43" s="479"/>
      <c r="C43" s="416" t="s">
        <v>235</v>
      </c>
      <c r="D43" s="463">
        <f>+'Inversió inicial'!D19+'Inversió inicial'!H19</f>
        <v>78051.05</v>
      </c>
      <c r="E43" s="466"/>
      <c r="F43" s="466"/>
      <c r="G43" s="466"/>
      <c r="H43" s="466"/>
      <c r="I43" s="466"/>
      <c r="J43" s="466"/>
      <c r="K43" s="466"/>
      <c r="L43" s="466"/>
      <c r="M43" s="466"/>
      <c r="N43" s="466"/>
      <c r="O43" s="466"/>
      <c r="P43" s="466"/>
      <c r="Q43" s="418">
        <f>SUM(D43:P43)</f>
        <v>78051.05</v>
      </c>
      <c r="R43" s="469"/>
      <c r="S43" s="1"/>
      <c r="T43" s="1"/>
    </row>
    <row r="44" spans="2:88">
      <c r="B44" s="479"/>
      <c r="C44" s="416" t="s">
        <v>186</v>
      </c>
      <c r="D44" s="463">
        <f>+'Inversió inicial'!D27+'Inversió inicial'!H27</f>
        <v>0</v>
      </c>
      <c r="E44" s="466"/>
      <c r="F44" s="466"/>
      <c r="G44" s="466"/>
      <c r="H44" s="466"/>
      <c r="I44" s="466"/>
      <c r="J44" s="466">
        <v>7000</v>
      </c>
      <c r="K44" s="466">
        <v>7000</v>
      </c>
      <c r="L44" s="466">
        <v>7000</v>
      </c>
      <c r="M44" s="466">
        <v>7000</v>
      </c>
      <c r="N44" s="466"/>
      <c r="O44" s="466"/>
      <c r="P44" s="466"/>
      <c r="Q44" s="418">
        <f>SUM(D44:P44)</f>
        <v>28000</v>
      </c>
      <c r="R44" s="469"/>
      <c r="S44" s="1"/>
      <c r="T44" s="1"/>
    </row>
    <row r="45" spans="2:88" s="40" customFormat="1">
      <c r="B45" s="484"/>
      <c r="C45" s="451" t="s">
        <v>251</v>
      </c>
      <c r="D45" s="452"/>
      <c r="E45" s="453">
        <f>'Inversió inicial'!H37</f>
        <v>1113</v>
      </c>
      <c r="F45" s="452"/>
      <c r="G45" s="452"/>
      <c r="H45" s="452"/>
      <c r="I45" s="452"/>
      <c r="J45" s="452"/>
      <c r="K45" s="452"/>
      <c r="L45" s="452"/>
      <c r="M45" s="452"/>
      <c r="N45" s="452"/>
      <c r="O45" s="452"/>
      <c r="P45" s="452"/>
      <c r="Q45" s="418">
        <f>SUM(E45:P45)</f>
        <v>1113</v>
      </c>
      <c r="R45" s="469"/>
      <c r="S45" s="1"/>
      <c r="T45" s="1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</row>
    <row r="46" spans="2:88" s="41" customFormat="1">
      <c r="B46" s="484"/>
      <c r="C46" s="454" t="s">
        <v>187</v>
      </c>
      <c r="D46" s="450">
        <f>+'Resultats a tres anys'!I21</f>
        <v>0</v>
      </c>
      <c r="E46" s="450">
        <f>+Càlculs!D71+Càlculs!D210/12</f>
        <v>0</v>
      </c>
      <c r="F46" s="450">
        <f>+Càlculs!D72+Càlculs!D210/12</f>
        <v>0</v>
      </c>
      <c r="G46" s="450">
        <f>+Càlculs!D73+Càlculs!D210/12</f>
        <v>0</v>
      </c>
      <c r="H46" s="450">
        <f>+Càlculs!D74+Càlculs!D210/12</f>
        <v>0</v>
      </c>
      <c r="I46" s="450">
        <f>+Càlculs!D75+Càlculs!D210/12</f>
        <v>0</v>
      </c>
      <c r="J46" s="450">
        <f>+Càlculs!D76+Càlculs!D210/12</f>
        <v>0</v>
      </c>
      <c r="K46" s="450">
        <f>+Càlculs!D77+Càlculs!D210/12</f>
        <v>0</v>
      </c>
      <c r="L46" s="450">
        <f>+Càlculs!D78+Càlculs!D210/12</f>
        <v>0</v>
      </c>
      <c r="M46" s="450">
        <f>+Càlculs!D79+Càlculs!D210/12</f>
        <v>0</v>
      </c>
      <c r="N46" s="450">
        <f>+Càlculs!D80+Càlculs!D210/12</f>
        <v>0</v>
      </c>
      <c r="O46" s="450">
        <f>+Càlculs!D81+Càlculs!D210/12</f>
        <v>0</v>
      </c>
      <c r="P46" s="450">
        <f>+Càlculs!D82+Càlculs!D210/12</f>
        <v>0</v>
      </c>
      <c r="Q46" s="418">
        <f>SUM(E46:P46)</f>
        <v>0</v>
      </c>
      <c r="R46" s="469"/>
      <c r="S46" s="1"/>
      <c r="T46" s="1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</row>
    <row r="47" spans="2:88">
      <c r="B47" s="479"/>
      <c r="C47" s="420" t="s">
        <v>188</v>
      </c>
      <c r="D47" s="417">
        <f>D39+D40+D42-D43-D44-D45-D46</f>
        <v>11948.949999999997</v>
      </c>
      <c r="E47" s="417">
        <f>E39+E40+E42-E43-E44-E45-E46</f>
        <v>-8581.7931399999998</v>
      </c>
      <c r="F47" s="417">
        <f t="shared" ref="F47:P47" si="16">F39+F40+F42-F43-F44-F45-F46</f>
        <v>962.23007200000097</v>
      </c>
      <c r="G47" s="417">
        <f t="shared" si="16"/>
        <v>845.22404800000118</v>
      </c>
      <c r="H47" s="417">
        <f t="shared" si="16"/>
        <v>1434.4895200000017</v>
      </c>
      <c r="I47" s="417">
        <f t="shared" si="16"/>
        <v>1765.4623400000021</v>
      </c>
      <c r="J47" s="417">
        <f t="shared" si="16"/>
        <v>-3822.8819759999997</v>
      </c>
      <c r="K47" s="417">
        <f t="shared" si="16"/>
        <v>-2501.1769839999988</v>
      </c>
      <c r="L47" s="417">
        <f t="shared" si="16"/>
        <v>-748.26361599999836</v>
      </c>
      <c r="M47" s="417">
        <f t="shared" si="16"/>
        <v>1212.6310000000012</v>
      </c>
      <c r="N47" s="417">
        <f t="shared" si="16"/>
        <v>9982.9521160000022</v>
      </c>
      <c r="O47" s="417">
        <f t="shared" si="16"/>
        <v>11602.339020000001</v>
      </c>
      <c r="P47" s="417">
        <f t="shared" si="16"/>
        <v>13095.185120000004</v>
      </c>
      <c r="Q47" s="455"/>
      <c r="R47" s="469"/>
      <c r="S47" s="1"/>
      <c r="T47" s="1"/>
    </row>
    <row r="48" spans="2:88">
      <c r="B48" s="479"/>
      <c r="C48" s="416" t="s">
        <v>189</v>
      </c>
      <c r="D48" s="417"/>
      <c r="E48" s="417">
        <f>+D47</f>
        <v>11948.949999999997</v>
      </c>
      <c r="F48" s="417">
        <f t="shared" ref="F48:P48" si="17">+E49</f>
        <v>3367.1568599999973</v>
      </c>
      <c r="G48" s="417">
        <f t="shared" si="17"/>
        <v>4329.3869319999985</v>
      </c>
      <c r="H48" s="417">
        <f t="shared" si="17"/>
        <v>5174.6109799999995</v>
      </c>
      <c r="I48" s="417">
        <f t="shared" si="17"/>
        <v>6609.1005000000014</v>
      </c>
      <c r="J48" s="417">
        <f t="shared" si="17"/>
        <v>8374.5628400000041</v>
      </c>
      <c r="K48" s="417">
        <f t="shared" si="17"/>
        <v>4551.6808640000045</v>
      </c>
      <c r="L48" s="417">
        <f t="shared" si="17"/>
        <v>2050.5038800000057</v>
      </c>
      <c r="M48" s="417">
        <f t="shared" si="17"/>
        <v>1302.2402640000073</v>
      </c>
      <c r="N48" s="417">
        <f t="shared" si="17"/>
        <v>2514.8712640000085</v>
      </c>
      <c r="O48" s="417">
        <f t="shared" si="17"/>
        <v>12497.823380000011</v>
      </c>
      <c r="P48" s="417">
        <f t="shared" si="17"/>
        <v>24100.162400000012</v>
      </c>
      <c r="Q48" s="418"/>
      <c r="R48" s="469"/>
      <c r="S48" s="1"/>
      <c r="T48" s="1"/>
    </row>
    <row r="49" spans="2:20" s="39" customFormat="1" ht="13.5" thickBot="1">
      <c r="B49" s="481"/>
      <c r="C49" s="462" t="s">
        <v>190</v>
      </c>
      <c r="D49" s="456"/>
      <c r="E49" s="456">
        <f>SUM(E47:E48)</f>
        <v>3367.1568599999973</v>
      </c>
      <c r="F49" s="456">
        <f>SUM(F47:F48)</f>
        <v>4329.3869319999985</v>
      </c>
      <c r="G49" s="456">
        <f t="shared" ref="G49:P49" si="18">SUM(G47:G48)</f>
        <v>5174.6109799999995</v>
      </c>
      <c r="H49" s="456">
        <f t="shared" si="18"/>
        <v>6609.1005000000014</v>
      </c>
      <c r="I49" s="456">
        <f t="shared" si="18"/>
        <v>8374.5628400000041</v>
      </c>
      <c r="J49" s="456">
        <f t="shared" si="18"/>
        <v>4551.6808640000045</v>
      </c>
      <c r="K49" s="456">
        <f t="shared" si="18"/>
        <v>2050.5038800000057</v>
      </c>
      <c r="L49" s="456">
        <f t="shared" si="18"/>
        <v>1302.2402640000073</v>
      </c>
      <c r="M49" s="456">
        <f t="shared" si="18"/>
        <v>2514.8712640000085</v>
      </c>
      <c r="N49" s="456">
        <f t="shared" si="18"/>
        <v>12497.823380000011</v>
      </c>
      <c r="O49" s="456">
        <f t="shared" si="18"/>
        <v>24100.162400000012</v>
      </c>
      <c r="P49" s="456">
        <f t="shared" si="18"/>
        <v>37195.347520000018</v>
      </c>
      <c r="Q49" s="318">
        <f>Q39+Q40+Q42-Q43-Q44-Q45-Q46</f>
        <v>37195.347519999996</v>
      </c>
      <c r="R49" s="471"/>
      <c r="S49" s="11"/>
      <c r="T49" s="1"/>
    </row>
    <row r="50" spans="2:20" ht="13.5" thickBot="1">
      <c r="B50" s="479"/>
      <c r="C50" s="457"/>
      <c r="D50" s="457"/>
      <c r="E50" s="457"/>
      <c r="F50" s="457"/>
      <c r="G50" s="457"/>
      <c r="H50" s="457"/>
      <c r="I50" s="457"/>
      <c r="J50" s="457"/>
      <c r="K50" s="457"/>
      <c r="L50" s="457"/>
      <c r="M50" s="457"/>
      <c r="N50" s="457"/>
      <c r="O50" s="457"/>
      <c r="P50" s="457"/>
      <c r="Q50" s="457"/>
      <c r="R50" s="469"/>
      <c r="S50" s="1"/>
      <c r="T50" s="1"/>
    </row>
    <row r="51" spans="2:20" s="39" customFormat="1">
      <c r="B51" s="481"/>
      <c r="C51" s="458" t="s">
        <v>121</v>
      </c>
      <c r="D51" s="459"/>
      <c r="E51" s="460">
        <f>+E9*Ingressos!$D$46</f>
        <v>5660.7068600000002</v>
      </c>
      <c r="F51" s="460">
        <f>+F9*Ingressos!$D$46+E9*Ingressos!$E$46</f>
        <v>6852.4346200000009</v>
      </c>
      <c r="G51" s="460">
        <f>+G9*Ingressos!$D$46+E9*Ingressos!$F$46+F9*Ingressos!$E$46</f>
        <v>7746.2304400000012</v>
      </c>
      <c r="H51" s="460">
        <f>+H9*Ingressos!$D$46+F9*Ingressos!$F$46+G9*Ingressos!$E$46+E9*Ingressos!$G$46</f>
        <v>9533.8220800000017</v>
      </c>
      <c r="I51" s="460">
        <f>+I9*Ingressos!$D$46+G9*Ingressos!$F$46+H9*Ingressos!$E$46+F9*Ingressos!$G$46+E9*Ingressos!H46</f>
        <v>11023.481780000002</v>
      </c>
      <c r="J51" s="460">
        <f>+J9*Ingressos!$D$46+H9*Ingressos!$F$46+I9*Ingressos!$E$46+G9*Ingressos!$G$46+F9*Ingressos!$H$46</f>
        <v>13109.005360000001</v>
      </c>
      <c r="K51" s="460">
        <f>+K9*Ingressos!$D$46+I9*Ingressos!$F$46+J9*Ingressos!$E$46+H9*Ingressos!$G$46+G9*Ingressos!$H$46</f>
        <v>15194.528940000002</v>
      </c>
      <c r="L51" s="460">
        <f>+L9*Ingressos!$D$46+J9*Ingressos!$F$46+K9*Ingressos!$E$46+I9*Ingressos!$G$46+H9*Ingressos!$H$46</f>
        <v>17875.916400000002</v>
      </c>
      <c r="M51" s="460">
        <f>+M9*Ingressos!$D$46+K9*Ingressos!$F$46+L9*Ingressos!$E$46+J9*Ingressos!$G$46+I9*Ingressos!$H$46</f>
        <v>20855.235800000002</v>
      </c>
      <c r="N51" s="460">
        <f>+N9*Ingressos!$D$46+L9*Ingressos!$F$46+M9*Ingressos!$E$46+K9*Ingressos!$G$46+J9*Ingressos!$H$46</f>
        <v>23834.555200000003</v>
      </c>
      <c r="O51" s="460">
        <f>+O9*Ingressos!$D$46+M9*Ingressos!$F$46+N9*Ingressos!$E$46+L9*Ingressos!$G$46+K9*Ingressos!$H$46</f>
        <v>26813.874600000003</v>
      </c>
      <c r="P51" s="460">
        <f>+P9*Ingressos!$D$46+N9*Ingressos!$F$46+O9*Ingressos!$E$46+M9*Ingressos!$G$46+L9*Ingressos!$H$46</f>
        <v>29793.194000000003</v>
      </c>
      <c r="Q51" s="461">
        <f>SUM(E51:P51)</f>
        <v>188292.98608</v>
      </c>
      <c r="R51" s="471"/>
      <c r="S51" s="11"/>
      <c r="T51" s="1"/>
    </row>
    <row r="52" spans="2:20" ht="13.5" thickBot="1">
      <c r="B52" s="479"/>
      <c r="C52" s="310" t="s">
        <v>122</v>
      </c>
      <c r="D52" s="431"/>
      <c r="E52" s="432">
        <f>+E10*Ingressos!$D$47</f>
        <v>0</v>
      </c>
      <c r="F52" s="432">
        <f>+F10*Ingressos!$D$47+E10*Ingressos!$E$47</f>
        <v>260.70454799999999</v>
      </c>
      <c r="G52" s="432">
        <f>+G10*Ingressos!$D$47+E10*Ingressos!$F$47+F10*Ingressos!$E$47</f>
        <v>1271.506392</v>
      </c>
      <c r="H52" s="432">
        <f>+H10*Ingressos!$D$47+F10*Ingressos!$F$47+G10*Ingressos!$E$47+E10*Ingressos!$G$47</f>
        <v>2469.8325600000003</v>
      </c>
      <c r="I52" s="432">
        <f>+I10*Ingressos!$D$47+G10*Ingressos!$F$47+H10*Ingressos!$E$47+F10*Ingressos!$G$47+E10*Ingressos!$H$47</f>
        <v>3628.51944</v>
      </c>
      <c r="J52" s="432">
        <f>+J10*Ingressos!$D$47+H10*Ingressos!$F$47+I10*Ingressos!$E$47+G10*Ingressos!$G$47+F10*Ingressos!$H$47</f>
        <v>4302.3873360000007</v>
      </c>
      <c r="K52" s="432">
        <f>+K10*Ingressos!$D$47+I10*Ingressos!$F$47+J10*Ingressos!$E$47+H10*Ingressos!$G$47+G10*Ingressos!$H$47</f>
        <v>5066.2059240000008</v>
      </c>
      <c r="L52" s="432">
        <f>+L10*Ingressos!$D$47+J10*Ingressos!$F$47+K10*Ingressos!$E$47+I10*Ingressos!$G$47+H10*Ingressos!$H$47</f>
        <v>5994.6800160000012</v>
      </c>
      <c r="M52" s="432">
        <f>+M10*Ingressos!$D$47+K10*Ingressos!$F$47+L10*Ingressos!$E$47+J10*Ingressos!$G$47+I10*Ingressos!$H$47</f>
        <v>7013.1048000000019</v>
      </c>
      <c r="N52" s="432">
        <f>+N10*Ingressos!$D$47+L10*Ingressos!$F$47+M10*Ingressos!$E$47+K10*Ingressos!$G$47+J10*Ingressos!$H$47</f>
        <v>8222.1030840000003</v>
      </c>
      <c r="O52" s="432">
        <f>+O10*Ingressos!$D$47+M10*Ingressos!$F$47+N10*Ingressos!$E$47+L10*Ingressos!$G$47+K10*Ingressos!$H$47</f>
        <v>9582.0355800000016</v>
      </c>
      <c r="P52" s="432">
        <f>+P10*Ingressos!$D$47+N10*Ingressos!$F$47+O10*Ingressos!$E$47+M10*Ingressos!$G$47+L10*Ingressos!$H$47</f>
        <v>11068.508879999999</v>
      </c>
      <c r="Q52" s="433">
        <f>SUM(E52:P52)</f>
        <v>58879.588560000011</v>
      </c>
      <c r="R52" s="469"/>
    </row>
    <row r="53" spans="2:20">
      <c r="B53" s="485"/>
      <c r="C53" s="476"/>
      <c r="D53" s="476"/>
      <c r="E53" s="476"/>
      <c r="F53" s="476"/>
      <c r="G53" s="476"/>
      <c r="H53" s="476"/>
      <c r="I53" s="476"/>
      <c r="J53" s="476"/>
      <c r="K53" s="476"/>
      <c r="L53" s="476"/>
      <c r="M53" s="476"/>
      <c r="N53" s="476"/>
      <c r="O53" s="476"/>
      <c r="P53" s="476"/>
      <c r="Q53" s="476"/>
      <c r="R53" s="477"/>
    </row>
    <row r="54" spans="2:20" ht="12.75" customHeight="1"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"/>
    </row>
    <row r="55" spans="2:20" ht="12.75" customHeight="1">
      <c r="C55" s="36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4"/>
    </row>
    <row r="56" spans="2:20">
      <c r="R56" s="4"/>
    </row>
    <row r="57" spans="2:20">
      <c r="R57" s="4"/>
    </row>
    <row r="58" spans="2:20">
      <c r="R58" s="4"/>
    </row>
    <row r="59" spans="2:20">
      <c r="R59" s="4"/>
    </row>
    <row r="83" spans="3:16">
      <c r="C83" s="16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 spans="3:16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6"/>
    </row>
  </sheetData>
  <sheetProtection password="D3F4" sheet="1"/>
  <mergeCells count="3">
    <mergeCell ref="C31:Q31"/>
    <mergeCell ref="C6:Q6"/>
    <mergeCell ref="C3:F3"/>
  </mergeCells>
  <phoneticPr fontId="0" type="noConversion"/>
  <printOptions horizontalCentered="1" verticalCentered="1"/>
  <pageMargins left="0.19685039370078741" right="0" top="0" bottom="0" header="0" footer="0"/>
  <pageSetup paperSize="9" scale="71" orientation="landscape" horizontalDpi="300" verticalDpi="300" r:id="rId1"/>
  <headerFooter alignWithMargins="0">
    <oddHeader xml:space="preserve">&amp;C
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AP246"/>
  <sheetViews>
    <sheetView showGridLines="0" topLeftCell="A28" zoomScaleNormal="100" zoomScaleSheetLayoutView="100" workbookViewId="0">
      <selection activeCell="O32" sqref="O32"/>
    </sheetView>
  </sheetViews>
  <sheetFormatPr baseColWidth="10" defaultColWidth="11.42578125" defaultRowHeight="12.75"/>
  <cols>
    <col min="1" max="1" width="2.85546875" customWidth="1"/>
    <col min="2" max="2" width="4.42578125" customWidth="1"/>
    <col min="3" max="3" width="27.7109375" customWidth="1"/>
    <col min="4" max="6" width="12.7109375" customWidth="1"/>
    <col min="7" max="7" width="3.7109375" customWidth="1"/>
    <col min="8" max="8" width="28.7109375" customWidth="1"/>
    <col min="9" max="12" width="12.7109375" customWidth="1"/>
    <col min="13" max="13" width="6.5703125" customWidth="1"/>
    <col min="14" max="14" width="3.42578125" customWidth="1"/>
    <col min="15" max="15" width="13.42578125" customWidth="1"/>
    <col min="16" max="16" width="13.7109375" customWidth="1"/>
    <col min="17" max="18" width="11.7109375" bestFit="1" customWidth="1"/>
    <col min="19" max="19" width="12.85546875" bestFit="1" customWidth="1"/>
    <col min="20" max="20" width="11.7109375" bestFit="1" customWidth="1"/>
    <col min="21" max="21" width="12.42578125" bestFit="1" customWidth="1"/>
    <col min="22" max="22" width="11.7109375" bestFit="1" customWidth="1"/>
    <col min="23" max="23" width="11.42578125" customWidth="1"/>
    <col min="24" max="24" width="11.85546875" bestFit="1" customWidth="1"/>
    <col min="25" max="25" width="11.42578125" customWidth="1"/>
    <col min="26" max="26" width="12.28515625" bestFit="1" customWidth="1"/>
  </cols>
  <sheetData>
    <row r="1" spans="2:19">
      <c r="B1" s="493"/>
      <c r="C1" s="493"/>
      <c r="D1" s="493"/>
      <c r="E1" s="493"/>
      <c r="F1" s="493"/>
      <c r="G1" s="493"/>
      <c r="H1" s="493"/>
      <c r="I1" s="493"/>
      <c r="J1" s="493"/>
      <c r="K1" s="493"/>
      <c r="L1" s="493"/>
      <c r="M1" s="493"/>
    </row>
    <row r="2" spans="2:19">
      <c r="B2" s="504"/>
      <c r="M2" s="494"/>
    </row>
    <row r="3" spans="2:19" ht="18">
      <c r="B3" s="505"/>
      <c r="C3" s="712" t="str">
        <f>Ingressos!C2</f>
        <v xml:space="preserve">EMPRESA: </v>
      </c>
      <c r="D3" s="713"/>
      <c r="E3" s="713"/>
      <c r="F3" s="713"/>
      <c r="G3" s="4"/>
      <c r="H3" s="4"/>
      <c r="I3" s="4"/>
      <c r="J3" s="4"/>
      <c r="K3" s="4"/>
      <c r="L3" s="4"/>
      <c r="M3" s="495"/>
      <c r="N3" s="4"/>
      <c r="O3" s="4"/>
      <c r="P3" s="4"/>
      <c r="Q3" s="4"/>
      <c r="R3" s="22"/>
    </row>
    <row r="4" spans="2:19" ht="8.25" customHeight="1">
      <c r="B4" s="505"/>
      <c r="C4" s="22"/>
      <c r="D4" s="4"/>
      <c r="E4" s="4"/>
      <c r="F4" s="4"/>
      <c r="G4" s="4"/>
      <c r="H4" s="4"/>
      <c r="I4" s="4"/>
      <c r="J4" s="4"/>
      <c r="K4" s="4"/>
      <c r="L4" s="4"/>
      <c r="M4" s="495"/>
      <c r="N4" s="4" t="s">
        <v>19</v>
      </c>
      <c r="O4" s="4"/>
      <c r="P4" s="4"/>
      <c r="Q4" s="4"/>
      <c r="R4" s="22"/>
    </row>
    <row r="5" spans="2:19" ht="6.75" customHeight="1" thickBot="1">
      <c r="B5" s="505"/>
      <c r="C5" s="22"/>
      <c r="D5" s="4"/>
      <c r="E5" s="4"/>
      <c r="F5" s="4"/>
      <c r="G5" s="4"/>
      <c r="H5" s="4"/>
      <c r="I5" s="4"/>
      <c r="J5" s="4"/>
      <c r="K5" s="4"/>
      <c r="L5" s="4"/>
      <c r="M5" s="495"/>
      <c r="N5" s="4"/>
      <c r="O5" s="4"/>
      <c r="P5" s="4"/>
      <c r="Q5" s="4"/>
      <c r="R5" s="22"/>
    </row>
    <row r="6" spans="2:19" ht="21" thickBot="1">
      <c r="B6" s="505"/>
      <c r="C6" s="714" t="s">
        <v>192</v>
      </c>
      <c r="D6" s="715"/>
      <c r="E6" s="715"/>
      <c r="F6" s="716"/>
      <c r="G6" s="4"/>
      <c r="H6" s="717" t="s">
        <v>199</v>
      </c>
      <c r="I6" s="718"/>
      <c r="J6" s="718"/>
      <c r="K6" s="718"/>
      <c r="L6" s="719"/>
      <c r="M6" s="495"/>
      <c r="N6" s="4"/>
      <c r="O6" s="31"/>
      <c r="P6" s="43"/>
      <c r="Q6" s="4"/>
      <c r="R6" s="22"/>
    </row>
    <row r="7" spans="2:19" ht="13.5" thickBot="1">
      <c r="B7" s="505"/>
      <c r="C7" s="22"/>
      <c r="D7" s="4"/>
      <c r="E7" s="4"/>
      <c r="F7" s="4"/>
      <c r="G7" s="4"/>
      <c r="H7" s="4"/>
      <c r="I7" s="4"/>
      <c r="J7" s="4"/>
      <c r="K7" s="4"/>
      <c r="L7" s="4"/>
      <c r="M7" s="495"/>
      <c r="N7" s="4"/>
      <c r="O7" s="4"/>
      <c r="P7" s="4"/>
      <c r="Q7" s="4"/>
      <c r="R7" s="22"/>
    </row>
    <row r="8" spans="2:19" ht="20.25">
      <c r="B8" s="506"/>
      <c r="C8" s="598"/>
      <c r="D8" s="599" t="s">
        <v>126</v>
      </c>
      <c r="E8" s="599" t="s">
        <v>93</v>
      </c>
      <c r="F8" s="600" t="s">
        <v>94</v>
      </c>
      <c r="G8" s="47"/>
      <c r="H8" s="555"/>
      <c r="I8" s="556" t="s">
        <v>61</v>
      </c>
      <c r="J8" s="571" t="s">
        <v>126</v>
      </c>
      <c r="K8" s="556" t="s">
        <v>93</v>
      </c>
      <c r="L8" s="557" t="s">
        <v>94</v>
      </c>
      <c r="M8" s="496"/>
      <c r="N8" s="48"/>
      <c r="O8" s="4"/>
      <c r="P8" s="4"/>
      <c r="Q8" s="4"/>
      <c r="R8" s="22"/>
    </row>
    <row r="9" spans="2:19" s="48" customFormat="1" ht="12.75" customHeight="1">
      <c r="B9" s="505"/>
      <c r="C9" s="561" t="s">
        <v>169</v>
      </c>
      <c r="D9" s="601">
        <f>+'Resultats 1er any'!Q9</f>
        <v>188292.98608</v>
      </c>
      <c r="E9" s="601">
        <f>+Càlculs!N12</f>
        <v>246004.78631351996</v>
      </c>
      <c r="F9" s="602">
        <f>+Càlculs!N38</f>
        <v>276902.98747449805</v>
      </c>
      <c r="G9" s="4"/>
      <c r="H9" s="558" t="s">
        <v>247</v>
      </c>
      <c r="I9" s="559"/>
      <c r="J9" s="572">
        <f>D24</f>
        <v>3103.0874746666541</v>
      </c>
      <c r="K9" s="563">
        <f>+E24</f>
        <v>17159.784827318661</v>
      </c>
      <c r="L9" s="560">
        <f>+F24</f>
        <v>18183.593166806222</v>
      </c>
      <c r="M9" s="497"/>
      <c r="N9"/>
      <c r="O9" s="47"/>
      <c r="P9" s="47"/>
      <c r="Q9" s="47"/>
      <c r="R9" s="46"/>
    </row>
    <row r="10" spans="2:19">
      <c r="B10" s="505"/>
      <c r="C10" s="558" t="s">
        <v>170</v>
      </c>
      <c r="D10" s="601">
        <f>+'Resultats 1er any'!Q10</f>
        <v>96353.96160000001</v>
      </c>
      <c r="E10" s="601">
        <f>+Càlculs!N16</f>
        <v>125886.45083039998</v>
      </c>
      <c r="F10" s="602">
        <f>+Càlculs!N42</f>
        <v>141697.78905469825</v>
      </c>
      <c r="G10" s="4"/>
      <c r="H10" s="561" t="s">
        <v>181</v>
      </c>
      <c r="I10" s="559"/>
      <c r="J10" s="572">
        <f>+'Resultats 1er any'!Q35</f>
        <v>0</v>
      </c>
      <c r="K10" s="563">
        <f>Càlculs!N13-Càlculs!N12</f>
        <v>0</v>
      </c>
      <c r="L10" s="560">
        <f>Càlculs!N39-Càlculs!N38</f>
        <v>0</v>
      </c>
      <c r="M10" s="497"/>
      <c r="O10" s="22"/>
      <c r="P10" s="22"/>
      <c r="Q10" s="4"/>
      <c r="R10" s="22"/>
    </row>
    <row r="11" spans="2:19">
      <c r="B11" s="505"/>
      <c r="C11" s="603">
        <f>+Ingressos!U46</f>
        <v>0</v>
      </c>
      <c r="D11" s="601">
        <f>+'Resultats 1er any'!Q11</f>
        <v>0</v>
      </c>
      <c r="E11" s="601">
        <f>+Càlculs!N17</f>
        <v>0</v>
      </c>
      <c r="F11" s="602">
        <f>+Càlculs!N43</f>
        <v>0</v>
      </c>
      <c r="G11" s="4"/>
      <c r="H11" s="561" t="s">
        <v>182</v>
      </c>
      <c r="I11" s="559"/>
      <c r="J11" s="572">
        <f>+'Resultats 1er any'!Q36</f>
        <v>37474.373040000006</v>
      </c>
      <c r="K11" s="563">
        <f>Càlculs!N16-Càlculs!N14</f>
        <v>-8730.3001003920072</v>
      </c>
      <c r="L11" s="560">
        <f>Càlculs!N42-Càlculs!N40</f>
        <v>3610.2555612147553</v>
      </c>
      <c r="M11" s="497"/>
      <c r="O11" s="22"/>
      <c r="P11" s="22"/>
      <c r="Q11" s="4"/>
      <c r="R11" s="22"/>
    </row>
    <row r="12" spans="2:19">
      <c r="B12" s="505"/>
      <c r="C12" s="603">
        <f>+Ingressos!U47</f>
        <v>0</v>
      </c>
      <c r="D12" s="601">
        <f>+'Resultats 1er any'!Q12</f>
        <v>0</v>
      </c>
      <c r="E12" s="601">
        <f>+Càlculs!N18</f>
        <v>0</v>
      </c>
      <c r="F12" s="602">
        <f>+Càlculs!N44</f>
        <v>0</v>
      </c>
      <c r="G12" s="4"/>
      <c r="H12" s="558" t="s">
        <v>183</v>
      </c>
      <c r="I12" s="559"/>
      <c r="J12" s="572">
        <f>+'Resultats 1er any'!Q37</f>
        <v>13234.333333333334</v>
      </c>
      <c r="K12" s="563">
        <f>Càlculs!E233+Càlculs!E207</f>
        <v>13234.333333333332</v>
      </c>
      <c r="L12" s="560">
        <f>Càlculs!F233+Càlculs!F207</f>
        <v>13234.333333333332</v>
      </c>
      <c r="M12" s="497"/>
      <c r="O12" s="22"/>
      <c r="P12" s="22"/>
      <c r="Q12" s="4"/>
      <c r="R12" s="22"/>
    </row>
    <row r="13" spans="2:19" ht="13.5" thickBot="1">
      <c r="B13" s="505"/>
      <c r="C13" s="603">
        <f>+Ingressos!U48</f>
        <v>0</v>
      </c>
      <c r="D13" s="601">
        <f>+'Resultats 1er any'!Q13</f>
        <v>0</v>
      </c>
      <c r="E13" s="601">
        <f>+Càlculs!N19</f>
        <v>0</v>
      </c>
      <c r="F13" s="602">
        <f>+Càlculs!N45</f>
        <v>0</v>
      </c>
      <c r="G13" s="13"/>
      <c r="H13" s="562" t="s">
        <v>177</v>
      </c>
      <c r="I13" s="559"/>
      <c r="J13" s="572">
        <f>+D23</f>
        <v>547.60367199999769</v>
      </c>
      <c r="K13" s="563">
        <f>E23</f>
        <v>3028.1973224679987</v>
      </c>
      <c r="L13" s="560">
        <f>F23</f>
        <v>3208.8693823775684</v>
      </c>
      <c r="M13" s="497"/>
      <c r="Q13" s="4"/>
      <c r="R13" s="22"/>
    </row>
    <row r="14" spans="2:19" ht="13.5" thickBot="1">
      <c r="B14" s="505"/>
      <c r="C14" s="632" t="s">
        <v>171</v>
      </c>
      <c r="D14" s="638">
        <f>D9-D10-D11-D12-D13</f>
        <v>91939.024479999993</v>
      </c>
      <c r="E14" s="638">
        <f>E9-E10-E11-E12-E13</f>
        <v>120118.33548311998</v>
      </c>
      <c r="F14" s="639">
        <f>F9-F10-F11-F12-F13</f>
        <v>135205.1984197998</v>
      </c>
      <c r="H14" s="632" t="s">
        <v>184</v>
      </c>
      <c r="I14" s="634"/>
      <c r="J14" s="642">
        <f>SUM(J9:J13)</f>
        <v>54359.397519999991</v>
      </c>
      <c r="K14" s="643">
        <f>SUM(K9:K13)</f>
        <v>24692.015382727986</v>
      </c>
      <c r="L14" s="644">
        <f>SUM(L9:L13)</f>
        <v>38237.051443731878</v>
      </c>
      <c r="M14" s="497"/>
      <c r="Q14" s="4"/>
      <c r="R14" s="4"/>
      <c r="S14" s="1"/>
    </row>
    <row r="15" spans="2:19">
      <c r="B15" s="505"/>
      <c r="C15" s="604" t="s">
        <v>243</v>
      </c>
      <c r="D15" s="578">
        <f>'Resultats 1er any'!Q15</f>
        <v>0</v>
      </c>
      <c r="E15" s="578">
        <f>Càlculs!N24</f>
        <v>0</v>
      </c>
      <c r="F15" s="565">
        <f>Càlculs!N50</f>
        <v>0</v>
      </c>
      <c r="H15" s="558" t="s">
        <v>185</v>
      </c>
      <c r="I15" s="563">
        <f>+'Inversió inicial'!M11</f>
        <v>55000</v>
      </c>
      <c r="J15" s="572">
        <f>+'Resultats 1er any'!Q40</f>
        <v>55000</v>
      </c>
      <c r="K15" s="630"/>
      <c r="L15" s="631"/>
      <c r="M15" s="497"/>
      <c r="Q15" s="4"/>
      <c r="R15" s="4"/>
      <c r="S15" s="1"/>
    </row>
    <row r="16" spans="2:19">
      <c r="B16" s="505"/>
      <c r="C16" s="604" t="s">
        <v>172</v>
      </c>
      <c r="D16" s="601">
        <f>'Resultats 1er any'!Q16</f>
        <v>41424</v>
      </c>
      <c r="E16" s="601">
        <f>'Despeses fixes'!I12*(1+Ingressos!P46)*12</f>
        <v>58153.319999999992</v>
      </c>
      <c r="F16" s="602">
        <f>'Despeses fixes'!L12*(1+Ingressos!P46)*(1+Ingressos!Q46)*12</f>
        <v>70249.258799999996</v>
      </c>
      <c r="H16" s="561" t="s">
        <v>243</v>
      </c>
      <c r="I16" s="563"/>
      <c r="J16" s="572"/>
      <c r="K16" s="577"/>
      <c r="L16" s="580"/>
      <c r="M16" s="497"/>
      <c r="Q16" s="4"/>
      <c r="R16" s="4"/>
      <c r="S16" s="1"/>
    </row>
    <row r="17" spans="2:19">
      <c r="B17" s="505"/>
      <c r="C17" s="561" t="s">
        <v>143</v>
      </c>
      <c r="D17" s="601">
        <f>'Resultats 1er any'!Q17</f>
        <v>0</v>
      </c>
      <c r="E17" s="601">
        <f>'Despeses fixes'!I16*(1+Ingressos!P46)*12</f>
        <v>0</v>
      </c>
      <c r="F17" s="602">
        <f>'Despeses fixes'!L16*(1+Ingressos!P46)*(1+Ingressos!Q46)*12</f>
        <v>0</v>
      </c>
      <c r="H17" s="558" t="s">
        <v>248</v>
      </c>
      <c r="I17" s="563">
        <f>+'Inversió inicial'!M23</f>
        <v>35000</v>
      </c>
      <c r="J17" s="572">
        <f>+'Resultats 1er any'!Q42</f>
        <v>35000</v>
      </c>
      <c r="K17" s="577"/>
      <c r="L17" s="580"/>
      <c r="M17" s="497"/>
      <c r="Q17" s="4"/>
      <c r="R17" s="4"/>
      <c r="S17" s="1"/>
    </row>
    <row r="18" spans="2:19">
      <c r="B18" s="505"/>
      <c r="C18" s="604" t="s">
        <v>144</v>
      </c>
      <c r="D18" s="578">
        <f>'Resultats 1er any'!Q18</f>
        <v>31760.000000000007</v>
      </c>
      <c r="E18" s="578">
        <f>'Despeses fixes'!I17*(1+Ingressos!P46)*12</f>
        <v>26672.699999999993</v>
      </c>
      <c r="F18" s="565">
        <f>'Despeses fixes'!L17*(1+Ingressos!P46)*(1+Ingressos!Q46)*12</f>
        <v>28553.406749999991</v>
      </c>
      <c r="H18" s="558" t="s">
        <v>235</v>
      </c>
      <c r="I18" s="563">
        <f>'Inversió inicial'!D19+'Inversió inicial'!H19</f>
        <v>78051.05</v>
      </c>
      <c r="J18" s="572">
        <f>+'Resultats 1er any'!Q43</f>
        <v>78051.05</v>
      </c>
      <c r="K18" s="577"/>
      <c r="L18" s="580"/>
      <c r="M18" s="497"/>
      <c r="Q18" s="4"/>
      <c r="R18" s="4"/>
      <c r="S18" s="1"/>
    </row>
    <row r="19" spans="2:19">
      <c r="B19" s="505"/>
      <c r="C19" s="609" t="s">
        <v>193</v>
      </c>
      <c r="D19" s="605">
        <f>+'Resultats 1er any'!Q19</f>
        <v>13234.333333333334</v>
      </c>
      <c r="E19" s="605">
        <f>+Càlculs!N26</f>
        <v>13234.333333333334</v>
      </c>
      <c r="F19" s="606">
        <f>+Càlculs!N52</f>
        <v>13234.333333333334</v>
      </c>
      <c r="H19" s="561" t="s">
        <v>186</v>
      </c>
      <c r="I19" s="559">
        <f>'Inversió inicial'!D27+'Inversió inicial'!H27</f>
        <v>0</v>
      </c>
      <c r="J19" s="572">
        <f>+'Resultats 1er any'!Q44</f>
        <v>28000</v>
      </c>
      <c r="K19" s="581"/>
      <c r="L19" s="582"/>
      <c r="M19" s="497"/>
      <c r="Q19" s="4"/>
      <c r="R19" s="4"/>
      <c r="S19" s="1"/>
    </row>
    <row r="20" spans="2:19">
      <c r="B20" s="505"/>
      <c r="C20" s="524" t="s">
        <v>174</v>
      </c>
      <c r="D20" s="640">
        <f>+D14+D15-D16-D17-D18-D19</f>
        <v>5520.6911466666515</v>
      </c>
      <c r="E20" s="640">
        <f>+E14+E15-E16-E17-E18-E19</f>
        <v>22057.982149786658</v>
      </c>
      <c r="F20" s="641">
        <f>+F14+F15-F16-F17-F18-F19</f>
        <v>23168.199536466469</v>
      </c>
      <c r="H20" s="558" t="s">
        <v>252</v>
      </c>
      <c r="I20" s="564"/>
      <c r="J20" s="573">
        <f>'Resultats 1er any'!Q45</f>
        <v>1113</v>
      </c>
      <c r="K20" s="564"/>
      <c r="L20" s="567"/>
      <c r="M20" s="497"/>
      <c r="Q20" s="4"/>
      <c r="R20" s="4"/>
      <c r="S20" s="1"/>
    </row>
    <row r="21" spans="2:19">
      <c r="B21" s="505"/>
      <c r="C21" s="518" t="s">
        <v>175</v>
      </c>
      <c r="D21" s="519">
        <f>+'Resultats 1er any'!Q21</f>
        <v>1869.9999999999998</v>
      </c>
      <c r="E21" s="519">
        <f>+Càlculs!N29</f>
        <v>1869.9999999999998</v>
      </c>
      <c r="F21" s="520">
        <f>+Càlculs!N55</f>
        <v>1775.7369872826796</v>
      </c>
      <c r="H21" s="561" t="s">
        <v>187</v>
      </c>
      <c r="I21" s="559"/>
      <c r="J21" s="572">
        <f>+Càlculs!D85+Càlculs!D157</f>
        <v>0</v>
      </c>
      <c r="K21" s="563">
        <f>Càlculs!I85+Càlculs!I112+Càlculs!E210</f>
        <v>0</v>
      </c>
      <c r="L21" s="560">
        <f>Càlculs!N85+Càlculs!N112+Càlculs!O139+Càlculs!F210</f>
        <v>6086.272782439607</v>
      </c>
      <c r="M21" s="497"/>
      <c r="Q21" s="4"/>
      <c r="R21" s="4"/>
      <c r="S21" s="1"/>
    </row>
    <row r="22" spans="2:19">
      <c r="B22" s="505"/>
      <c r="C22" s="524" t="s">
        <v>176</v>
      </c>
      <c r="D22" s="640">
        <f>+D20-D21</f>
        <v>3650.6911466666515</v>
      </c>
      <c r="E22" s="640">
        <f>+E20-E21</f>
        <v>20187.982149786658</v>
      </c>
      <c r="F22" s="641">
        <f>+F20-F21</f>
        <v>21392.462549183791</v>
      </c>
      <c r="H22" s="566" t="s">
        <v>200</v>
      </c>
      <c r="I22" s="563"/>
      <c r="J22" s="572"/>
      <c r="K22" s="563">
        <f>D23</f>
        <v>547.60367199999769</v>
      </c>
      <c r="L22" s="560">
        <f>E23</f>
        <v>3028.1973224679987</v>
      </c>
      <c r="M22" s="497"/>
      <c r="Q22" s="4"/>
      <c r="R22" s="4"/>
      <c r="S22" s="1"/>
    </row>
    <row r="23" spans="2:19" ht="13.5" thickBot="1">
      <c r="B23" s="505"/>
      <c r="C23" s="635" t="s">
        <v>250</v>
      </c>
      <c r="D23" s="636">
        <f>'Resultats 1er any'!Q23</f>
        <v>547.60367199999769</v>
      </c>
      <c r="E23" s="636">
        <f>Càlculs!N31</f>
        <v>3028.1973224679987</v>
      </c>
      <c r="F23" s="637">
        <f>Càlculs!N57</f>
        <v>3208.8693823775684</v>
      </c>
      <c r="H23" s="558" t="s">
        <v>201</v>
      </c>
      <c r="I23" s="564"/>
      <c r="J23" s="574"/>
      <c r="K23" s="578">
        <f>E41</f>
        <v>0</v>
      </c>
      <c r="L23" s="565">
        <f>F41</f>
        <v>0</v>
      </c>
      <c r="M23" s="497"/>
      <c r="Q23" s="4"/>
      <c r="R23" s="4"/>
      <c r="S23" s="1"/>
    </row>
    <row r="24" spans="2:19" ht="13.5" thickBot="1">
      <c r="B24" s="505"/>
      <c r="C24" s="632" t="s">
        <v>247</v>
      </c>
      <c r="D24" s="638">
        <f>D22-D23</f>
        <v>3103.0874746666541</v>
      </c>
      <c r="E24" s="638">
        <f>E22-E23</f>
        <v>17159.784827318661</v>
      </c>
      <c r="F24" s="639">
        <f>+IF(F22&gt;0,F22-F23,F22)</f>
        <v>18183.593166806222</v>
      </c>
      <c r="H24" s="568" t="s">
        <v>202</v>
      </c>
      <c r="I24" s="569"/>
      <c r="J24" s="575"/>
      <c r="K24" s="579">
        <f>IF('Inversió inicial'!G50=0,'Inversió inicial'!H28,'Inversió inicial'!H19)+'Inversió inicial'!H37</f>
        <v>14659.05</v>
      </c>
      <c r="L24" s="570"/>
      <c r="M24" s="497"/>
      <c r="Q24" s="4"/>
      <c r="R24" s="4"/>
      <c r="S24" s="1"/>
    </row>
    <row r="25" spans="2:19" ht="13.5" thickBot="1">
      <c r="B25" s="505"/>
      <c r="C25" s="612"/>
      <c r="D25" s="612"/>
      <c r="E25" s="612"/>
      <c r="F25" s="612"/>
      <c r="H25" s="561" t="s">
        <v>188</v>
      </c>
      <c r="I25" s="563">
        <f>I14+I15+I16+I17-I18-I19-I21-I22</f>
        <v>11948.949999999997</v>
      </c>
      <c r="J25" s="576"/>
      <c r="K25" s="563">
        <f>K14+K15+K17-K18-K19-K21-K22+K24-K23</f>
        <v>38803.461710727992</v>
      </c>
      <c r="L25" s="560">
        <f>L14+L15+L17-L18-L19-L21-L22+L24-L23</f>
        <v>29122.581338824275</v>
      </c>
      <c r="M25" s="497"/>
      <c r="Q25" s="4"/>
      <c r="R25" s="4"/>
      <c r="S25" s="1"/>
    </row>
    <row r="26" spans="2:19" ht="13.5" thickBot="1">
      <c r="B26" s="505"/>
      <c r="C26" s="609" t="s">
        <v>178</v>
      </c>
      <c r="D26" s="610">
        <f>IF(D9=0,0,D14/D9)</f>
        <v>0.48827641641913244</v>
      </c>
      <c r="E26" s="610">
        <f>IF(E9=0,0,E14/E9)</f>
        <v>0.4882764164191325</v>
      </c>
      <c r="F26" s="611">
        <f>IF(F9=0,0,F14/F9)</f>
        <v>0.48827641641913233</v>
      </c>
      <c r="H26" s="558" t="s">
        <v>189</v>
      </c>
      <c r="I26" s="559"/>
      <c r="J26" s="572"/>
      <c r="K26" s="563">
        <f>J27</f>
        <v>37195.347519999996</v>
      </c>
      <c r="L26" s="560">
        <f>+K27</f>
        <v>75998.809230727988</v>
      </c>
      <c r="M26" s="497"/>
      <c r="Q26" s="4"/>
      <c r="R26" s="4"/>
      <c r="S26" s="1"/>
    </row>
    <row r="27" spans="2:19" ht="13.5" thickBot="1">
      <c r="B27" s="505"/>
      <c r="C27" s="529" t="s">
        <v>179</v>
      </c>
      <c r="D27" s="527">
        <f>IF(D9=0,0,D20/D9)</f>
        <v>2.9319685568750163E-2</v>
      </c>
      <c r="E27" s="527">
        <f>IF(E9=0,0,E20/E9)</f>
        <v>8.9664849535386434E-2</v>
      </c>
      <c r="F27" s="528">
        <f>IF(F9=0,0,F20/F9)</f>
        <v>8.3669012558415218E-2</v>
      </c>
      <c r="H27" s="632" t="s">
        <v>190</v>
      </c>
      <c r="I27" s="633"/>
      <c r="J27" s="642">
        <f>J14+J15+J16+J17-J18-J19-J20-J21-J22</f>
        <v>37195.347519999996</v>
      </c>
      <c r="K27" s="643">
        <f>+K25+K26</f>
        <v>75998.809230727988</v>
      </c>
      <c r="L27" s="644">
        <f>+L25+L26</f>
        <v>105121.39056955226</v>
      </c>
      <c r="M27" s="497"/>
      <c r="Q27" s="4"/>
      <c r="R27" s="4"/>
      <c r="S27" s="1"/>
    </row>
    <row r="28" spans="2:19" ht="13.5" thickBot="1">
      <c r="B28" s="505"/>
      <c r="C28" s="530" t="s">
        <v>60</v>
      </c>
      <c r="D28" s="645">
        <f>D20+D19</f>
        <v>18755.024479999985</v>
      </c>
      <c r="E28" s="645">
        <f>E20+E19</f>
        <v>35292.315483119994</v>
      </c>
      <c r="F28" s="646">
        <f>F20+F19</f>
        <v>36402.532869799805</v>
      </c>
      <c r="H28" s="4"/>
      <c r="I28" s="56"/>
      <c r="M28" s="497"/>
      <c r="Q28" s="4"/>
      <c r="R28" s="4"/>
      <c r="S28" s="1"/>
    </row>
    <row r="29" spans="2:19">
      <c r="B29" s="505"/>
      <c r="H29" s="4"/>
      <c r="I29" s="4"/>
      <c r="M29" s="497"/>
      <c r="Q29" s="4"/>
      <c r="R29" s="4"/>
      <c r="S29" s="1"/>
    </row>
    <row r="30" spans="2:19" ht="13.5" thickBot="1">
      <c r="B30" s="505"/>
      <c r="H30" s="4"/>
      <c r="I30" s="19"/>
      <c r="M30" s="497"/>
      <c r="Q30" s="4"/>
      <c r="R30" s="4"/>
      <c r="S30" s="1"/>
    </row>
    <row r="31" spans="2:19" ht="21" thickBot="1">
      <c r="B31" s="505"/>
      <c r="C31" s="720" t="s">
        <v>194</v>
      </c>
      <c r="D31" s="715"/>
      <c r="E31" s="715"/>
      <c r="F31" s="716"/>
      <c r="H31" s="726" t="s">
        <v>203</v>
      </c>
      <c r="I31" s="705"/>
      <c r="J31" s="705"/>
      <c r="K31" s="705"/>
      <c r="L31" s="706"/>
      <c r="M31" s="497"/>
      <c r="O31" s="492"/>
      <c r="Q31" s="4"/>
      <c r="R31" s="4"/>
      <c r="S31" s="1"/>
    </row>
    <row r="32" spans="2:19" ht="21" thickBot="1">
      <c r="B32" s="505"/>
      <c r="C32" s="47"/>
      <c r="D32" s="47"/>
      <c r="E32" s="47"/>
      <c r="F32" s="47"/>
      <c r="H32" s="4"/>
      <c r="I32" s="22"/>
      <c r="J32" s="22"/>
      <c r="K32" s="22"/>
      <c r="L32" s="22"/>
      <c r="M32" s="498"/>
      <c r="N32" s="22"/>
      <c r="Q32" s="4"/>
      <c r="R32" s="4"/>
      <c r="S32" s="1"/>
    </row>
    <row r="33" spans="2:20" ht="12.75" customHeight="1">
      <c r="B33" s="505"/>
      <c r="C33" s="531" t="s">
        <v>195</v>
      </c>
      <c r="D33" s="722">
        <f>IF(D26=0,0,(D16+D17+D18+D19+D21)/D26)</f>
        <v>180816.29659857941</v>
      </c>
      <c r="E33" s="722">
        <f>IF(E26=0,0,(E16+E17+E18+E19+E21)/E26)</f>
        <v>204659.38958549642</v>
      </c>
      <c r="F33" s="724">
        <f>IF(F26=0,0,(F16+F17+F18+F19+F21)/F26)</f>
        <v>233090.79046922494</v>
      </c>
      <c r="H33" s="544"/>
      <c r="I33" s="551"/>
      <c r="J33" s="545"/>
      <c r="K33" s="591" t="s">
        <v>93</v>
      </c>
      <c r="L33" s="590" t="s">
        <v>94</v>
      </c>
      <c r="M33" s="498"/>
      <c r="N33" s="22"/>
      <c r="O33" s="22"/>
      <c r="P33" s="22"/>
      <c r="Q33" s="4"/>
      <c r="R33" s="22"/>
    </row>
    <row r="34" spans="2:20" ht="13.5" thickBot="1">
      <c r="B34" s="505"/>
      <c r="C34" s="532" t="s">
        <v>196</v>
      </c>
      <c r="D34" s="723"/>
      <c r="E34" s="723"/>
      <c r="F34" s="725"/>
      <c r="H34" s="546" t="s">
        <v>79</v>
      </c>
      <c r="I34" s="552"/>
      <c r="J34" s="547"/>
      <c r="K34" s="584"/>
      <c r="L34" s="585"/>
      <c r="M34" s="497"/>
      <c r="O34" s="22"/>
      <c r="P34" s="22"/>
      <c r="Q34" s="4"/>
      <c r="R34" s="22"/>
    </row>
    <row r="35" spans="2:20" ht="15.75" customHeight="1">
      <c r="B35" s="505"/>
      <c r="H35" s="548" t="s">
        <v>96</v>
      </c>
      <c r="I35" s="553"/>
      <c r="J35" s="583"/>
      <c r="K35" s="586"/>
      <c r="L35" s="587"/>
      <c r="M35" s="499"/>
      <c r="N35" s="22"/>
      <c r="Q35" s="4"/>
      <c r="R35" s="22"/>
    </row>
    <row r="36" spans="2:20" ht="12.75" customHeight="1" thickBot="1">
      <c r="B36" s="505"/>
      <c r="H36" s="549" t="s">
        <v>80</v>
      </c>
      <c r="I36" s="554"/>
      <c r="J36" s="550"/>
      <c r="K36" s="588"/>
      <c r="L36" s="589"/>
      <c r="M36" s="498"/>
      <c r="N36" s="22"/>
      <c r="O36" s="22"/>
      <c r="P36" s="22"/>
      <c r="Q36" s="4"/>
      <c r="R36" s="22"/>
      <c r="T36" s="34"/>
    </row>
    <row r="37" spans="2:20">
      <c r="B37" s="505"/>
      <c r="M37" s="498"/>
      <c r="O37" s="22"/>
      <c r="P37" s="22"/>
      <c r="Q37" s="4"/>
    </row>
    <row r="38" spans="2:20" ht="9" customHeight="1" thickBot="1">
      <c r="B38" s="505"/>
      <c r="M38" s="495"/>
      <c r="Q38" s="4"/>
    </row>
    <row r="39" spans="2:20" ht="20.25" customHeight="1" thickBot="1">
      <c r="B39" s="505"/>
      <c r="C39" s="721" t="s">
        <v>91</v>
      </c>
      <c r="D39" s="715"/>
      <c r="E39" s="715"/>
      <c r="F39" s="716"/>
      <c r="H39" s="727" t="s">
        <v>233</v>
      </c>
      <c r="I39" s="715"/>
      <c r="J39" s="715"/>
      <c r="K39" s="715"/>
      <c r="L39" s="716"/>
      <c r="M39" s="495"/>
      <c r="N39" s="4"/>
      <c r="Q39" s="4"/>
    </row>
    <row r="40" spans="2:20" ht="21" customHeight="1" thickBot="1">
      <c r="B40" s="505"/>
      <c r="H40" s="47"/>
      <c r="I40" s="47"/>
      <c r="J40" s="47"/>
      <c r="K40" s="47"/>
      <c r="L40" s="47"/>
      <c r="M40" s="500"/>
      <c r="N40" s="7"/>
      <c r="O40" s="4"/>
      <c r="P40" s="4"/>
      <c r="Q40" s="4"/>
    </row>
    <row r="41" spans="2:20" ht="12.75" customHeight="1">
      <c r="B41" s="505"/>
      <c r="C41" s="533" t="s">
        <v>197</v>
      </c>
      <c r="D41" s="534"/>
      <c r="E41" s="535">
        <f>IF(D23=0,0,D24*'Inversió inicial'!Q43)</f>
        <v>0</v>
      </c>
      <c r="F41" s="536">
        <f>IF(E23=0,0,E24*'Inversió inicial'!R43)</f>
        <v>0</v>
      </c>
      <c r="H41" s="541"/>
      <c r="I41" s="543"/>
      <c r="J41" s="595" t="s">
        <v>126</v>
      </c>
      <c r="K41" s="595" t="s">
        <v>93</v>
      </c>
      <c r="L41" s="597" t="s">
        <v>94</v>
      </c>
      <c r="M41" s="495"/>
      <c r="N41" s="7"/>
      <c r="O41" s="7"/>
      <c r="P41" s="4"/>
      <c r="Q41" s="4"/>
    </row>
    <row r="42" spans="2:20" ht="13.5" thickBot="1">
      <c r="B42" s="507"/>
      <c r="C42" s="537" t="s">
        <v>198</v>
      </c>
      <c r="D42" s="538"/>
      <c r="E42" s="539">
        <f>D24-E41</f>
        <v>3103.0874746666541</v>
      </c>
      <c r="F42" s="540">
        <f>E24-F41</f>
        <v>17159.784827318661</v>
      </c>
      <c r="H42" s="542" t="s">
        <v>80</v>
      </c>
      <c r="I42" s="592"/>
      <c r="J42" s="593"/>
      <c r="K42" s="594"/>
      <c r="L42" s="596"/>
      <c r="M42" s="498"/>
      <c r="N42" s="22"/>
      <c r="O42" s="7"/>
      <c r="P42" s="4"/>
      <c r="Q42" s="4"/>
    </row>
    <row r="43" spans="2:20" s="22" customFormat="1">
      <c r="B43" s="508"/>
      <c r="C43" s="501"/>
      <c r="D43" s="501"/>
      <c r="E43" s="501"/>
      <c r="F43" s="501"/>
      <c r="G43" s="501"/>
      <c r="H43" s="502"/>
      <c r="I43" s="502"/>
      <c r="J43" s="502"/>
      <c r="K43" s="502"/>
      <c r="L43" s="502"/>
      <c r="M43" s="503"/>
      <c r="Q43" s="4"/>
    </row>
    <row r="44" spans="2:20" s="22" customFormat="1">
      <c r="B44" s="32"/>
      <c r="C44" s="32"/>
      <c r="D44" s="32"/>
      <c r="E44" s="32"/>
      <c r="F44" s="32"/>
      <c r="G44" s="32"/>
      <c r="H44" s="8"/>
      <c r="I44" s="8"/>
      <c r="J44" s="8"/>
      <c r="K44" s="8"/>
      <c r="L44" s="8"/>
      <c r="M44" s="32"/>
      <c r="Q44" s="4"/>
    </row>
    <row r="45" spans="2:20" s="22" customFormat="1">
      <c r="D45" s="4"/>
      <c r="E45" s="4"/>
      <c r="F45" s="4"/>
      <c r="G45" s="4"/>
      <c r="H45" s="4"/>
      <c r="I45" s="4"/>
      <c r="J45" s="4"/>
      <c r="K45" s="4"/>
      <c r="L45" s="4"/>
      <c r="Q45" s="4"/>
    </row>
    <row r="46" spans="2:20" s="22" customFormat="1" ht="13.5" customHeight="1">
      <c r="G46" s="4"/>
      <c r="H46" s="4"/>
      <c r="I46" s="4"/>
      <c r="J46" s="4"/>
      <c r="K46" s="4"/>
      <c r="L46" s="4"/>
      <c r="O46" s="7"/>
      <c r="P46" s="4"/>
      <c r="Q46" s="4"/>
    </row>
    <row r="47" spans="2:20" s="22" customFormat="1">
      <c r="G47" s="4"/>
      <c r="H47" s="4"/>
      <c r="I47" s="4"/>
      <c r="J47" s="4"/>
      <c r="K47" s="4"/>
      <c r="L47" s="4"/>
      <c r="M47" s="4"/>
      <c r="N47" s="7"/>
      <c r="O47" s="7"/>
      <c r="P47" s="4"/>
      <c r="Q47" s="4"/>
    </row>
    <row r="48" spans="2:20" s="22" customFormat="1">
      <c r="O48" s="7"/>
      <c r="P48" s="4"/>
      <c r="Q48" s="4"/>
    </row>
    <row r="49" s="22" customFormat="1"/>
    <row r="50" s="22" customFormat="1"/>
    <row r="51" s="22" customFormat="1"/>
    <row r="52" s="22" customFormat="1"/>
    <row r="53" s="22" customFormat="1"/>
    <row r="54" s="22" customFormat="1"/>
    <row r="55" s="22" customFormat="1"/>
    <row r="56" s="22" customFormat="1"/>
    <row r="57" s="22" customFormat="1"/>
    <row r="58" s="22" customFormat="1"/>
    <row r="59" s="22" customFormat="1"/>
    <row r="60" s="22" customFormat="1"/>
    <row r="61" s="22" customFormat="1"/>
    <row r="62" s="22" customFormat="1"/>
    <row r="63" s="22" customFormat="1"/>
    <row r="64" s="22" customFormat="1"/>
    <row r="65" s="22" customFormat="1"/>
    <row r="66" s="22" customFormat="1"/>
    <row r="67" s="22" customFormat="1"/>
    <row r="68" s="22" customFormat="1"/>
    <row r="69" s="22" customFormat="1"/>
    <row r="70" s="22" customFormat="1"/>
    <row r="71" s="22" customFormat="1"/>
    <row r="72" s="22" customFormat="1"/>
    <row r="73" s="22" customFormat="1"/>
    <row r="74" s="22" customFormat="1"/>
    <row r="75" s="22" customFormat="1"/>
    <row r="76" s="22" customFormat="1"/>
    <row r="77" s="22" customFormat="1"/>
    <row r="78" s="22" customFormat="1"/>
    <row r="79" s="22" customFormat="1"/>
    <row r="80" s="22" customFormat="1"/>
    <row r="81" s="22" customFormat="1"/>
    <row r="82" s="22" customFormat="1"/>
    <row r="83" s="22" customFormat="1"/>
    <row r="84" s="22" customFormat="1"/>
    <row r="85" s="22" customFormat="1"/>
    <row r="86" s="22" customFormat="1"/>
    <row r="87" s="22" customFormat="1"/>
    <row r="88" s="22" customFormat="1"/>
    <row r="89" s="22" customFormat="1"/>
    <row r="90" s="22" customFormat="1"/>
    <row r="91" s="22" customFormat="1"/>
    <row r="92" s="22" customFormat="1"/>
    <row r="93" s="22" customFormat="1"/>
    <row r="94" s="22" customFormat="1"/>
    <row r="95" s="22" customFormat="1"/>
    <row r="96" s="22" customFormat="1"/>
    <row r="97" s="22" customFormat="1"/>
    <row r="98" s="22" customFormat="1"/>
    <row r="99" s="22" customFormat="1"/>
    <row r="100" s="22" customFormat="1"/>
    <row r="101" s="22" customFormat="1"/>
    <row r="102" s="22" customFormat="1"/>
    <row r="103" s="22" customFormat="1"/>
    <row r="104" s="22" customFormat="1"/>
    <row r="105" s="22" customFormat="1"/>
    <row r="106" s="22" customFormat="1"/>
    <row r="107" s="22" customFormat="1"/>
    <row r="108" s="22" customFormat="1"/>
    <row r="109" s="22" customFormat="1"/>
    <row r="110" s="22" customFormat="1"/>
    <row r="111" s="22" customFormat="1"/>
    <row r="112" s="22" customFormat="1"/>
    <row r="113" s="22" customFormat="1"/>
    <row r="114" s="22" customFormat="1"/>
    <row r="115" s="22" customFormat="1"/>
    <row r="116" s="22" customFormat="1"/>
    <row r="117" s="22" customFormat="1"/>
    <row r="118" s="22" customFormat="1"/>
    <row r="119" s="22" customFormat="1"/>
    <row r="120" s="22" customFormat="1"/>
    <row r="121" s="22" customFormat="1"/>
    <row r="122" s="22" customFormat="1"/>
    <row r="123" s="22" customFormat="1"/>
    <row r="124" s="22" customFormat="1"/>
    <row r="125" s="22" customFormat="1"/>
    <row r="126" s="22" customFormat="1"/>
    <row r="127" s="22" customFormat="1"/>
    <row r="128" s="22" customFormat="1"/>
    <row r="129" spans="2:14" s="22" customFormat="1"/>
    <row r="130" spans="2:14" s="22" customFormat="1"/>
    <row r="131" spans="2:14" s="22" customFormat="1"/>
    <row r="132" spans="2:14" s="22" customFormat="1"/>
    <row r="133" spans="2:14" s="22" customFormat="1"/>
    <row r="134" spans="2:14" s="22" customFormat="1"/>
    <row r="135" spans="2:14" s="22" customFormat="1"/>
    <row r="136" spans="2:14" s="22" customFormat="1"/>
    <row r="137" spans="2:14" s="22" customFormat="1"/>
    <row r="138" spans="2:14" s="22" customFormat="1"/>
    <row r="139" spans="2:14" s="22" customFormat="1"/>
    <row r="140" spans="2:14" s="22" customFormat="1"/>
    <row r="141" spans="2:14" s="22" customFormat="1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</row>
    <row r="142" spans="2:14" s="4" customFormat="1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</row>
    <row r="143" spans="2:14" s="22" customFormat="1"/>
    <row r="144" spans="2:14" s="22" customFormat="1"/>
    <row r="145" spans="39:42" s="22" customFormat="1"/>
    <row r="146" spans="39:42" s="22" customFormat="1"/>
    <row r="147" spans="39:42" s="22" customFormat="1"/>
    <row r="148" spans="39:42" s="22" customFormat="1"/>
    <row r="149" spans="39:42" s="22" customFormat="1"/>
    <row r="150" spans="39:42" s="22" customFormat="1"/>
    <row r="151" spans="39:42" s="22" customFormat="1"/>
    <row r="152" spans="39:42" s="22" customFormat="1"/>
    <row r="153" spans="39:42" s="22" customFormat="1"/>
    <row r="154" spans="39:42" s="22" customFormat="1">
      <c r="AM154" s="33"/>
      <c r="AN154" s="33"/>
      <c r="AO154" s="33"/>
      <c r="AP154" s="33"/>
    </row>
    <row r="155" spans="39:42" s="22" customFormat="1"/>
    <row r="156" spans="39:42" s="22" customFormat="1"/>
    <row r="157" spans="39:42" s="22" customFormat="1"/>
    <row r="158" spans="39:42" s="22" customFormat="1"/>
    <row r="159" spans="39:42" s="22" customFormat="1"/>
    <row r="160" spans="39:42" s="22" customFormat="1"/>
    <row r="161" spans="2:14" s="22" customFormat="1"/>
    <row r="162" spans="2:14" s="22" customFormat="1"/>
    <row r="163" spans="2:14" s="22" customFormat="1"/>
    <row r="164" spans="2:14" s="22" customFormat="1"/>
    <row r="165" spans="2:14" s="22" customFormat="1"/>
    <row r="166" spans="2:14" s="22" customFormat="1"/>
    <row r="167" spans="2:14" s="22" customFormat="1"/>
    <row r="168" spans="2:14" s="22" customFormat="1"/>
    <row r="169" spans="2:14" s="22" customFormat="1"/>
    <row r="170" spans="2:14" s="22" customFormat="1">
      <c r="B170"/>
      <c r="C170"/>
      <c r="D170"/>
      <c r="E170"/>
      <c r="F170"/>
      <c r="G170"/>
      <c r="H170"/>
      <c r="I170"/>
      <c r="J170"/>
      <c r="K170"/>
      <c r="L170"/>
      <c r="M170"/>
      <c r="N170"/>
    </row>
    <row r="245" spans="5:15"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5:15">
      <c r="O246" s="1"/>
    </row>
  </sheetData>
  <sheetProtection password="D3F4" sheet="1" objects="1" scenarios="1"/>
  <mergeCells count="10">
    <mergeCell ref="C3:F3"/>
    <mergeCell ref="C6:F6"/>
    <mergeCell ref="H6:L6"/>
    <mergeCell ref="C31:F31"/>
    <mergeCell ref="C39:F39"/>
    <mergeCell ref="D33:D34"/>
    <mergeCell ref="E33:E34"/>
    <mergeCell ref="F33:F34"/>
    <mergeCell ref="H31:L31"/>
    <mergeCell ref="H39:L39"/>
  </mergeCells>
  <phoneticPr fontId="0" type="noConversion"/>
  <printOptions horizontalCentered="1" verticalCentered="1"/>
  <pageMargins left="0.19685039370078741" right="0" top="0.78740157480314965" bottom="0" header="0" footer="0"/>
  <pageSetup paperSize="9" scale="89" fitToHeight="2" orientation="landscape" horizontalDpi="300" verticalDpi="300" r:id="rId1"/>
  <headerFooter alignWithMargins="0"/>
  <rowBreaks count="1" manualBreakCount="1">
    <brk id="44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2:L41"/>
  <sheetViews>
    <sheetView showGridLines="0" topLeftCell="A11" workbookViewId="0">
      <selection activeCell="D16" sqref="D16"/>
    </sheetView>
  </sheetViews>
  <sheetFormatPr baseColWidth="10" defaultColWidth="11.42578125" defaultRowHeight="12.75"/>
  <cols>
    <col min="1" max="1" width="3.7109375" customWidth="1"/>
    <col min="2" max="2" width="5.5703125" customWidth="1"/>
    <col min="3" max="3" width="36" customWidth="1"/>
    <col min="4" max="7" width="12.7109375" customWidth="1"/>
    <col min="8" max="8" width="5.85546875" customWidth="1"/>
    <col min="9" max="9" width="11.42578125" customWidth="1"/>
    <col min="10" max="10" width="12.28515625" customWidth="1"/>
  </cols>
  <sheetData>
    <row r="2" spans="2:12">
      <c r="B2" s="364"/>
      <c r="C2" s="323"/>
      <c r="D2" s="323"/>
      <c r="E2" s="323"/>
      <c r="F2" s="323"/>
      <c r="G2" s="323"/>
      <c r="H2" s="326"/>
    </row>
    <row r="3" spans="2:12" ht="18">
      <c r="B3" s="327"/>
      <c r="C3" s="731" t="str">
        <f>'Inversió inicial'!C2</f>
        <v xml:space="preserve">EMPRESA: </v>
      </c>
      <c r="D3" s="732"/>
      <c r="E3" s="732"/>
      <c r="F3" s="22"/>
      <c r="G3" s="22"/>
      <c r="H3" s="356"/>
      <c r="I3" s="57"/>
      <c r="J3" s="22"/>
    </row>
    <row r="4" spans="2:12" ht="12.75" customHeight="1">
      <c r="B4" s="327"/>
      <c r="C4" s="22"/>
      <c r="D4" s="22"/>
      <c r="E4" s="22"/>
      <c r="F4" s="22"/>
      <c r="G4" s="22"/>
      <c r="H4" s="356"/>
      <c r="I4" s="22"/>
      <c r="J4" s="22"/>
    </row>
    <row r="5" spans="2:12" ht="12.75" customHeight="1" thickBot="1">
      <c r="B5" s="327"/>
      <c r="C5" s="22"/>
      <c r="D5" s="22"/>
      <c r="E5" s="22"/>
      <c r="F5" s="22"/>
      <c r="G5" s="22"/>
      <c r="H5" s="356"/>
      <c r="I5" s="22"/>
      <c r="J5" s="22"/>
    </row>
    <row r="6" spans="2:12" ht="21" thickBot="1">
      <c r="B6" s="327"/>
      <c r="C6" s="728" t="s">
        <v>204</v>
      </c>
      <c r="D6" s="729"/>
      <c r="E6" s="729"/>
      <c r="F6" s="729"/>
      <c r="G6" s="730"/>
      <c r="H6" s="356"/>
      <c r="I6" s="22"/>
      <c r="J6" s="22"/>
    </row>
    <row r="7" spans="2:12" s="38" customFormat="1" ht="13.5" thickBot="1">
      <c r="B7" s="511"/>
      <c r="H7" s="509"/>
      <c r="J7" s="44"/>
    </row>
    <row r="8" spans="2:12">
      <c r="B8" s="327"/>
      <c r="C8" s="613"/>
      <c r="D8" s="614" t="s">
        <v>31</v>
      </c>
      <c r="E8" s="615" t="s">
        <v>205</v>
      </c>
      <c r="F8" s="615" t="s">
        <v>206</v>
      </c>
      <c r="G8" s="616" t="s">
        <v>207</v>
      </c>
      <c r="H8" s="328"/>
      <c r="J8" s="22"/>
    </row>
    <row r="9" spans="2:12">
      <c r="B9" s="327"/>
      <c r="C9" s="617" t="s">
        <v>231</v>
      </c>
      <c r="D9" s="525">
        <f>'Inversió inicial'!D19+IF('Inversió inicial'!Q15=0,0,'Inversió inicial'!Q11)</f>
        <v>64505</v>
      </c>
      <c r="E9" s="525">
        <f>D9+SUM('Resultats 1er any'!E43:P43)</f>
        <v>64505</v>
      </c>
      <c r="F9" s="525">
        <f>E9+'Resultats a tres anys'!K18+'Resultats a tres anys'!K34</f>
        <v>64505</v>
      </c>
      <c r="G9" s="526">
        <f>F9+'Resultats a tres anys'!L18+'Resultats a tres anys'!L34</f>
        <v>64505</v>
      </c>
      <c r="H9" s="328"/>
      <c r="J9" s="22"/>
      <c r="K9" s="1"/>
      <c r="L9" s="1"/>
    </row>
    <row r="10" spans="2:12">
      <c r="B10" s="327"/>
      <c r="C10" s="618" t="s">
        <v>208</v>
      </c>
      <c r="D10" s="619"/>
      <c r="E10" s="525">
        <f>'Resultats a tres anys'!D19</f>
        <v>13234.333333333334</v>
      </c>
      <c r="F10" s="525">
        <f>E10+'Resultats a tres anys'!E19</f>
        <v>26468.666666666668</v>
      </c>
      <c r="G10" s="526">
        <f>F10+'Resultats a tres anys'!F19</f>
        <v>39703</v>
      </c>
      <c r="H10" s="328"/>
      <c r="J10" s="22"/>
      <c r="K10" s="1"/>
      <c r="L10" s="1"/>
    </row>
    <row r="11" spans="2:12">
      <c r="B11" s="327"/>
      <c r="C11" s="618" t="s">
        <v>232</v>
      </c>
      <c r="D11" s="525">
        <f>D9</f>
        <v>64505</v>
      </c>
      <c r="E11" s="525">
        <f>E9-E10</f>
        <v>51270.666666666664</v>
      </c>
      <c r="F11" s="525">
        <f>F9-F10</f>
        <v>38036.333333333328</v>
      </c>
      <c r="G11" s="526">
        <f>G9-G10</f>
        <v>24802</v>
      </c>
      <c r="H11" s="328"/>
      <c r="J11" s="22"/>
      <c r="K11" s="1"/>
      <c r="L11" s="1"/>
    </row>
    <row r="12" spans="2:12">
      <c r="B12" s="327"/>
      <c r="C12" s="620"/>
      <c r="D12" s="522"/>
      <c r="E12" s="522"/>
      <c r="F12" s="522"/>
      <c r="G12" s="523"/>
      <c r="H12" s="328"/>
      <c r="J12" s="22"/>
      <c r="K12" s="1"/>
      <c r="L12" s="1"/>
    </row>
    <row r="13" spans="2:12">
      <c r="B13" s="327"/>
      <c r="C13" s="620" t="s">
        <v>83</v>
      </c>
      <c r="D13" s="525">
        <f>'Inversió inicial'!D27+IF('Inversió inicial'!G50=0,0,'Inversió inicial'!H27)</f>
        <v>0</v>
      </c>
      <c r="E13" s="525">
        <f>D13+SUM('Resultats 1er any'!E44:P44)</f>
        <v>28000</v>
      </c>
      <c r="F13" s="525">
        <f>E13+'Resultats a tres anys'!K19</f>
        <v>28000</v>
      </c>
      <c r="G13" s="526">
        <f>F13+'Resultats a tres anys'!L19</f>
        <v>28000</v>
      </c>
      <c r="H13" s="328"/>
      <c r="J13" s="22"/>
      <c r="K13" s="1"/>
      <c r="L13" s="1"/>
    </row>
    <row r="14" spans="2:12">
      <c r="B14" s="327"/>
      <c r="C14" s="620" t="s">
        <v>209</v>
      </c>
      <c r="D14" s="619"/>
      <c r="E14" s="525">
        <f>'Resultats a tres anys'!J10*-1</f>
        <v>0</v>
      </c>
      <c r="F14" s="525">
        <f>('Resultats a tres anys'!J10+'Resultats a tres anys'!K10)*-1</f>
        <v>0</v>
      </c>
      <c r="G14" s="526">
        <f>('Resultats a tres anys'!L10*-1)+Balanç!F14</f>
        <v>0</v>
      </c>
      <c r="H14" s="328"/>
      <c r="J14" s="22"/>
      <c r="K14" s="1"/>
      <c r="L14" s="1"/>
    </row>
    <row r="15" spans="2:12">
      <c r="B15" s="327"/>
      <c r="C15" s="618" t="s">
        <v>210</v>
      </c>
      <c r="D15" s="525">
        <f>IF('Inversió inicial'!G50=0,'Inversió inicial'!H28,'Inversió inicial'!H19)</f>
        <v>13546.05</v>
      </c>
      <c r="E15" s="525">
        <f>D15+'Inversió inicial'!H37</f>
        <v>14659.05</v>
      </c>
      <c r="F15" s="525"/>
      <c r="G15" s="526"/>
      <c r="H15" s="328"/>
      <c r="J15" s="22"/>
      <c r="K15" s="1"/>
      <c r="L15" s="1"/>
    </row>
    <row r="16" spans="2:12">
      <c r="B16" s="327"/>
      <c r="C16" s="620" t="s">
        <v>211</v>
      </c>
      <c r="D16" s="525">
        <f>'Resultats 1er any'!D47</f>
        <v>11948.949999999997</v>
      </c>
      <c r="E16" s="525">
        <f>'Resultats a tres anys'!J27</f>
        <v>37195.347519999996</v>
      </c>
      <c r="F16" s="525">
        <f>'Resultats a tres anys'!K27</f>
        <v>75998.809230727988</v>
      </c>
      <c r="G16" s="526">
        <f>'Resultats a tres anys'!L27</f>
        <v>105121.39056955226</v>
      </c>
      <c r="H16" s="328"/>
      <c r="J16" s="22"/>
      <c r="K16" s="1"/>
      <c r="L16" s="1"/>
    </row>
    <row r="17" spans="2:12" ht="13.5" thickBot="1">
      <c r="B17" s="327"/>
      <c r="C17" s="624" t="s">
        <v>245</v>
      </c>
      <c r="D17" s="607">
        <f>SUM(D13:D16)</f>
        <v>25494.999999999996</v>
      </c>
      <c r="E17" s="607">
        <f>SUM(E13:E16)</f>
        <v>79854.397519999999</v>
      </c>
      <c r="F17" s="607">
        <f>SUM(F13:F16)</f>
        <v>103998.80923072799</v>
      </c>
      <c r="G17" s="608">
        <f>SUM(G13:G16)</f>
        <v>133121.39056955226</v>
      </c>
      <c r="H17" s="328"/>
      <c r="J17" s="22"/>
      <c r="K17" s="1"/>
      <c r="L17" s="1"/>
    </row>
    <row r="18" spans="2:12" ht="13.5" thickBot="1">
      <c r="B18" s="327"/>
      <c r="C18" s="628" t="s">
        <v>260</v>
      </c>
      <c r="D18" s="643">
        <f>D11+D17</f>
        <v>90000</v>
      </c>
      <c r="E18" s="643">
        <f>E11+E17</f>
        <v>131125.06418666666</v>
      </c>
      <c r="F18" s="643">
        <f>F11+F17</f>
        <v>142035.14256406133</v>
      </c>
      <c r="G18" s="644">
        <f>G11+G17</f>
        <v>157923.39056955226</v>
      </c>
      <c r="H18" s="328"/>
      <c r="J18" s="22"/>
      <c r="K18" s="1"/>
      <c r="L18" s="1"/>
    </row>
    <row r="19" spans="2:12">
      <c r="B19" s="327"/>
      <c r="C19" s="625" t="s">
        <v>248</v>
      </c>
      <c r="D19" s="626">
        <f>'Inversió inicial'!M23</f>
        <v>35000</v>
      </c>
      <c r="E19" s="626">
        <f>'Resultats a tres anys'!J17</f>
        <v>35000</v>
      </c>
      <c r="F19" s="626">
        <f>E19+'Resultats a tres anys'!K17</f>
        <v>35000</v>
      </c>
      <c r="G19" s="627">
        <f>F19+'Resultats a tres anys'!L17</f>
        <v>35000</v>
      </c>
      <c r="H19" s="328"/>
      <c r="J19" s="22"/>
      <c r="K19" s="1"/>
      <c r="L19" s="1"/>
    </row>
    <row r="20" spans="2:12">
      <c r="B20" s="327"/>
      <c r="C20" s="620" t="s">
        <v>213</v>
      </c>
      <c r="D20" s="619"/>
      <c r="E20" s="525">
        <f>D21</f>
        <v>0</v>
      </c>
      <c r="F20" s="525">
        <f>E20+'Resultats a tres anys'!E42</f>
        <v>3103.0874746666541</v>
      </c>
      <c r="G20" s="526">
        <f>F20+'Resultats a tres anys'!F42</f>
        <v>20262.872301985313</v>
      </c>
      <c r="H20" s="328"/>
      <c r="J20" s="22"/>
      <c r="K20" s="1"/>
      <c r="L20" s="1"/>
    </row>
    <row r="21" spans="2:12" s="39" customFormat="1">
      <c r="B21" s="512"/>
      <c r="C21" s="618" t="s">
        <v>247</v>
      </c>
      <c r="D21" s="525"/>
      <c r="E21" s="525">
        <f>'Resultats a tres anys'!D24</f>
        <v>3103.0874746666541</v>
      </c>
      <c r="F21" s="525">
        <f>'Resultats a tres anys'!E24</f>
        <v>17159.784827318661</v>
      </c>
      <c r="G21" s="526">
        <f>'Resultats a tres anys'!F24</f>
        <v>18183.593166806222</v>
      </c>
      <c r="H21" s="510"/>
      <c r="J21" s="45"/>
      <c r="K21" s="11"/>
      <c r="L21" s="1"/>
    </row>
    <row r="22" spans="2:12">
      <c r="B22" s="327"/>
      <c r="C22" s="620" t="s">
        <v>214</v>
      </c>
      <c r="D22" s="525">
        <f>D19+D21</f>
        <v>35000</v>
      </c>
      <c r="E22" s="525">
        <f>SUM(E19:E21)</f>
        <v>38103.087474666652</v>
      </c>
      <c r="F22" s="525">
        <f>SUM(F19:F21)</f>
        <v>55262.872301985313</v>
      </c>
      <c r="G22" s="526">
        <f>SUM(G19:G21)</f>
        <v>73446.465468791532</v>
      </c>
      <c r="H22" s="328"/>
      <c r="J22" s="22"/>
      <c r="K22" s="1"/>
      <c r="L22" s="1"/>
    </row>
    <row r="23" spans="2:12">
      <c r="B23" s="327"/>
      <c r="C23" s="620"/>
      <c r="D23" s="619"/>
      <c r="E23" s="619"/>
      <c r="F23" s="619"/>
      <c r="G23" s="621"/>
      <c r="H23" s="328"/>
      <c r="J23" s="22"/>
      <c r="K23" s="1"/>
      <c r="L23" s="1"/>
    </row>
    <row r="24" spans="2:12">
      <c r="B24" s="327"/>
      <c r="C24" s="618" t="s">
        <v>215</v>
      </c>
      <c r="D24" s="525">
        <f>'Inversió inicial'!M11+'Inversió inicial'!Q11-Càlculs!D157-Càlculs!D85</f>
        <v>55000</v>
      </c>
      <c r="E24" s="525">
        <f>'Resultats 1er any'!Q40-Càlculs!D85-Càlculs!I85+'Inversió inicial'!Q11-Càlculs!D157-Càlculs!E157</f>
        <v>55000</v>
      </c>
      <c r="F24" s="525">
        <f>E24-Càlculs!N85+'Resultats a tres anys'!K15-Càlculs!I112-Càlculs!N112+'Resultats a tres anys'!K34-Càlculs!E176-Càlculs!F176-Càlculs!F157</f>
        <v>48913.727217560394</v>
      </c>
      <c r="G24" s="526">
        <f>Càlculs!X85+Càlculs!X112+Càlculs!Y139+Càlculs!H161+Càlculs!H180+Càlculs!H199</f>
        <v>42617.265799688139</v>
      </c>
      <c r="H24" s="328"/>
      <c r="J24" s="22"/>
      <c r="K24" s="1"/>
      <c r="L24" s="1"/>
    </row>
    <row r="25" spans="2:12">
      <c r="B25" s="327"/>
      <c r="C25" s="620"/>
      <c r="D25" s="619"/>
      <c r="E25" s="619"/>
      <c r="F25" s="619"/>
      <c r="G25" s="621"/>
      <c r="H25" s="328"/>
      <c r="J25" s="22"/>
      <c r="K25" s="1"/>
      <c r="L25" s="1"/>
    </row>
    <row r="26" spans="2:12">
      <c r="B26" s="327"/>
      <c r="C26" s="618" t="s">
        <v>216</v>
      </c>
      <c r="D26" s="525">
        <f>Càlculs!D157+Càlculs!D85</f>
        <v>0</v>
      </c>
      <c r="E26" s="525">
        <f>Càlculs!I85+Càlculs!E157</f>
        <v>0</v>
      </c>
      <c r="F26" s="525">
        <f>Càlculs!N85+Càlculs!N112+Càlculs!F176+Càlculs!F157</f>
        <v>6086.272782439607</v>
      </c>
      <c r="G26" s="526">
        <f>Càlculs!S85+Càlculs!S112+Càlculs!T139+Càlculs!G157+Càlculs!G176+Càlculs!G195</f>
        <v>6296.4614178722532</v>
      </c>
      <c r="H26" s="328"/>
      <c r="J26" s="22"/>
      <c r="K26" s="1"/>
      <c r="L26" s="1"/>
    </row>
    <row r="27" spans="2:12">
      <c r="B27" s="327"/>
      <c r="C27" s="521"/>
      <c r="D27" s="622"/>
      <c r="E27" s="622"/>
      <c r="F27" s="622"/>
      <c r="G27" s="623"/>
      <c r="H27" s="328"/>
      <c r="J27" s="22"/>
      <c r="K27" s="1"/>
      <c r="L27" s="1"/>
    </row>
    <row r="28" spans="2:12">
      <c r="B28" s="327"/>
      <c r="C28" s="618" t="s">
        <v>217</v>
      </c>
      <c r="D28" s="619"/>
      <c r="E28" s="525">
        <f>'Resultats a tres anys'!D23</f>
        <v>547.60367199999769</v>
      </c>
      <c r="F28" s="525">
        <f>'Resultats a tres anys'!E23</f>
        <v>3028.1973224679987</v>
      </c>
      <c r="G28" s="526">
        <f>'Resultats a tres anys'!F23</f>
        <v>3208.8693823775684</v>
      </c>
      <c r="H28" s="328"/>
      <c r="J28" s="22"/>
      <c r="K28" s="1"/>
      <c r="L28" s="1"/>
    </row>
    <row r="29" spans="2:12">
      <c r="B29" s="327"/>
      <c r="C29" s="620" t="s">
        <v>218</v>
      </c>
      <c r="D29" s="619"/>
      <c r="E29" s="525">
        <f>'Resultats a tres anys'!J11</f>
        <v>37474.373040000006</v>
      </c>
      <c r="F29" s="525">
        <f>'Resultats a tres anys'!J11+'Resultats a tres anys'!K11</f>
        <v>28744.072939607999</v>
      </c>
      <c r="G29" s="526">
        <f>'Resultats a tres anys'!L11+Balanç!F29</f>
        <v>32354.328500822754</v>
      </c>
      <c r="H29" s="328"/>
      <c r="J29" s="22"/>
      <c r="K29" s="1"/>
      <c r="L29" s="1"/>
    </row>
    <row r="30" spans="2:12" ht="13.5" thickBot="1">
      <c r="B30" s="327"/>
      <c r="C30" s="624" t="s">
        <v>246</v>
      </c>
      <c r="D30" s="629"/>
      <c r="E30" s="607">
        <f>E28+E29</f>
        <v>38021.976712000003</v>
      </c>
      <c r="F30" s="607">
        <f>F28+F29</f>
        <v>31772.270262075996</v>
      </c>
      <c r="G30" s="608">
        <f>G28+G29</f>
        <v>35563.197883200322</v>
      </c>
      <c r="H30" s="328"/>
      <c r="J30" s="22"/>
      <c r="K30" s="1"/>
      <c r="L30" s="1"/>
    </row>
    <row r="31" spans="2:12" ht="13.5" thickBot="1">
      <c r="B31" s="327"/>
      <c r="C31" s="628" t="s">
        <v>261</v>
      </c>
      <c r="D31" s="643">
        <f>D22+D24+D26+D30</f>
        <v>90000</v>
      </c>
      <c r="E31" s="643">
        <f>E22+E24+E26+E30</f>
        <v>131125.06418666666</v>
      </c>
      <c r="F31" s="643">
        <f>F22+F24+F26+F30</f>
        <v>142035.14256406133</v>
      </c>
      <c r="G31" s="644">
        <f>G22+G24+G26+G30</f>
        <v>157923.39056955226</v>
      </c>
      <c r="H31" s="328"/>
      <c r="J31" s="22"/>
      <c r="K31" s="1"/>
      <c r="L31" s="1"/>
    </row>
    <row r="32" spans="2:12">
      <c r="B32" s="513"/>
      <c r="C32" s="339"/>
      <c r="D32" s="339"/>
      <c r="E32" s="339"/>
      <c r="F32" s="339"/>
      <c r="G32" s="339"/>
      <c r="H32" s="343"/>
      <c r="J32" s="22"/>
      <c r="K32" s="1"/>
      <c r="L32" s="1"/>
    </row>
    <row r="33" spans="3:12">
      <c r="J33" s="22"/>
      <c r="K33" s="1"/>
      <c r="L33" s="1"/>
    </row>
    <row r="34" spans="3:12">
      <c r="J34" s="22"/>
      <c r="K34" s="1"/>
      <c r="L34" s="1"/>
    </row>
    <row r="35" spans="3:12">
      <c r="J35" s="22"/>
      <c r="K35" s="1"/>
      <c r="L35" s="1"/>
    </row>
    <row r="36" spans="3:12">
      <c r="J36" s="22"/>
    </row>
    <row r="37" spans="3:12" s="39" customFormat="1">
      <c r="J37" s="45"/>
      <c r="K37" s="11"/>
    </row>
    <row r="38" spans="3:12">
      <c r="C38" s="22"/>
      <c r="D38" s="22"/>
      <c r="E38" s="22"/>
      <c r="F38" s="22"/>
      <c r="G38" s="22"/>
      <c r="H38" s="22"/>
      <c r="I38" s="22"/>
      <c r="J38" s="22"/>
    </row>
    <row r="40" spans="3:12">
      <c r="H40" s="1"/>
      <c r="I40" s="1"/>
    </row>
    <row r="41" spans="3:12">
      <c r="H41" s="1"/>
    </row>
  </sheetData>
  <sheetProtection password="D3F4" sheet="1" objects="1" scenarios="1"/>
  <mergeCells count="2">
    <mergeCell ref="C6:G6"/>
    <mergeCell ref="C3:E3"/>
  </mergeCells>
  <phoneticPr fontId="0" type="noConversion"/>
  <printOptions horizontalCentered="1" verticalCentered="1"/>
  <pageMargins left="0" right="0" top="0" bottom="0" header="0" footer="0"/>
  <pageSetup paperSize="9" scale="79" orientation="landscape" horizontalDpi="4294967294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41"/>
  <sheetViews>
    <sheetView workbookViewId="0"/>
  </sheetViews>
  <sheetFormatPr baseColWidth="10" defaultColWidth="11.42578125" defaultRowHeight="12.75"/>
  <cols>
    <col min="1" max="1" width="40.28515625" customWidth="1"/>
    <col min="2" max="5" width="12.7109375" customWidth="1"/>
  </cols>
  <sheetData>
    <row r="1" spans="1:10" ht="18">
      <c r="A1" s="83" t="str">
        <f>'Inversió inicial'!C2</f>
        <v xml:space="preserve">EMPRESA: </v>
      </c>
    </row>
    <row r="2" spans="1:10" ht="12.75" customHeight="1">
      <c r="B2" s="28"/>
    </row>
    <row r="3" spans="1:10" ht="12.75" customHeight="1">
      <c r="G3" s="58"/>
    </row>
    <row r="4" spans="1:10" ht="12.75" customHeight="1" thickBot="1"/>
    <row r="5" spans="1:10" ht="21" thickBot="1">
      <c r="A5" s="733" t="s">
        <v>220</v>
      </c>
      <c r="B5" s="734"/>
      <c r="C5" s="734"/>
      <c r="D5" s="734"/>
      <c r="E5" s="735"/>
      <c r="F5" s="80"/>
      <c r="G5" s="80"/>
    </row>
    <row r="6" spans="1:10" ht="13.5" thickBot="1"/>
    <row r="7" spans="1:10">
      <c r="A7" s="84"/>
      <c r="B7" s="96" t="s">
        <v>31</v>
      </c>
      <c r="C7" s="97" t="s">
        <v>205</v>
      </c>
      <c r="D7" s="97" t="s">
        <v>206</v>
      </c>
      <c r="E7" s="98" t="s">
        <v>207</v>
      </c>
    </row>
    <row r="8" spans="1:10">
      <c r="A8" s="90" t="s">
        <v>221</v>
      </c>
      <c r="B8" s="87"/>
      <c r="C8" s="87"/>
      <c r="D8" s="87"/>
      <c r="E8" s="85"/>
    </row>
    <row r="9" spans="1:10">
      <c r="A9" s="99" t="s">
        <v>249</v>
      </c>
      <c r="B9" s="76"/>
      <c r="C9" s="76">
        <f>'Resultats a tres anys'!D24</f>
        <v>3103.0874746666541</v>
      </c>
      <c r="D9" s="76">
        <f>'Resultats a tres anys'!E24</f>
        <v>17159.784827318661</v>
      </c>
      <c r="E9" s="74">
        <f>'Resultats a tres anys'!F24</f>
        <v>18183.593166806222</v>
      </c>
    </row>
    <row r="10" spans="1:10">
      <c r="A10" s="54" t="s">
        <v>222</v>
      </c>
      <c r="B10" s="76"/>
      <c r="C10" s="76">
        <f>'Resultats a tres anys'!D19</f>
        <v>13234.333333333334</v>
      </c>
      <c r="D10" s="76">
        <f>'Resultats a tres anys'!E19</f>
        <v>13234.333333333334</v>
      </c>
      <c r="E10" s="74">
        <f>'Resultats a tres anys'!F19</f>
        <v>13234.333333333334</v>
      </c>
      <c r="I10" s="1"/>
      <c r="J10" s="1"/>
    </row>
    <row r="11" spans="1:10">
      <c r="A11" s="91" t="s">
        <v>223</v>
      </c>
      <c r="B11" s="82"/>
      <c r="C11" s="82">
        <f>SUM(C9:C10)</f>
        <v>16337.420807999988</v>
      </c>
      <c r="D11" s="82">
        <f>SUM(D9:D10)</f>
        <v>30394.118160651997</v>
      </c>
      <c r="E11" s="81">
        <f>SUM(E9:E10)</f>
        <v>31417.926500139554</v>
      </c>
      <c r="I11" s="1"/>
      <c r="J11" s="1"/>
    </row>
    <row r="12" spans="1:10">
      <c r="A12" s="54" t="s">
        <v>224</v>
      </c>
      <c r="B12" s="76">
        <f>Balanç!D19</f>
        <v>35000</v>
      </c>
      <c r="C12" s="76">
        <f>Balanç!E19-Balanç!D19</f>
        <v>0</v>
      </c>
      <c r="D12" s="76">
        <f>Balanç!F19-Balanç!E19</f>
        <v>0</v>
      </c>
      <c r="E12" s="74">
        <f>Balanç!G19-Balanç!F19</f>
        <v>0</v>
      </c>
      <c r="I12" s="1"/>
      <c r="J12" s="1"/>
    </row>
    <row r="13" spans="1:10">
      <c r="A13" s="54" t="s">
        <v>225</v>
      </c>
      <c r="B13" s="76">
        <f>B32</f>
        <v>55000</v>
      </c>
      <c r="C13" s="76">
        <f>IF(C33&gt;B33,C33-B33,0)</f>
        <v>0</v>
      </c>
      <c r="D13" s="76">
        <f>IF(D33&gt;C33,D33-C33,0)</f>
        <v>0</v>
      </c>
      <c r="E13" s="74">
        <f>IF(E33&gt;D33,E33-D33,0)</f>
        <v>0</v>
      </c>
      <c r="I13" s="1"/>
      <c r="J13" s="1"/>
    </row>
    <row r="14" spans="1:10">
      <c r="A14" s="99" t="s">
        <v>226</v>
      </c>
      <c r="B14" s="76">
        <f>IF(B40&lt;0,-B40,0)</f>
        <v>0</v>
      </c>
      <c r="C14" s="76">
        <f>IF(C40&lt;0,-C40,0)</f>
        <v>0</v>
      </c>
      <c r="D14" s="76">
        <f>IF(D40&lt;0,-D40,0)</f>
        <v>0</v>
      </c>
      <c r="E14" s="74">
        <f>IF(E40&lt;0,-E40,0)</f>
        <v>0</v>
      </c>
      <c r="I14" s="1"/>
      <c r="J14" s="1"/>
    </row>
    <row r="15" spans="1:10">
      <c r="A15" s="92" t="s">
        <v>227</v>
      </c>
      <c r="B15" s="88">
        <f>SUM(B11:B14)</f>
        <v>90000</v>
      </c>
      <c r="C15" s="88">
        <f>SUM(C11:C14)</f>
        <v>16337.420807999988</v>
      </c>
      <c r="D15" s="88">
        <f>SUM(D11:D14)</f>
        <v>30394.118160651997</v>
      </c>
      <c r="E15" s="86">
        <f>SUM(E11:E14)</f>
        <v>31417.926500139554</v>
      </c>
      <c r="I15" s="1"/>
      <c r="J15" s="1"/>
    </row>
    <row r="16" spans="1:10">
      <c r="A16" s="93" t="s">
        <v>228</v>
      </c>
      <c r="B16" s="76"/>
      <c r="C16" s="76"/>
      <c r="D16" s="76"/>
      <c r="E16" s="74"/>
      <c r="I16" s="1"/>
      <c r="J16" s="1"/>
    </row>
    <row r="17" spans="1:10">
      <c r="A17" s="99" t="s">
        <v>236</v>
      </c>
      <c r="B17" s="76">
        <f>Balanç!D9</f>
        <v>64505</v>
      </c>
      <c r="C17" s="76">
        <f>IF(Balanç!E9&gt;Balanç!D9,Balanç!E9-Balanç!D9,0)</f>
        <v>0</v>
      </c>
      <c r="D17" s="76">
        <f>IF(Balanç!F9&gt;Balanç!E9,Balanç!F9-Balanç!E9,0)</f>
        <v>0</v>
      </c>
      <c r="E17" s="74">
        <f>IF(Balanç!G9&gt;Balanç!F9,Balanç!G9-Balanç!F9,0)</f>
        <v>0</v>
      </c>
      <c r="I17" s="1"/>
      <c r="J17" s="1"/>
    </row>
    <row r="18" spans="1:10">
      <c r="A18" s="95" t="s">
        <v>201</v>
      </c>
      <c r="B18" s="79"/>
      <c r="C18" s="79"/>
      <c r="D18" s="76">
        <f>'Resultats a tres anys'!E41</f>
        <v>0</v>
      </c>
      <c r="E18" s="74">
        <f>'Resultats a tres anys'!F41</f>
        <v>0</v>
      </c>
      <c r="I18" s="1"/>
      <c r="J18" s="1"/>
    </row>
    <row r="19" spans="1:10">
      <c r="A19" s="54" t="s">
        <v>225</v>
      </c>
      <c r="B19" s="76"/>
      <c r="C19" s="76">
        <f>IF(B34&gt;C34,B34-C34,0)</f>
        <v>0</v>
      </c>
      <c r="D19" s="76">
        <f>IF(C34&gt;D34,C34-D34,0)</f>
        <v>0</v>
      </c>
      <c r="E19" s="74">
        <f>IF(D34&gt;E34,D34-E34,0)</f>
        <v>6086.2727824396061</v>
      </c>
      <c r="I19" s="1"/>
      <c r="J19" s="1"/>
    </row>
    <row r="20" spans="1:10">
      <c r="A20" s="99" t="s">
        <v>229</v>
      </c>
      <c r="B20" s="76">
        <f>IF(B40&gt;0,B40,0)</f>
        <v>25494.999999999996</v>
      </c>
      <c r="C20" s="76">
        <f>IF(C40&gt;0,C40,0)</f>
        <v>16337.420807999999</v>
      </c>
      <c r="D20" s="76">
        <f>IF(D40&gt;0,D40,0)</f>
        <v>30394.118160651997</v>
      </c>
      <c r="E20" s="74">
        <f>IF(E40&gt;0,E40,0)</f>
        <v>25331.653717699941</v>
      </c>
      <c r="I20" s="1"/>
      <c r="J20" s="1"/>
    </row>
    <row r="21" spans="1:10" ht="13.5" thickBot="1">
      <c r="A21" s="94" t="s">
        <v>230</v>
      </c>
      <c r="B21" s="89">
        <f>SUM(B17:B20)</f>
        <v>90000</v>
      </c>
      <c r="C21" s="89">
        <f>SUM(C17:C20)</f>
        <v>16337.420807999999</v>
      </c>
      <c r="D21" s="89">
        <f>SUM(D17:D20)</f>
        <v>30394.118160651997</v>
      </c>
      <c r="E21" s="77">
        <f>SUM(E17:E20)</f>
        <v>31417.926500139547</v>
      </c>
      <c r="I21" s="1"/>
      <c r="J21" s="1"/>
    </row>
    <row r="22" spans="1:10">
      <c r="I22" s="1"/>
      <c r="J22" s="1"/>
    </row>
    <row r="23" spans="1:10">
      <c r="I23" s="1"/>
      <c r="J23" s="1"/>
    </row>
    <row r="24" spans="1:10" ht="15">
      <c r="A24" s="156" t="s">
        <v>242</v>
      </c>
      <c r="I24" s="1"/>
      <c r="J24" s="1"/>
    </row>
    <row r="25" spans="1:10">
      <c r="I25" s="1"/>
      <c r="J25" s="1"/>
    </row>
    <row r="31" spans="1:10" hidden="1"/>
    <row r="32" spans="1:10" hidden="1">
      <c r="A32" s="60" t="s">
        <v>237</v>
      </c>
      <c r="B32" s="1">
        <f>Balanç!D24+Balanç!D26</f>
        <v>55000</v>
      </c>
      <c r="C32" s="1">
        <f>Balanç!E24+Balanç!E26</f>
        <v>55000</v>
      </c>
      <c r="D32" s="1">
        <f>Balanç!F24+Balanç!F26</f>
        <v>55000</v>
      </c>
      <c r="E32" s="1">
        <f>Balanç!G24+Balanç!G26</f>
        <v>48913.727217560394</v>
      </c>
    </row>
    <row r="33" spans="1:5" hidden="1">
      <c r="A33" s="60" t="s">
        <v>238</v>
      </c>
      <c r="C33" s="1">
        <f>'Resultats 1er any'!Q40-'Resultats 1er any'!D40+Càlculs!D159</f>
        <v>0</v>
      </c>
      <c r="D33" s="1">
        <f>C33+'Resultats a tres anys'!K15+'Resultats a tres anys'!K34+Càlculs!C178</f>
        <v>0</v>
      </c>
      <c r="E33" s="1">
        <f>D33+'Resultats a tres anys'!L15+'Resultats a tres anys'!L34+Càlculs!C197</f>
        <v>0</v>
      </c>
    </row>
    <row r="34" spans="1:5" hidden="1">
      <c r="A34" t="s">
        <v>239</v>
      </c>
      <c r="B34" s="1">
        <f>B32-B33</f>
        <v>55000</v>
      </c>
      <c r="C34" s="1">
        <f>C32-C33</f>
        <v>55000</v>
      </c>
      <c r="D34" s="1">
        <f>D32-D33</f>
        <v>55000</v>
      </c>
      <c r="E34" s="1">
        <f>E32-E33</f>
        <v>48913.727217560394</v>
      </c>
    </row>
    <row r="35" spans="1:5" hidden="1"/>
    <row r="36" spans="1:5" hidden="1"/>
    <row r="37" spans="1:5" hidden="1">
      <c r="A37" t="s">
        <v>212</v>
      </c>
      <c r="B37" s="1">
        <f>Balanç!D13+Balanç!D14+Balanç!D15+Balanç!D16</f>
        <v>25494.999999999996</v>
      </c>
      <c r="C37" s="1">
        <f>Balanç!E13+Balanç!E14+Balanç!E15+Balanç!E16</f>
        <v>79854.397519999999</v>
      </c>
      <c r="D37" s="1">
        <f>Balanç!F13+Balanç!F14+Balanç!F15+Balanç!F16</f>
        <v>103998.80923072799</v>
      </c>
      <c r="E37" s="1">
        <f>Balanç!G13+Balanç!G14+Balanç!G15+Balanç!G16</f>
        <v>133121.39056955226</v>
      </c>
    </row>
    <row r="38" spans="1:5" hidden="1">
      <c r="A38" t="s">
        <v>219</v>
      </c>
      <c r="B38" s="1">
        <f>Balanç!D28+Balanç!D29</f>
        <v>0</v>
      </c>
      <c r="C38" s="1">
        <f>Balanç!E28+Balanç!E29</f>
        <v>38021.976712000003</v>
      </c>
      <c r="D38" s="1">
        <f>Balanç!F28+Balanç!F29</f>
        <v>31772.270262075996</v>
      </c>
      <c r="E38" s="1">
        <f>Balanç!G28+Balanç!G29</f>
        <v>35563.197883200322</v>
      </c>
    </row>
    <row r="39" spans="1:5" hidden="1">
      <c r="A39" t="s">
        <v>240</v>
      </c>
      <c r="B39" s="1">
        <f>B37-B38</f>
        <v>25494.999999999996</v>
      </c>
      <c r="C39" s="1">
        <f>C37-C38</f>
        <v>41832.420807999995</v>
      </c>
      <c r="D39" s="1">
        <f>D37-D38</f>
        <v>72226.538968651992</v>
      </c>
      <c r="E39" s="1">
        <f>E37-E38</f>
        <v>97558.192686351933</v>
      </c>
    </row>
    <row r="40" spans="1:5" hidden="1">
      <c r="A40" t="s">
        <v>241</v>
      </c>
      <c r="B40" s="1">
        <f>B39</f>
        <v>25494.999999999996</v>
      </c>
      <c r="C40" s="1">
        <f>C39-B39</f>
        <v>16337.420807999999</v>
      </c>
      <c r="D40" s="1">
        <f>D39-C39</f>
        <v>30394.118160651997</v>
      </c>
      <c r="E40" s="1">
        <f>E39-D39</f>
        <v>25331.653717699941</v>
      </c>
    </row>
    <row r="41" spans="1:5" hidden="1"/>
  </sheetData>
  <sheetProtection password="DC6F" sheet="1" objects="1" scenarios="1"/>
  <mergeCells count="1">
    <mergeCell ref="A5:E5"/>
  </mergeCells>
  <phoneticPr fontId="14" type="noConversion"/>
  <printOptions horizontalCentered="1" verticalCentered="1"/>
  <pageMargins left="0.39370078740157483" right="0" top="0" bottom="0" header="0" footer="0"/>
  <pageSetup paperSize="9" orientation="landscape" horizontalDpi="4294967293" verticalDpi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5:AJ241"/>
  <sheetViews>
    <sheetView workbookViewId="0"/>
  </sheetViews>
  <sheetFormatPr baseColWidth="10" defaultColWidth="11.42578125" defaultRowHeight="12.75"/>
  <cols>
    <col min="1" max="1" width="27.42578125" style="104" customWidth="1"/>
    <col min="2" max="36" width="12.7109375" style="104" customWidth="1"/>
    <col min="37" max="16384" width="11.42578125" style="104"/>
  </cols>
  <sheetData>
    <row r="5" spans="1:36">
      <c r="A5" s="101"/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3"/>
      <c r="M5" s="103"/>
      <c r="N5" s="102"/>
      <c r="O5" s="102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  <c r="AJ5" s="101"/>
    </row>
    <row r="6" spans="1:36">
      <c r="A6" s="101"/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3"/>
      <c r="M6" s="103"/>
      <c r="N6" s="102"/>
      <c r="O6" s="102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</row>
    <row r="7" spans="1:36">
      <c r="A7" s="101"/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3"/>
      <c r="M7" s="103"/>
      <c r="N7" s="102"/>
      <c r="O7" s="102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</row>
    <row r="8" spans="1:36">
      <c r="A8" s="101"/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3"/>
      <c r="M8" s="103"/>
      <c r="N8" s="102"/>
      <c r="O8" s="102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</row>
    <row r="9" spans="1:36">
      <c r="A9" s="105" t="s">
        <v>70</v>
      </c>
      <c r="B9" s="102"/>
      <c r="C9" s="102"/>
      <c r="D9" s="102"/>
      <c r="E9" s="102"/>
      <c r="F9" s="102"/>
      <c r="G9" s="102"/>
      <c r="H9" s="102"/>
      <c r="I9" s="102"/>
      <c r="J9" s="102"/>
      <c r="K9" s="102"/>
      <c r="L9" s="103"/>
      <c r="M9" s="103"/>
      <c r="N9" s="106"/>
      <c r="O9" s="102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  <c r="AI9" s="101"/>
      <c r="AJ9" s="101"/>
    </row>
    <row r="10" spans="1:36">
      <c r="A10" s="101"/>
      <c r="B10" s="107">
        <v>1</v>
      </c>
      <c r="C10" s="107">
        <v>2</v>
      </c>
      <c r="D10" s="107">
        <v>3</v>
      </c>
      <c r="E10" s="107">
        <v>4</v>
      </c>
      <c r="F10" s="107">
        <v>5</v>
      </c>
      <c r="G10" s="107">
        <v>6</v>
      </c>
      <c r="H10" s="107">
        <v>7</v>
      </c>
      <c r="I10" s="107">
        <v>8</v>
      </c>
      <c r="J10" s="107">
        <v>9</v>
      </c>
      <c r="K10" s="107">
        <v>10</v>
      </c>
      <c r="L10" s="107">
        <v>11</v>
      </c>
      <c r="M10" s="107">
        <v>12</v>
      </c>
      <c r="N10" s="108" t="s">
        <v>52</v>
      </c>
      <c r="O10" s="109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</row>
    <row r="11" spans="1:36">
      <c r="A11" s="101"/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</row>
    <row r="12" spans="1:36">
      <c r="A12" s="101" t="s">
        <v>6</v>
      </c>
      <c r="B12" s="102">
        <f>+(Ingressos!$P$23/12)*(1+Ingressos!$P$46)</f>
        <v>20500.398859460001</v>
      </c>
      <c r="C12" s="102">
        <f>+(Ingressos!$P$23/12)*(1+Ingressos!$P$46)</f>
        <v>20500.398859460001</v>
      </c>
      <c r="D12" s="102">
        <f>+(Ingressos!$P$23/12)*(1+Ingressos!$P$46)</f>
        <v>20500.398859460001</v>
      </c>
      <c r="E12" s="102">
        <f>+(Ingressos!$P$23/12)*(1+Ingressos!$P$46)</f>
        <v>20500.398859460001</v>
      </c>
      <c r="F12" s="102">
        <f>+(Ingressos!$P$23/12)*(1+Ingressos!$P$46)</f>
        <v>20500.398859460001</v>
      </c>
      <c r="G12" s="102">
        <f>+(Ingressos!$P$23/12)*(1+Ingressos!$P$46)</f>
        <v>20500.398859460001</v>
      </c>
      <c r="H12" s="102">
        <f>+(Ingressos!$P$23/12)*(1+Ingressos!$P$46)</f>
        <v>20500.398859460001</v>
      </c>
      <c r="I12" s="102">
        <f>+(Ingressos!$P$23/12)*(1+Ingressos!$P$46)</f>
        <v>20500.398859460001</v>
      </c>
      <c r="J12" s="102">
        <f>+(Ingressos!$P$23/12)*(1+Ingressos!$P$46)</f>
        <v>20500.398859460001</v>
      </c>
      <c r="K12" s="102">
        <f>+(Ingressos!$P$23/12)*(1+Ingressos!$P$46)</f>
        <v>20500.398859460001</v>
      </c>
      <c r="L12" s="102">
        <f>+(Ingressos!$P$23/12)*(1+Ingressos!$P$46)</f>
        <v>20500.398859460001</v>
      </c>
      <c r="M12" s="102">
        <f>+(Ingressos!$P$23/12)*(1+Ingressos!$P$46)</f>
        <v>20500.398859460001</v>
      </c>
      <c r="N12" s="102">
        <f>SUM(B12:M12)</f>
        <v>246004.78631351996</v>
      </c>
      <c r="O12" s="102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</row>
    <row r="13" spans="1:36">
      <c r="A13" s="101" t="str">
        <f>'Resultats 1er any'!C51</f>
        <v>Cobraments</v>
      </c>
      <c r="B13" s="102">
        <f>B12*Ingressos!$D$46+'Resultats 1er any'!$P$9*Ingressos!$E$46+'Resultats 1er any'!O9*Ingressos!$F$46+'Resultats 1er any'!N9*Ingressos!$G$46+'Resultats 1er any'!M9*Ingressos!$H$46</f>
        <v>20500.398859460001</v>
      </c>
      <c r="C13" s="102">
        <f>C12*Ingressos!$D$46+B12*Ingressos!$E$46+'Resultats 1er any'!P9*Ingressos!$F$46+'Resultats 1er any'!O9*Ingressos!$G$46+'Resultats 1er any'!N9*Ingressos!$H$46</f>
        <v>20500.398859460001</v>
      </c>
      <c r="D13" s="102">
        <f>D12*Ingressos!$D$46+C12*Ingressos!$E$46+B12*Ingressos!$F$46+'Resultats 1er any'!P9*Ingressos!$G$46+'Resultats 1er any'!O9*Ingressos!$H$46</f>
        <v>20500.398859460001</v>
      </c>
      <c r="E13" s="102">
        <f>E12*Ingressos!$D$46+D12*Ingressos!$E$46+C12*Ingressos!$F$46+B12*Ingressos!$G$46+'Resultats 1er any'!P9*Ingressos!$H$46</f>
        <v>20500.398859460001</v>
      </c>
      <c r="F13" s="102">
        <f>F12*Ingressos!$D$46+E12*Ingressos!$E$46+D12*Ingressos!$F$46+C12*Ingressos!$G$46+B12*Ingressos!$H$46</f>
        <v>20500.398859460001</v>
      </c>
      <c r="G13" s="102">
        <f>G12*Ingressos!$D$46+F12*Ingressos!$E$46+E12*Ingressos!$F$46+D12*Ingressos!$G$46+C12*Ingressos!$H$46</f>
        <v>20500.398859460001</v>
      </c>
      <c r="H13" s="102">
        <f>H12*Ingressos!$D$46+G12*Ingressos!$E$46+F12*Ingressos!$F$46+E12*Ingressos!$G$46+D12*Ingressos!$H$46</f>
        <v>20500.398859460001</v>
      </c>
      <c r="I13" s="102">
        <f>I12*Ingressos!$D$46+H12*Ingressos!$E$46+G12*Ingressos!$F$46+F12*Ingressos!$G$46+E12*Ingressos!$H$46</f>
        <v>20500.398859460001</v>
      </c>
      <c r="J13" s="102">
        <f>J12*Ingressos!$D$46+I12*Ingressos!$E$46+H12*Ingressos!$F$46+G12*Ingressos!$G$46+F12*Ingressos!$H$46</f>
        <v>20500.398859460001</v>
      </c>
      <c r="K13" s="102">
        <f>K12*Ingressos!$D$46+J12*Ingressos!$E$46+I12*Ingressos!$F$46+H12*Ingressos!$G$46+G12*Ingressos!$H$46</f>
        <v>20500.398859460001</v>
      </c>
      <c r="L13" s="102">
        <f>L12*Ingressos!$D$46+K12*Ingressos!$E$46+J12*Ingressos!$F$46+I12*Ingressos!$G$46+H12*Ingressos!$H$46</f>
        <v>20500.398859460001</v>
      </c>
      <c r="M13" s="102">
        <f>M12*Ingressos!$D$46+L12*Ingressos!$E$46+K12*Ingressos!$F$46+J12*Ingressos!$G$46+I12*Ingressos!$H$46</f>
        <v>20500.398859460001</v>
      </c>
      <c r="N13" s="102">
        <f>SUM(B13:M13)</f>
        <v>246004.78631351996</v>
      </c>
      <c r="O13" s="102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1"/>
      <c r="AI13" s="101"/>
      <c r="AJ13" s="101"/>
    </row>
    <row r="14" spans="1:36">
      <c r="A14" s="101" t="str">
        <f>'Resultats 1er any'!C52</f>
        <v>Pagaments</v>
      </c>
      <c r="B14" s="102">
        <f>B16*Ingressos!$D$47+'Resultats 1er any'!P10*Ingressos!$E$47+'Resultats 1er any'!O10*Ingressos!$F$47+'Resultats 1er any'!N10*Ingressos!$G$47+'Resultats 1er any'!M10*Ingressos!H47</f>
        <v>12593.096880000003</v>
      </c>
      <c r="C14" s="102">
        <f>C16*Ingressos!$D$47+B16*Ingressos!$E$47+'Resultats 1er any'!P10*Ingressos!$F$47+'Resultats 1er any'!O10*Ingressos!$G$47+'Resultats 1er any'!N10*Ingressos!H47</f>
        <v>13552.491141228002</v>
      </c>
      <c r="D14" s="102">
        <f>D16*Ingressos!$D$47+C16*Ingressos!$E$47+B16*Ingressos!$F$47+'Resultats 1er any'!P10*Ingressos!$G$47+'Resultats 1er any'!O10*Ingressos!H47</f>
        <v>12867.489179063999</v>
      </c>
      <c r="E14" s="102">
        <f>E16*Ingressos!$D$47+D16*Ingressos!$E$47+C16*Ingressos!$F$47+B16*Ingressos!$G$47+'Resultats 1er any'!P10*Ingressos!H47</f>
        <v>11679.373176900001</v>
      </c>
      <c r="F14" s="102">
        <f>F16*Ingressos!$D$47+E16*Ingressos!$E$47+D16*Ingressos!$F$47+C16*Ingressos!$G$47+B16*Ingressos!$H$47</f>
        <v>10490.5375692</v>
      </c>
      <c r="G14" s="102">
        <f>G16*Ingressos!$D$47+F16*Ingressos!$E$47+E16*Ingressos!$F$47+D16*Ingressos!$G$47+C16*Ingressos!$H$47</f>
        <v>10490.5375692</v>
      </c>
      <c r="H14" s="102">
        <f>H16*Ingressos!$D$47+G16*Ingressos!$E$47+F16*Ingressos!$F$47+E16*Ingressos!$G$47+D16*Ingressos!$H$47</f>
        <v>10490.5375692</v>
      </c>
      <c r="I14" s="102">
        <f>I16*Ingressos!$D$47+H16*Ingressos!$E$47+G16*Ingressos!$F$47+F16*Ingressos!$G$47+E16*Ingressos!$H$47</f>
        <v>10490.5375692</v>
      </c>
      <c r="J14" s="102">
        <f>J16*Ingressos!$D$47+I16*Ingressos!$E$47+H16*Ingressos!$F$47+G16*Ingressos!$G$47+F16*Ingressos!$H$47</f>
        <v>10490.5375692</v>
      </c>
      <c r="K14" s="102">
        <f>K16*Ingressos!$D$47+J16*Ingressos!$E$47+I16*Ingressos!$F$47+H16*Ingressos!$G$47+G16*Ingressos!$H$47</f>
        <v>10490.5375692</v>
      </c>
      <c r="L14" s="102">
        <f>L16*Ingressos!$D$47+K16*Ingressos!$E$47+J16*Ingressos!$F$47+I16*Ingressos!$G$47+H16*Ingressos!$H$47</f>
        <v>10490.5375692</v>
      </c>
      <c r="M14" s="102">
        <f>M16*Ingressos!$D$47+L16*Ingressos!$E$47+K16*Ingressos!$F$47+J16*Ingressos!$G$47+I16*Ingressos!$H$47</f>
        <v>10490.5375692</v>
      </c>
      <c r="N14" s="102">
        <f>SUM(B14:M14)</f>
        <v>134616.75093079198</v>
      </c>
      <c r="O14" s="102"/>
      <c r="P14" s="110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</row>
    <row r="15" spans="1:36">
      <c r="A15" s="101"/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</row>
    <row r="16" spans="1:36">
      <c r="A16" s="101" t="s">
        <v>20</v>
      </c>
      <c r="B16" s="102">
        <f>(Ingressos!$W$23/12)*(1+Ingressos!$P$46)</f>
        <v>10490.5375692</v>
      </c>
      <c r="C16" s="102">
        <f>(Ingressos!$W$23/12)*(1+Ingressos!$P$46)</f>
        <v>10490.5375692</v>
      </c>
      <c r="D16" s="102">
        <f>(Ingressos!$W$23/12)*(1+Ingressos!$P$46)</f>
        <v>10490.5375692</v>
      </c>
      <c r="E16" s="102">
        <f>(Ingressos!$W$23/12)*(1+Ingressos!$P$46)</f>
        <v>10490.5375692</v>
      </c>
      <c r="F16" s="102">
        <f>(Ingressos!$W$23/12)*(1+Ingressos!$P$46)</f>
        <v>10490.5375692</v>
      </c>
      <c r="G16" s="102">
        <f>(Ingressos!$W$23/12)*(1+Ingressos!$P$46)</f>
        <v>10490.5375692</v>
      </c>
      <c r="H16" s="102">
        <f>(Ingressos!$W$23/12)*(1+Ingressos!$P$46)</f>
        <v>10490.5375692</v>
      </c>
      <c r="I16" s="102">
        <f>(Ingressos!$W$23/12)*(1+Ingressos!$P$46)</f>
        <v>10490.5375692</v>
      </c>
      <c r="J16" s="102">
        <f>(Ingressos!$W$23/12)*(1+Ingressos!$P$46)</f>
        <v>10490.5375692</v>
      </c>
      <c r="K16" s="102">
        <f>(Ingressos!$W$23/12)*(1+Ingressos!$P$46)</f>
        <v>10490.5375692</v>
      </c>
      <c r="L16" s="102">
        <f>(Ingressos!$W$23/12)*(1+Ingressos!$P$46)</f>
        <v>10490.5375692</v>
      </c>
      <c r="M16" s="102">
        <f>(Ingressos!$W$23/12)*(1+Ingressos!$P$46)</f>
        <v>10490.5375692</v>
      </c>
      <c r="N16" s="102">
        <f>SUM(B16:M16)</f>
        <v>125886.45083039998</v>
      </c>
      <c r="O16" s="102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101"/>
      <c r="AH16" s="101"/>
      <c r="AI16" s="101"/>
      <c r="AJ16" s="101"/>
    </row>
    <row r="17" spans="1:36">
      <c r="A17" s="111">
        <f>+Ingressos!U46</f>
        <v>0</v>
      </c>
      <c r="B17" s="102">
        <f>+B12*Ingressos!$W$46</f>
        <v>0</v>
      </c>
      <c r="C17" s="102">
        <f>+C12*Ingressos!$W$46</f>
        <v>0</v>
      </c>
      <c r="D17" s="102">
        <f>+D12*Ingressos!$W$46</f>
        <v>0</v>
      </c>
      <c r="E17" s="102">
        <f>+E12*Ingressos!$W$46</f>
        <v>0</v>
      </c>
      <c r="F17" s="102">
        <f>+F12*Ingressos!$W$46</f>
        <v>0</v>
      </c>
      <c r="G17" s="102">
        <f>+G12*Ingressos!$W$46</f>
        <v>0</v>
      </c>
      <c r="H17" s="102">
        <f>+H12*Ingressos!$W$46</f>
        <v>0</v>
      </c>
      <c r="I17" s="102">
        <f>+I12*Ingressos!$W$46</f>
        <v>0</v>
      </c>
      <c r="J17" s="102">
        <f>+J12*Ingressos!$W$46</f>
        <v>0</v>
      </c>
      <c r="K17" s="102">
        <f>+K12*Ingressos!$W$46</f>
        <v>0</v>
      </c>
      <c r="L17" s="102">
        <f>+L12*Ingressos!$W$46</f>
        <v>0</v>
      </c>
      <c r="M17" s="102">
        <f>+M12*Ingressos!$W$46</f>
        <v>0</v>
      </c>
      <c r="N17" s="102">
        <f>SUM(B17:M17)</f>
        <v>0</v>
      </c>
      <c r="O17" s="102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101"/>
      <c r="AH17" s="101"/>
      <c r="AI17" s="101"/>
      <c r="AJ17" s="101"/>
    </row>
    <row r="18" spans="1:36">
      <c r="A18" s="111">
        <f>+Ingressos!U47</f>
        <v>0</v>
      </c>
      <c r="B18" s="102">
        <f>+B12*Ingressos!$W$47</f>
        <v>0</v>
      </c>
      <c r="C18" s="102">
        <f>+C12*Ingressos!$W$47</f>
        <v>0</v>
      </c>
      <c r="D18" s="102">
        <f>+D12*Ingressos!$W$47</f>
        <v>0</v>
      </c>
      <c r="E18" s="102">
        <f>+E12*Ingressos!$W$47</f>
        <v>0</v>
      </c>
      <c r="F18" s="102">
        <f>+F12*Ingressos!$W$47</f>
        <v>0</v>
      </c>
      <c r="G18" s="102">
        <f>+G12*Ingressos!$W$47</f>
        <v>0</v>
      </c>
      <c r="H18" s="102">
        <f>+H12*Ingressos!$W$47</f>
        <v>0</v>
      </c>
      <c r="I18" s="102">
        <f>+I12*Ingressos!$W$47</f>
        <v>0</v>
      </c>
      <c r="J18" s="102">
        <f>+J12*Ingressos!$W$47</f>
        <v>0</v>
      </c>
      <c r="K18" s="102">
        <f>+K12*Ingressos!$W$47</f>
        <v>0</v>
      </c>
      <c r="L18" s="102">
        <f>+L12*Ingressos!$W$47</f>
        <v>0</v>
      </c>
      <c r="M18" s="102">
        <f>+M12*Ingressos!$W$47</f>
        <v>0</v>
      </c>
      <c r="N18" s="102">
        <f>SUM(B18:M18)</f>
        <v>0</v>
      </c>
      <c r="O18" s="102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</row>
    <row r="19" spans="1:36">
      <c r="A19" s="111">
        <f>+Ingressos!U48</f>
        <v>0</v>
      </c>
      <c r="B19" s="102">
        <f>+B12*Ingressos!$W$48</f>
        <v>0</v>
      </c>
      <c r="C19" s="102">
        <f>+C12*Ingressos!$W$48</f>
        <v>0</v>
      </c>
      <c r="D19" s="102">
        <f>+D12*Ingressos!$W$48</f>
        <v>0</v>
      </c>
      <c r="E19" s="102">
        <f>+E12*Ingressos!$W$48</f>
        <v>0</v>
      </c>
      <c r="F19" s="102">
        <f>+F12*Ingressos!$W$48</f>
        <v>0</v>
      </c>
      <c r="G19" s="102">
        <f>+G12*Ingressos!$W$48</f>
        <v>0</v>
      </c>
      <c r="H19" s="102">
        <f>+H12*Ingressos!$W$48</f>
        <v>0</v>
      </c>
      <c r="I19" s="102">
        <f>+I12*Ingressos!$W$48</f>
        <v>0</v>
      </c>
      <c r="J19" s="102">
        <f>+J12*Ingressos!$W$48</f>
        <v>0</v>
      </c>
      <c r="K19" s="102">
        <f>+K12*Ingressos!$W$48</f>
        <v>0</v>
      </c>
      <c r="L19" s="102">
        <f>+L12*Ingressos!$W$48</f>
        <v>0</v>
      </c>
      <c r="M19" s="102">
        <f>+M12*Ingressos!$W$48</f>
        <v>0</v>
      </c>
      <c r="N19" s="102">
        <f>SUM(B19:M19)</f>
        <v>0</v>
      </c>
      <c r="O19" s="102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</row>
    <row r="20" spans="1:36">
      <c r="A20" s="101">
        <f>+'Resultats 1er any'!C83</f>
        <v>0</v>
      </c>
      <c r="B20" s="102">
        <f t="shared" ref="B20:M20" si="0">+B16+B17+B18+B19</f>
        <v>10490.5375692</v>
      </c>
      <c r="C20" s="102">
        <f t="shared" si="0"/>
        <v>10490.5375692</v>
      </c>
      <c r="D20" s="102">
        <f t="shared" si="0"/>
        <v>10490.5375692</v>
      </c>
      <c r="E20" s="102">
        <f t="shared" si="0"/>
        <v>10490.5375692</v>
      </c>
      <c r="F20" s="102">
        <f t="shared" si="0"/>
        <v>10490.5375692</v>
      </c>
      <c r="G20" s="102">
        <f t="shared" si="0"/>
        <v>10490.5375692</v>
      </c>
      <c r="H20" s="102">
        <f t="shared" si="0"/>
        <v>10490.5375692</v>
      </c>
      <c r="I20" s="102">
        <f t="shared" si="0"/>
        <v>10490.5375692</v>
      </c>
      <c r="J20" s="102">
        <f t="shared" si="0"/>
        <v>10490.5375692</v>
      </c>
      <c r="K20" s="102">
        <f t="shared" si="0"/>
        <v>10490.5375692</v>
      </c>
      <c r="L20" s="102">
        <f t="shared" si="0"/>
        <v>10490.5375692</v>
      </c>
      <c r="M20" s="102">
        <f t="shared" si="0"/>
        <v>10490.5375692</v>
      </c>
      <c r="N20" s="102">
        <f>SUM(B20:M20)</f>
        <v>125886.45083039998</v>
      </c>
      <c r="O20" s="102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101"/>
      <c r="AH20" s="101"/>
      <c r="AI20" s="101"/>
      <c r="AJ20" s="101"/>
    </row>
    <row r="21" spans="1:36">
      <c r="A21" s="101"/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101"/>
      <c r="AH21" s="101"/>
      <c r="AI21" s="101"/>
      <c r="AJ21" s="101"/>
    </row>
    <row r="22" spans="1:36">
      <c r="A22" s="101" t="s">
        <v>7</v>
      </c>
      <c r="B22" s="102">
        <f t="shared" ref="B22:M22" si="1">+B12-B20</f>
        <v>10009.861290260002</v>
      </c>
      <c r="C22" s="102">
        <f t="shared" si="1"/>
        <v>10009.861290260002</v>
      </c>
      <c r="D22" s="102">
        <f t="shared" si="1"/>
        <v>10009.861290260002</v>
      </c>
      <c r="E22" s="102">
        <f t="shared" si="1"/>
        <v>10009.861290260002</v>
      </c>
      <c r="F22" s="102">
        <f t="shared" si="1"/>
        <v>10009.861290260002</v>
      </c>
      <c r="G22" s="102">
        <f t="shared" si="1"/>
        <v>10009.861290260002</v>
      </c>
      <c r="H22" s="102">
        <f t="shared" si="1"/>
        <v>10009.861290260002</v>
      </c>
      <c r="I22" s="102">
        <f t="shared" si="1"/>
        <v>10009.861290260002</v>
      </c>
      <c r="J22" s="102">
        <f t="shared" si="1"/>
        <v>10009.861290260002</v>
      </c>
      <c r="K22" s="102">
        <f t="shared" si="1"/>
        <v>10009.861290260002</v>
      </c>
      <c r="L22" s="102">
        <f t="shared" si="1"/>
        <v>10009.861290260002</v>
      </c>
      <c r="M22" s="102">
        <f t="shared" si="1"/>
        <v>10009.861290260002</v>
      </c>
      <c r="N22" s="102">
        <f>SUM(B22:M22)</f>
        <v>120118.33548312001</v>
      </c>
      <c r="O22" s="102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</row>
    <row r="23" spans="1:36">
      <c r="A23" s="101" t="s">
        <v>12</v>
      </c>
      <c r="B23" s="112">
        <f t="shared" ref="B23:N23" si="2">IF(B12=0,0,+B22/B12)</f>
        <v>0.48827641641913255</v>
      </c>
      <c r="C23" s="112">
        <f t="shared" si="2"/>
        <v>0.48827641641913255</v>
      </c>
      <c r="D23" s="112">
        <f t="shared" si="2"/>
        <v>0.48827641641913255</v>
      </c>
      <c r="E23" s="112">
        <f t="shared" si="2"/>
        <v>0.48827641641913255</v>
      </c>
      <c r="F23" s="112">
        <f t="shared" si="2"/>
        <v>0.48827641641913255</v>
      </c>
      <c r="G23" s="112">
        <f t="shared" si="2"/>
        <v>0.48827641641913255</v>
      </c>
      <c r="H23" s="112">
        <f t="shared" si="2"/>
        <v>0.48827641641913255</v>
      </c>
      <c r="I23" s="112">
        <f t="shared" si="2"/>
        <v>0.48827641641913255</v>
      </c>
      <c r="J23" s="112">
        <f t="shared" si="2"/>
        <v>0.48827641641913255</v>
      </c>
      <c r="K23" s="112">
        <f t="shared" si="2"/>
        <v>0.48827641641913255</v>
      </c>
      <c r="L23" s="112">
        <f t="shared" si="2"/>
        <v>0.48827641641913255</v>
      </c>
      <c r="M23" s="112">
        <f t="shared" si="2"/>
        <v>0.48827641641913255</v>
      </c>
      <c r="N23" s="112">
        <f t="shared" si="2"/>
        <v>0.48827641641913261</v>
      </c>
      <c r="O23" s="102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</row>
    <row r="24" spans="1:36">
      <c r="A24" s="101" t="s">
        <v>18</v>
      </c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2">
        <f>'Resultats a tres anys'!K16</f>
        <v>0</v>
      </c>
      <c r="N24" s="101">
        <f>SUM(B24:M24)</f>
        <v>0</v>
      </c>
      <c r="O24" s="102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</row>
    <row r="25" spans="1:36">
      <c r="A25" s="101" t="s">
        <v>16</v>
      </c>
      <c r="B25" s="102">
        <f>'Despeses fixes'!I46</f>
        <v>7068.8349999999982</v>
      </c>
      <c r="C25" s="102">
        <f>'Despeses fixes'!I46</f>
        <v>7068.8349999999982</v>
      </c>
      <c r="D25" s="102">
        <f>'Despeses fixes'!I46</f>
        <v>7068.8349999999982</v>
      </c>
      <c r="E25" s="102">
        <f>'Despeses fixes'!I46</f>
        <v>7068.8349999999982</v>
      </c>
      <c r="F25" s="102">
        <f>'Despeses fixes'!I46</f>
        <v>7068.8349999999982</v>
      </c>
      <c r="G25" s="102">
        <f>'Despeses fixes'!I46</f>
        <v>7068.8349999999982</v>
      </c>
      <c r="H25" s="102">
        <f>'Despeses fixes'!I46</f>
        <v>7068.8349999999982</v>
      </c>
      <c r="I25" s="102">
        <f>'Despeses fixes'!I46</f>
        <v>7068.8349999999982</v>
      </c>
      <c r="J25" s="102">
        <f>'Despeses fixes'!I46</f>
        <v>7068.8349999999982</v>
      </c>
      <c r="K25" s="102">
        <f>'Despeses fixes'!I46</f>
        <v>7068.8349999999982</v>
      </c>
      <c r="L25" s="102">
        <f>'Despeses fixes'!I46</f>
        <v>7068.8349999999982</v>
      </c>
      <c r="M25" s="102">
        <f>'Despeses fixes'!I46</f>
        <v>7068.8349999999982</v>
      </c>
      <c r="N25" s="102">
        <f>SUM(B25:M25)</f>
        <v>84826.01999999996</v>
      </c>
      <c r="O25" s="102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</row>
    <row r="26" spans="1:36">
      <c r="A26" s="101" t="s">
        <v>17</v>
      </c>
      <c r="B26" s="102">
        <f>+E233/12+E207/12</f>
        <v>1102.8611111111111</v>
      </c>
      <c r="C26" s="102">
        <f t="shared" ref="C26:M26" si="3">+B26</f>
        <v>1102.8611111111111</v>
      </c>
      <c r="D26" s="102">
        <f t="shared" si="3"/>
        <v>1102.8611111111111</v>
      </c>
      <c r="E26" s="102">
        <f t="shared" si="3"/>
        <v>1102.8611111111111</v>
      </c>
      <c r="F26" s="102">
        <f t="shared" si="3"/>
        <v>1102.8611111111111</v>
      </c>
      <c r="G26" s="102">
        <f t="shared" si="3"/>
        <v>1102.8611111111111</v>
      </c>
      <c r="H26" s="102">
        <f t="shared" si="3"/>
        <v>1102.8611111111111</v>
      </c>
      <c r="I26" s="102">
        <f t="shared" si="3"/>
        <v>1102.8611111111111</v>
      </c>
      <c r="J26" s="102">
        <f t="shared" si="3"/>
        <v>1102.8611111111111</v>
      </c>
      <c r="K26" s="102">
        <f t="shared" si="3"/>
        <v>1102.8611111111111</v>
      </c>
      <c r="L26" s="102">
        <f t="shared" si="3"/>
        <v>1102.8611111111111</v>
      </c>
      <c r="M26" s="102">
        <f t="shared" si="3"/>
        <v>1102.8611111111111</v>
      </c>
      <c r="N26" s="102">
        <f>SUM(B26:M26)</f>
        <v>13234.333333333334</v>
      </c>
      <c r="O26" s="102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</row>
    <row r="27" spans="1:36">
      <c r="A27" s="101" t="s">
        <v>10</v>
      </c>
      <c r="B27" s="113">
        <f t="shared" ref="B27:M27" si="4">+B22+B24-B25-B26</f>
        <v>1838.1651791488923</v>
      </c>
      <c r="C27" s="113">
        <f t="shared" si="4"/>
        <v>1838.1651791488923</v>
      </c>
      <c r="D27" s="113">
        <f t="shared" si="4"/>
        <v>1838.1651791488923</v>
      </c>
      <c r="E27" s="113">
        <f t="shared" si="4"/>
        <v>1838.1651791488923</v>
      </c>
      <c r="F27" s="113">
        <f t="shared" si="4"/>
        <v>1838.1651791488923</v>
      </c>
      <c r="G27" s="113">
        <f t="shared" si="4"/>
        <v>1838.1651791488923</v>
      </c>
      <c r="H27" s="113">
        <f t="shared" si="4"/>
        <v>1838.1651791488923</v>
      </c>
      <c r="I27" s="113">
        <f t="shared" si="4"/>
        <v>1838.1651791488923</v>
      </c>
      <c r="J27" s="113">
        <f t="shared" si="4"/>
        <v>1838.1651791488923</v>
      </c>
      <c r="K27" s="113">
        <f t="shared" si="4"/>
        <v>1838.1651791488923</v>
      </c>
      <c r="L27" s="113">
        <f t="shared" si="4"/>
        <v>1838.1651791488923</v>
      </c>
      <c r="M27" s="113">
        <f t="shared" si="4"/>
        <v>1838.1651791488923</v>
      </c>
      <c r="N27" s="102">
        <f>SUM(B27:M27)</f>
        <v>22057.982149786705</v>
      </c>
      <c r="O27" s="113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</row>
    <row r="28" spans="1:36">
      <c r="A28" s="101" t="s">
        <v>11</v>
      </c>
      <c r="B28" s="112">
        <f t="shared" ref="B28:N28" si="5">IF(B12=0,0,+B27/B12)</f>
        <v>8.9664849535386615E-2</v>
      </c>
      <c r="C28" s="112">
        <f t="shared" si="5"/>
        <v>8.9664849535386615E-2</v>
      </c>
      <c r="D28" s="112">
        <f t="shared" si="5"/>
        <v>8.9664849535386615E-2</v>
      </c>
      <c r="E28" s="112">
        <f t="shared" si="5"/>
        <v>8.9664849535386615E-2</v>
      </c>
      <c r="F28" s="112">
        <f t="shared" si="5"/>
        <v>8.9664849535386615E-2</v>
      </c>
      <c r="G28" s="112">
        <f t="shared" si="5"/>
        <v>8.9664849535386615E-2</v>
      </c>
      <c r="H28" s="112">
        <f t="shared" si="5"/>
        <v>8.9664849535386615E-2</v>
      </c>
      <c r="I28" s="112">
        <f t="shared" si="5"/>
        <v>8.9664849535386615E-2</v>
      </c>
      <c r="J28" s="112">
        <f t="shared" si="5"/>
        <v>8.9664849535386615E-2</v>
      </c>
      <c r="K28" s="112">
        <f t="shared" si="5"/>
        <v>8.9664849535386615E-2</v>
      </c>
      <c r="L28" s="112">
        <f t="shared" si="5"/>
        <v>8.9664849535386615E-2</v>
      </c>
      <c r="M28" s="112">
        <f t="shared" si="5"/>
        <v>8.9664849535386615E-2</v>
      </c>
      <c r="N28" s="112">
        <f t="shared" si="5"/>
        <v>8.9664849535386615E-2</v>
      </c>
      <c r="O28" s="114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</row>
    <row r="29" spans="1:36">
      <c r="A29" s="101" t="s">
        <v>13</v>
      </c>
      <c r="B29" s="102">
        <f>IF(H71&lt;0,0,+H71)+IF(H98&lt;0,0,H98)+E211/12</f>
        <v>155.83333333333334</v>
      </c>
      <c r="C29" s="102">
        <f>IF(H72&lt;0,0,+H72)+IF(H99&lt;0,0,H99)+E211/12</f>
        <v>155.83333333333334</v>
      </c>
      <c r="D29" s="102">
        <f>IF(H73&lt;0,0,+H73)+IF(H100&lt;0,0,H100)+E211/12</f>
        <v>155.83333333333334</v>
      </c>
      <c r="E29" s="102">
        <f>IF(H74&lt;0,0,+H74)+IF(H101&lt;0,0,H101)+E211/12</f>
        <v>155.83333333333334</v>
      </c>
      <c r="F29" s="102">
        <f>IF(H75&lt;0,0,+H75)+IF(H102&lt;0,0,H102)+E211/12</f>
        <v>155.83333333333334</v>
      </c>
      <c r="G29" s="102">
        <f>IF(H76&lt;0,0,+H76)+IF(H103&lt;0,0,H103)+E211/12</f>
        <v>155.83333333333334</v>
      </c>
      <c r="H29" s="102">
        <f>IF(H77&lt;0,0,+H77)+IF(H104&lt;0,0,H104)+E211/12</f>
        <v>155.83333333333334</v>
      </c>
      <c r="I29" s="102">
        <f>IF(H78&lt;0,0,+H78)+IF(H105&lt;0,0,H105)+E211/12</f>
        <v>155.83333333333334</v>
      </c>
      <c r="J29" s="102">
        <f>IF(H79&lt;0,0,+H79)+IF(H106&lt;0,0,H106)+E211/12</f>
        <v>155.83333333333334</v>
      </c>
      <c r="K29" s="102">
        <f>IF(H80&lt;0,0,+H80)+IF(H107&lt;0,0,H107)+E211/12</f>
        <v>155.83333333333334</v>
      </c>
      <c r="L29" s="102">
        <f>IF(H81&lt;0,0,+H81)+IF(H108&lt;0,0,H108)+E211/12</f>
        <v>155.83333333333334</v>
      </c>
      <c r="M29" s="102">
        <f>IF(H82&lt;0,0,+H82)+IF(H109&lt;0,0,H109)+E211/12</f>
        <v>155.83333333333334</v>
      </c>
      <c r="N29" s="102">
        <f>SUM(B29:M29)</f>
        <v>1869.9999999999998</v>
      </c>
      <c r="O29" s="102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</row>
    <row r="30" spans="1:36" ht="13.5" thickBot="1">
      <c r="A30" s="101" t="s">
        <v>14</v>
      </c>
      <c r="B30" s="102">
        <f t="shared" ref="B30:M30" si="6">+B27-B29</f>
        <v>1682.3318458155591</v>
      </c>
      <c r="C30" s="102">
        <f t="shared" si="6"/>
        <v>1682.3318458155591</v>
      </c>
      <c r="D30" s="102">
        <f t="shared" si="6"/>
        <v>1682.3318458155591</v>
      </c>
      <c r="E30" s="102">
        <f t="shared" si="6"/>
        <v>1682.3318458155591</v>
      </c>
      <c r="F30" s="102">
        <f t="shared" si="6"/>
        <v>1682.3318458155591</v>
      </c>
      <c r="G30" s="102">
        <f t="shared" si="6"/>
        <v>1682.3318458155591</v>
      </c>
      <c r="H30" s="102">
        <f t="shared" si="6"/>
        <v>1682.3318458155591</v>
      </c>
      <c r="I30" s="102">
        <f t="shared" si="6"/>
        <v>1682.3318458155591</v>
      </c>
      <c r="J30" s="102">
        <f t="shared" si="6"/>
        <v>1682.3318458155591</v>
      </c>
      <c r="K30" s="102">
        <f t="shared" si="6"/>
        <v>1682.3318458155591</v>
      </c>
      <c r="L30" s="102">
        <f t="shared" si="6"/>
        <v>1682.3318458155591</v>
      </c>
      <c r="M30" s="102">
        <f t="shared" si="6"/>
        <v>1682.3318458155591</v>
      </c>
      <c r="N30" s="102">
        <f>SUM(B30:M30)</f>
        <v>20187.982149786709</v>
      </c>
      <c r="O30" s="102"/>
      <c r="P30" s="101" t="s">
        <v>34</v>
      </c>
      <c r="Q30" s="101" t="s">
        <v>35</v>
      </c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</row>
    <row r="31" spans="1:36" ht="13.5" thickBot="1">
      <c r="A31" s="101" t="s">
        <v>4</v>
      </c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>
        <f>D241</f>
        <v>3028.1973224679987</v>
      </c>
      <c r="O31" s="115"/>
      <c r="P31" s="116">
        <f>'Resultats 1er any'!Q22*'Inversió inicial'!L43</f>
        <v>547.60367200000258</v>
      </c>
      <c r="Q31" s="117">
        <f>N30*'Inversió inicial'!L43</f>
        <v>3028.1973224680064</v>
      </c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</row>
    <row r="32" spans="1:36">
      <c r="A32" s="101" t="s">
        <v>15</v>
      </c>
      <c r="B32" s="102">
        <f t="shared" ref="B32:M32" si="7">+B30-B31</f>
        <v>1682.3318458155591</v>
      </c>
      <c r="C32" s="102">
        <f t="shared" si="7"/>
        <v>1682.3318458155591</v>
      </c>
      <c r="D32" s="102">
        <f t="shared" si="7"/>
        <v>1682.3318458155591</v>
      </c>
      <c r="E32" s="102">
        <f t="shared" si="7"/>
        <v>1682.3318458155591</v>
      </c>
      <c r="F32" s="102">
        <f t="shared" si="7"/>
        <v>1682.3318458155591</v>
      </c>
      <c r="G32" s="102">
        <f t="shared" si="7"/>
        <v>1682.3318458155591</v>
      </c>
      <c r="H32" s="102">
        <f t="shared" si="7"/>
        <v>1682.3318458155591</v>
      </c>
      <c r="I32" s="102">
        <f t="shared" si="7"/>
        <v>1682.3318458155591</v>
      </c>
      <c r="J32" s="102">
        <f t="shared" si="7"/>
        <v>1682.3318458155591</v>
      </c>
      <c r="K32" s="102">
        <f t="shared" si="7"/>
        <v>1682.3318458155591</v>
      </c>
      <c r="L32" s="102">
        <f t="shared" si="7"/>
        <v>1682.3318458155591</v>
      </c>
      <c r="M32" s="102">
        <f t="shared" si="7"/>
        <v>1682.3318458155591</v>
      </c>
      <c r="N32" s="102">
        <f>N30-N31</f>
        <v>17159.784827318712</v>
      </c>
      <c r="O32" s="102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</row>
    <row r="33" spans="1:36">
      <c r="A33" s="101"/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</row>
    <row r="34" spans="1:36">
      <c r="A34" s="101"/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</row>
    <row r="35" spans="1:36">
      <c r="A35" s="105" t="s">
        <v>71</v>
      </c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6"/>
      <c r="O35" s="102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</row>
    <row r="36" spans="1:36">
      <c r="A36" s="101"/>
      <c r="B36" s="107">
        <v>1</v>
      </c>
      <c r="C36" s="107">
        <v>2</v>
      </c>
      <c r="D36" s="107">
        <v>3</v>
      </c>
      <c r="E36" s="107">
        <v>4</v>
      </c>
      <c r="F36" s="107">
        <v>5</v>
      </c>
      <c r="G36" s="107">
        <v>6</v>
      </c>
      <c r="H36" s="107">
        <v>7</v>
      </c>
      <c r="I36" s="107">
        <v>8</v>
      </c>
      <c r="J36" s="107">
        <v>9</v>
      </c>
      <c r="K36" s="107">
        <v>10</v>
      </c>
      <c r="L36" s="107">
        <v>11</v>
      </c>
      <c r="M36" s="107">
        <v>12</v>
      </c>
      <c r="N36" s="108" t="s">
        <v>52</v>
      </c>
      <c r="O36" s="109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</row>
    <row r="37" spans="1:36">
      <c r="A37" s="101"/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</row>
    <row r="38" spans="1:36">
      <c r="A38" s="101" t="s">
        <v>6</v>
      </c>
      <c r="B38" s="102">
        <f>+(Ingressos!$Q$23/12)*(1+Ingressos!$Q$46)</f>
        <v>23075.248956208172</v>
      </c>
      <c r="C38" s="102">
        <f>+(Ingressos!$Q$23/12)*(1+Ingressos!$Q$46)</f>
        <v>23075.248956208172</v>
      </c>
      <c r="D38" s="102">
        <f>+(Ingressos!$Q$23/12)*(1+Ingressos!$Q$46)</f>
        <v>23075.248956208172</v>
      </c>
      <c r="E38" s="102">
        <f>+(Ingressos!$Q$23/12)*(1+Ingressos!$Q$46)</f>
        <v>23075.248956208172</v>
      </c>
      <c r="F38" s="102">
        <f>+(Ingressos!$Q$23/12)*(1+Ingressos!$Q$46)</f>
        <v>23075.248956208172</v>
      </c>
      <c r="G38" s="102">
        <f>+(Ingressos!$Q$23/12)*(1+Ingressos!$Q$46)</f>
        <v>23075.248956208172</v>
      </c>
      <c r="H38" s="102">
        <f>+(Ingressos!$Q$23/12)*(1+Ingressos!$Q$46)</f>
        <v>23075.248956208172</v>
      </c>
      <c r="I38" s="102">
        <f>+(Ingressos!$Q$23/12)*(1+Ingressos!$Q$46)</f>
        <v>23075.248956208172</v>
      </c>
      <c r="J38" s="102">
        <f>+(Ingressos!$Q$23/12)*(1+Ingressos!$Q$46)</f>
        <v>23075.248956208172</v>
      </c>
      <c r="K38" s="102">
        <f>+(Ingressos!$Q$23/12)*(1+Ingressos!$Q$46)</f>
        <v>23075.248956208172</v>
      </c>
      <c r="L38" s="102">
        <f>+(Ingressos!$Q$23/12)*(1+Ingressos!$Q$46)</f>
        <v>23075.248956208172</v>
      </c>
      <c r="M38" s="102">
        <f>+(Ingressos!$Q$23/12)*(1+Ingressos!$Q$46)</f>
        <v>23075.248956208172</v>
      </c>
      <c r="N38" s="102">
        <f>SUM(B38:M38)</f>
        <v>276902.98747449805</v>
      </c>
      <c r="O38" s="102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</row>
    <row r="39" spans="1:36">
      <c r="A39" s="101" t="s">
        <v>22</v>
      </c>
      <c r="B39" s="102">
        <f>B38*Ingressos!$D$46+M12*Ingressos!$E$46+L12*Ingressos!$F$46+K12*Ingressos!$G$46+J12*Ingressos!H46</f>
        <v>23075.248956208172</v>
      </c>
      <c r="C39" s="102">
        <f>C38*Ingressos!$D$46+B38*Ingressos!$E$46+M12*Ingressos!$F$46+L12*Ingressos!$G$46+K12*Ingressos!H46</f>
        <v>23075.248956208172</v>
      </c>
      <c r="D39" s="102">
        <f>D38*Ingressos!$D$46+C38*Ingressos!$E$46+B38*Ingressos!$F$46+M12*Ingressos!$G$46+L12*Ingressos!H46</f>
        <v>23075.248956208172</v>
      </c>
      <c r="E39" s="102">
        <f>E38*Ingressos!$D$46+D38*Ingressos!$E$46+C38*Ingressos!$F$46+B38*Ingressos!$G$46+M12*Ingressos!H46</f>
        <v>23075.248956208172</v>
      </c>
      <c r="F39" s="102">
        <f>F38*Ingressos!$D$46+E38*Ingressos!$E$46+D38*Ingressos!$F$46+C38*Ingressos!$G$46+B38*Ingressos!$H$46</f>
        <v>23075.248956208172</v>
      </c>
      <c r="G39" s="102">
        <f>G38*Ingressos!$D$46+F38*Ingressos!$E$46+E38*Ingressos!$F$46+D38*Ingressos!$G$46+C38*Ingressos!$H$46</f>
        <v>23075.248956208172</v>
      </c>
      <c r="H39" s="102">
        <f>H38*Ingressos!$D$46+G38*Ingressos!$E$46+F38*Ingressos!$F$46+E38*Ingressos!$G$46+D38*Ingressos!$H$46</f>
        <v>23075.248956208172</v>
      </c>
      <c r="I39" s="102">
        <f>I38*Ingressos!$D$46+H38*Ingressos!$E$46+G38*Ingressos!$F$46+F38*Ingressos!$G$46+E38*Ingressos!$H$46</f>
        <v>23075.248956208172</v>
      </c>
      <c r="J39" s="102">
        <f>J38*Ingressos!$D$46+I38*Ingressos!$E$46+H38*Ingressos!$F$46+G38*Ingressos!$G$46+F38*Ingressos!$H$46</f>
        <v>23075.248956208172</v>
      </c>
      <c r="K39" s="102">
        <f>K38*Ingressos!$D$46+J38*Ingressos!$E$46+I38*Ingressos!$F$46+H38*Ingressos!$G$46+G38*Ingressos!$H$46</f>
        <v>23075.248956208172</v>
      </c>
      <c r="L39" s="102">
        <f>L38*Ingressos!$D$46+K38*Ingressos!$E$46+J38*Ingressos!$F$46+I38*Ingressos!$G$46+H38*Ingressos!$H$46</f>
        <v>23075.248956208172</v>
      </c>
      <c r="M39" s="102">
        <f>M38*Ingressos!$D$46+L38*Ingressos!$E$46+K38*Ingressos!$F$46+J38*Ingressos!$G$46+I38*Ingressos!$H$46</f>
        <v>23075.248956208172</v>
      </c>
      <c r="N39" s="102">
        <f>SUM(B39:M39)</f>
        <v>276902.98747449805</v>
      </c>
      <c r="O39" s="102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</row>
    <row r="40" spans="1:36">
      <c r="A40" s="101" t="s">
        <v>23</v>
      </c>
      <c r="B40" s="102">
        <f>B42*Ingressos!$D$47+M16*Ingressos!$E$47+L16*Ingressos!$F$47+K16*Ingressos!$G$47+J16*Ingressos!H47</f>
        <v>10490.5375692</v>
      </c>
      <c r="C40" s="102">
        <f>C42*Ingressos!$D$47+B42*Ingressos!$E$47+M16*Ingressos!$F$47+L16*Ingressos!$G$47+K16*Ingressos!H47</f>
        <v>10609.122605882238</v>
      </c>
      <c r="D40" s="102">
        <f>D42*Ingressos!$D$47+C42*Ingressos!$E$47+B42*Ingressos!$F$47+M16*Ingressos!$G$47+L16*Ingressos!H47</f>
        <v>11043.934407050439</v>
      </c>
      <c r="E40" s="102">
        <f>E42*Ingressos!$D$47+D42*Ingressos!$E$47+C42*Ingressos!$F$47+B42*Ingressos!$G$47+M16*Ingressos!H47</f>
        <v>11478.746208218641</v>
      </c>
      <c r="F40" s="102">
        <f>F42*Ingressos!$D$47+E42*Ingressos!$E$47+D42*Ingressos!$F$47+C42*Ingressos!$G$47+B42*Ingressos!$H$47</f>
        <v>11808.149087891521</v>
      </c>
      <c r="G40" s="102">
        <f>G42*Ingressos!$D$47+F42*Ingressos!$E$47+E42*Ingressos!$F$47+D42*Ingressos!$G$47+C42*Ingressos!$H$47</f>
        <v>11808.149087891521</v>
      </c>
      <c r="H40" s="102">
        <f>H42*Ingressos!$D$47+G42*Ingressos!$E$47+F42*Ingressos!$F$47+E42*Ingressos!$G$47+D42*Ingressos!$H$47</f>
        <v>11808.149087891521</v>
      </c>
      <c r="I40" s="102">
        <f>I42*Ingressos!$D$47+H42*Ingressos!$E$47+G42*Ingressos!$F$47+F42*Ingressos!$G$47+E42*Ingressos!$H$47</f>
        <v>11808.149087891521</v>
      </c>
      <c r="J40" s="102">
        <f>J42*Ingressos!$D$47+I42*Ingressos!$E$47+H42*Ingressos!$F$47+G42*Ingressos!$G$47+F42*Ingressos!$H$47</f>
        <v>11808.149087891521</v>
      </c>
      <c r="K40" s="102">
        <f>K42*Ingressos!$D$47+J42*Ingressos!$E$47+I42*Ingressos!$F$47+H42*Ingressos!$G$47+G42*Ingressos!$H$47</f>
        <v>11808.149087891521</v>
      </c>
      <c r="L40" s="102">
        <f>L42*Ingressos!$D$47+K42*Ingressos!$E$47+J42*Ingressos!$F$47+I42*Ingressos!$G$47+H42*Ingressos!$H$47</f>
        <v>11808.149087891521</v>
      </c>
      <c r="M40" s="102">
        <f>M42*Ingressos!$D$47+L42*Ingressos!$E$47+K42*Ingressos!$F$47+J42*Ingressos!$G$47+I42*Ingressos!$H$47</f>
        <v>11808.149087891521</v>
      </c>
      <c r="N40" s="102">
        <f>SUM(B40:M40)</f>
        <v>138087.5334934835</v>
      </c>
      <c r="O40" s="102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</row>
    <row r="41" spans="1:36">
      <c r="A41" s="101"/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</row>
    <row r="42" spans="1:36">
      <c r="A42" s="101" t="s">
        <v>20</v>
      </c>
      <c r="B42" s="102">
        <f>(Ingressos!$X$23/12)*(1+Ingressos!$Q$46)</f>
        <v>11808.149087891521</v>
      </c>
      <c r="C42" s="102">
        <f>(Ingressos!$X$23/12)*(1+Ingressos!$Q$46)</f>
        <v>11808.149087891521</v>
      </c>
      <c r="D42" s="102">
        <f>(Ingressos!$X$23/12)*(1+Ingressos!$Q$46)</f>
        <v>11808.149087891521</v>
      </c>
      <c r="E42" s="102">
        <f>(Ingressos!$X$23/12)*(1+Ingressos!$Q$46)</f>
        <v>11808.149087891521</v>
      </c>
      <c r="F42" s="102">
        <f>(Ingressos!$X$23/12)*(1+Ingressos!$Q$46)</f>
        <v>11808.149087891521</v>
      </c>
      <c r="G42" s="102">
        <f>(Ingressos!$X$23/12)*(1+Ingressos!$Q$46)</f>
        <v>11808.149087891521</v>
      </c>
      <c r="H42" s="102">
        <f>(Ingressos!$X$23/12)*(1+Ingressos!$Q$46)</f>
        <v>11808.149087891521</v>
      </c>
      <c r="I42" s="102">
        <f>(Ingressos!$X$23/12)*(1+Ingressos!$Q$46)</f>
        <v>11808.149087891521</v>
      </c>
      <c r="J42" s="102">
        <f>(Ingressos!$X$23/12)*(1+Ingressos!$Q$46)</f>
        <v>11808.149087891521</v>
      </c>
      <c r="K42" s="102">
        <f>(Ingressos!$X$23/12)*(1+Ingressos!$Q$46)</f>
        <v>11808.149087891521</v>
      </c>
      <c r="L42" s="102">
        <f>(Ingressos!$X$23/12)*(1+Ingressos!$Q$46)</f>
        <v>11808.149087891521</v>
      </c>
      <c r="M42" s="102">
        <f>(Ingressos!$X$23/12)*(1+Ingressos!$Q$46)</f>
        <v>11808.149087891521</v>
      </c>
      <c r="N42" s="102">
        <f>SUM(B42:M42)</f>
        <v>141697.78905469825</v>
      </c>
      <c r="O42" s="102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</row>
    <row r="43" spans="1:36">
      <c r="A43" s="111">
        <f>+Ingressos!U46</f>
        <v>0</v>
      </c>
      <c r="B43" s="102">
        <f>+B38*Ingressos!$X$46</f>
        <v>0</v>
      </c>
      <c r="C43" s="102">
        <f>+C38*Ingressos!$X$46</f>
        <v>0</v>
      </c>
      <c r="D43" s="102">
        <f>+D38*Ingressos!$X$46</f>
        <v>0</v>
      </c>
      <c r="E43" s="102">
        <f>+E38*Ingressos!$X$46</f>
        <v>0</v>
      </c>
      <c r="F43" s="102">
        <f>+F38*Ingressos!$X$46</f>
        <v>0</v>
      </c>
      <c r="G43" s="102">
        <f>+G38*Ingressos!$X$46</f>
        <v>0</v>
      </c>
      <c r="H43" s="102">
        <f>+H38*Ingressos!$X$46</f>
        <v>0</v>
      </c>
      <c r="I43" s="102">
        <f>+I38*Ingressos!$X$46</f>
        <v>0</v>
      </c>
      <c r="J43" s="102">
        <f>+J38*Ingressos!$X$46</f>
        <v>0</v>
      </c>
      <c r="K43" s="102">
        <f>+K38*Ingressos!$X$46</f>
        <v>0</v>
      </c>
      <c r="L43" s="102">
        <f>+L38*Ingressos!$X$46</f>
        <v>0</v>
      </c>
      <c r="M43" s="102">
        <f>+M38*Ingressos!$X$46</f>
        <v>0</v>
      </c>
      <c r="N43" s="102">
        <f>SUM(B43:M43)</f>
        <v>0</v>
      </c>
      <c r="O43" s="102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</row>
    <row r="44" spans="1:36">
      <c r="A44" s="111">
        <f>+Ingressos!U47</f>
        <v>0</v>
      </c>
      <c r="B44" s="102">
        <f>+B38*Ingressos!$X$47</f>
        <v>0</v>
      </c>
      <c r="C44" s="102">
        <f>+C38*Ingressos!$X$47</f>
        <v>0</v>
      </c>
      <c r="D44" s="102">
        <f>+D38*Ingressos!$X$47</f>
        <v>0</v>
      </c>
      <c r="E44" s="102">
        <f>+E38*Ingressos!$X$47</f>
        <v>0</v>
      </c>
      <c r="F44" s="102">
        <f>+F38*Ingressos!$X$47</f>
        <v>0</v>
      </c>
      <c r="G44" s="102">
        <f>+G38*Ingressos!$X$47</f>
        <v>0</v>
      </c>
      <c r="H44" s="102">
        <f>+H38*Ingressos!$X$47</f>
        <v>0</v>
      </c>
      <c r="I44" s="102">
        <f>+I38*Ingressos!$X$47</f>
        <v>0</v>
      </c>
      <c r="J44" s="102">
        <f>+J38*Ingressos!$X$47</f>
        <v>0</v>
      </c>
      <c r="K44" s="102">
        <f>+K38*Ingressos!$X$47</f>
        <v>0</v>
      </c>
      <c r="L44" s="102">
        <f>+L38*Ingressos!$X$47</f>
        <v>0</v>
      </c>
      <c r="M44" s="102">
        <f>+M38*Ingressos!$X$47</f>
        <v>0</v>
      </c>
      <c r="N44" s="102">
        <f>SUM(B44:M44)</f>
        <v>0</v>
      </c>
      <c r="O44" s="102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</row>
    <row r="45" spans="1:36">
      <c r="A45" s="111">
        <f>+Ingressos!U48</f>
        <v>0</v>
      </c>
      <c r="B45" s="102">
        <f>+B38*Ingressos!$X$48</f>
        <v>0</v>
      </c>
      <c r="C45" s="102">
        <f>+C38*Ingressos!$X$48</f>
        <v>0</v>
      </c>
      <c r="D45" s="102">
        <f>+D38*Ingressos!$X$48</f>
        <v>0</v>
      </c>
      <c r="E45" s="102">
        <f>+E38*Ingressos!$X$48</f>
        <v>0</v>
      </c>
      <c r="F45" s="102">
        <f>+F38*Ingressos!$X$48</f>
        <v>0</v>
      </c>
      <c r="G45" s="102">
        <f>+G38*Ingressos!$X$48</f>
        <v>0</v>
      </c>
      <c r="H45" s="102">
        <f>+H38*Ingressos!$X$48</f>
        <v>0</v>
      </c>
      <c r="I45" s="102">
        <f>+I38*Ingressos!$X$48</f>
        <v>0</v>
      </c>
      <c r="J45" s="102">
        <f>+J38*Ingressos!$X$48</f>
        <v>0</v>
      </c>
      <c r="K45" s="102">
        <f>+K38*Ingressos!$X$48</f>
        <v>0</v>
      </c>
      <c r="L45" s="102">
        <f>+L38*Ingressos!$X$48</f>
        <v>0</v>
      </c>
      <c r="M45" s="102">
        <f>+M38*Ingressos!$X$48</f>
        <v>0</v>
      </c>
      <c r="N45" s="102">
        <f>SUM(B45:M45)</f>
        <v>0</v>
      </c>
      <c r="O45" s="102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</row>
    <row r="46" spans="1:36">
      <c r="A46" s="101">
        <f>+A20</f>
        <v>0</v>
      </c>
      <c r="B46" s="102">
        <f t="shared" ref="B46:M46" si="8">+B42+B43+B44+B45</f>
        <v>11808.149087891521</v>
      </c>
      <c r="C46" s="102">
        <f t="shared" si="8"/>
        <v>11808.149087891521</v>
      </c>
      <c r="D46" s="102">
        <f t="shared" si="8"/>
        <v>11808.149087891521</v>
      </c>
      <c r="E46" s="102">
        <f t="shared" si="8"/>
        <v>11808.149087891521</v>
      </c>
      <c r="F46" s="102">
        <f t="shared" si="8"/>
        <v>11808.149087891521</v>
      </c>
      <c r="G46" s="102">
        <f t="shared" si="8"/>
        <v>11808.149087891521</v>
      </c>
      <c r="H46" s="102">
        <f t="shared" si="8"/>
        <v>11808.149087891521</v>
      </c>
      <c r="I46" s="102">
        <f t="shared" si="8"/>
        <v>11808.149087891521</v>
      </c>
      <c r="J46" s="102">
        <f t="shared" si="8"/>
        <v>11808.149087891521</v>
      </c>
      <c r="K46" s="102">
        <f t="shared" si="8"/>
        <v>11808.149087891521</v>
      </c>
      <c r="L46" s="102">
        <f t="shared" si="8"/>
        <v>11808.149087891521</v>
      </c>
      <c r="M46" s="102">
        <f t="shared" si="8"/>
        <v>11808.149087891521</v>
      </c>
      <c r="N46" s="102">
        <f>SUM(B46:M46)</f>
        <v>141697.78905469825</v>
      </c>
      <c r="O46" s="102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</row>
    <row r="47" spans="1:36">
      <c r="A47" s="101"/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</row>
    <row r="48" spans="1:36">
      <c r="A48" s="101" t="s">
        <v>7</v>
      </c>
      <c r="B48" s="102">
        <f t="shared" ref="B48:M48" si="9">+B38-B46</f>
        <v>11267.099868316651</v>
      </c>
      <c r="C48" s="102">
        <f t="shared" si="9"/>
        <v>11267.099868316651</v>
      </c>
      <c r="D48" s="102">
        <f t="shared" si="9"/>
        <v>11267.099868316651</v>
      </c>
      <c r="E48" s="102">
        <f t="shared" si="9"/>
        <v>11267.099868316651</v>
      </c>
      <c r="F48" s="102">
        <f t="shared" si="9"/>
        <v>11267.099868316651</v>
      </c>
      <c r="G48" s="102">
        <f t="shared" si="9"/>
        <v>11267.099868316651</v>
      </c>
      <c r="H48" s="102">
        <f t="shared" si="9"/>
        <v>11267.099868316651</v>
      </c>
      <c r="I48" s="102">
        <f t="shared" si="9"/>
        <v>11267.099868316651</v>
      </c>
      <c r="J48" s="102">
        <f t="shared" si="9"/>
        <v>11267.099868316651</v>
      </c>
      <c r="K48" s="102">
        <f t="shared" si="9"/>
        <v>11267.099868316651</v>
      </c>
      <c r="L48" s="102">
        <f t="shared" si="9"/>
        <v>11267.099868316651</v>
      </c>
      <c r="M48" s="102">
        <f t="shared" si="9"/>
        <v>11267.099868316651</v>
      </c>
      <c r="N48" s="102">
        <f>SUM(B48:M48)</f>
        <v>135205.19841979982</v>
      </c>
      <c r="O48" s="102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</row>
    <row r="49" spans="1:36">
      <c r="A49" s="101" t="s">
        <v>12</v>
      </c>
      <c r="B49" s="112">
        <f t="shared" ref="B49:N49" si="10">IF(B38=0,0,+B48/B38)</f>
        <v>0.48827641641913239</v>
      </c>
      <c r="C49" s="112">
        <f t="shared" si="10"/>
        <v>0.48827641641913239</v>
      </c>
      <c r="D49" s="112">
        <f t="shared" si="10"/>
        <v>0.48827641641913239</v>
      </c>
      <c r="E49" s="112">
        <f t="shared" si="10"/>
        <v>0.48827641641913239</v>
      </c>
      <c r="F49" s="112">
        <f t="shared" si="10"/>
        <v>0.48827641641913239</v>
      </c>
      <c r="G49" s="112">
        <f t="shared" si="10"/>
        <v>0.48827641641913239</v>
      </c>
      <c r="H49" s="112">
        <f t="shared" si="10"/>
        <v>0.48827641641913239</v>
      </c>
      <c r="I49" s="112">
        <f t="shared" si="10"/>
        <v>0.48827641641913239</v>
      </c>
      <c r="J49" s="112">
        <f t="shared" si="10"/>
        <v>0.48827641641913239</v>
      </c>
      <c r="K49" s="112">
        <f t="shared" si="10"/>
        <v>0.48827641641913239</v>
      </c>
      <c r="L49" s="112">
        <f t="shared" si="10"/>
        <v>0.48827641641913239</v>
      </c>
      <c r="M49" s="112">
        <f t="shared" si="10"/>
        <v>0.48827641641913239</v>
      </c>
      <c r="N49" s="112">
        <f t="shared" si="10"/>
        <v>0.48827641641913244</v>
      </c>
      <c r="O49" s="102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</row>
    <row r="50" spans="1:36">
      <c r="A50" s="101" t="s">
        <v>18</v>
      </c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2">
        <f>'Resultats a tres anys'!L16</f>
        <v>0</v>
      </c>
      <c r="N50" s="101">
        <f>SUM(B50:M50)</f>
        <v>0</v>
      </c>
      <c r="O50" s="102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</row>
    <row r="51" spans="1:36">
      <c r="A51" s="101" t="s">
        <v>9</v>
      </c>
      <c r="B51" s="102">
        <f>'Despeses fixes'!L46</f>
        <v>8233.5554624999986</v>
      </c>
      <c r="C51" s="102">
        <f t="shared" ref="C51:M51" si="11">B51</f>
        <v>8233.5554624999986</v>
      </c>
      <c r="D51" s="102">
        <f t="shared" si="11"/>
        <v>8233.5554624999986</v>
      </c>
      <c r="E51" s="102">
        <f t="shared" si="11"/>
        <v>8233.5554624999986</v>
      </c>
      <c r="F51" s="102">
        <f t="shared" si="11"/>
        <v>8233.5554624999986</v>
      </c>
      <c r="G51" s="102">
        <f t="shared" si="11"/>
        <v>8233.5554624999986</v>
      </c>
      <c r="H51" s="102">
        <f t="shared" si="11"/>
        <v>8233.5554624999986</v>
      </c>
      <c r="I51" s="102">
        <f t="shared" si="11"/>
        <v>8233.5554624999986</v>
      </c>
      <c r="J51" s="102">
        <f t="shared" si="11"/>
        <v>8233.5554624999986</v>
      </c>
      <c r="K51" s="102">
        <f t="shared" si="11"/>
        <v>8233.5554624999986</v>
      </c>
      <c r="L51" s="102">
        <f t="shared" si="11"/>
        <v>8233.5554624999986</v>
      </c>
      <c r="M51" s="102">
        <f t="shared" si="11"/>
        <v>8233.5554624999986</v>
      </c>
      <c r="N51" s="102">
        <f>SUM(B51:M51)</f>
        <v>98802.665549999962</v>
      </c>
      <c r="O51" s="102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</row>
    <row r="52" spans="1:36">
      <c r="A52" s="101" t="s">
        <v>17</v>
      </c>
      <c r="B52" s="102">
        <f>+F233/12+F207/12</f>
        <v>1102.8611111111111</v>
      </c>
      <c r="C52" s="102">
        <f t="shared" ref="C52:M52" si="12">+B52</f>
        <v>1102.8611111111111</v>
      </c>
      <c r="D52" s="102">
        <f t="shared" si="12"/>
        <v>1102.8611111111111</v>
      </c>
      <c r="E52" s="102">
        <f t="shared" si="12"/>
        <v>1102.8611111111111</v>
      </c>
      <c r="F52" s="102">
        <f t="shared" si="12"/>
        <v>1102.8611111111111</v>
      </c>
      <c r="G52" s="102">
        <f t="shared" si="12"/>
        <v>1102.8611111111111</v>
      </c>
      <c r="H52" s="102">
        <f t="shared" si="12"/>
        <v>1102.8611111111111</v>
      </c>
      <c r="I52" s="102">
        <f t="shared" si="12"/>
        <v>1102.8611111111111</v>
      </c>
      <c r="J52" s="102">
        <f t="shared" si="12"/>
        <v>1102.8611111111111</v>
      </c>
      <c r="K52" s="102">
        <f t="shared" si="12"/>
        <v>1102.8611111111111</v>
      </c>
      <c r="L52" s="102">
        <f t="shared" si="12"/>
        <v>1102.8611111111111</v>
      </c>
      <c r="M52" s="102">
        <f t="shared" si="12"/>
        <v>1102.8611111111111</v>
      </c>
      <c r="N52" s="102">
        <f>SUM(B52:M52)</f>
        <v>13234.333333333334</v>
      </c>
      <c r="O52" s="102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</row>
    <row r="53" spans="1:36">
      <c r="A53" s="101" t="s">
        <v>10</v>
      </c>
      <c r="B53" s="113">
        <f t="shared" ref="B53:M53" si="13">+B48+B50-B51-B52</f>
        <v>1930.6832947055411</v>
      </c>
      <c r="C53" s="113">
        <f t="shared" si="13"/>
        <v>1930.6832947055411</v>
      </c>
      <c r="D53" s="113">
        <f t="shared" si="13"/>
        <v>1930.6832947055411</v>
      </c>
      <c r="E53" s="113">
        <f t="shared" si="13"/>
        <v>1930.6832947055411</v>
      </c>
      <c r="F53" s="113">
        <f t="shared" si="13"/>
        <v>1930.6832947055411</v>
      </c>
      <c r="G53" s="113">
        <f t="shared" si="13"/>
        <v>1930.6832947055411</v>
      </c>
      <c r="H53" s="113">
        <f t="shared" si="13"/>
        <v>1930.6832947055411</v>
      </c>
      <c r="I53" s="113">
        <f t="shared" si="13"/>
        <v>1930.6832947055411</v>
      </c>
      <c r="J53" s="113">
        <f t="shared" si="13"/>
        <v>1930.6832947055411</v>
      </c>
      <c r="K53" s="113">
        <f t="shared" si="13"/>
        <v>1930.6832947055411</v>
      </c>
      <c r="L53" s="113">
        <f t="shared" si="13"/>
        <v>1930.6832947055411</v>
      </c>
      <c r="M53" s="113">
        <f t="shared" si="13"/>
        <v>1930.6832947055411</v>
      </c>
      <c r="N53" s="102">
        <f>SUM(B53:M53)</f>
        <v>23168.199536466494</v>
      </c>
      <c r="O53" s="113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  <c r="AA53" s="101"/>
      <c r="AB53" s="101"/>
      <c r="AC53" s="101"/>
      <c r="AD53" s="101"/>
      <c r="AE53" s="101"/>
      <c r="AF53" s="101"/>
      <c r="AG53" s="101"/>
      <c r="AH53" s="101"/>
      <c r="AI53" s="101"/>
      <c r="AJ53" s="101"/>
    </row>
    <row r="54" spans="1:36">
      <c r="A54" s="101" t="s">
        <v>11</v>
      </c>
      <c r="B54" s="112">
        <f t="shared" ref="B54:N54" si="14">IF(B38=0,0,+B53/B38)</f>
        <v>8.3669012558415301E-2</v>
      </c>
      <c r="C54" s="112">
        <f t="shared" si="14"/>
        <v>8.3669012558415301E-2</v>
      </c>
      <c r="D54" s="112">
        <f t="shared" si="14"/>
        <v>8.3669012558415301E-2</v>
      </c>
      <c r="E54" s="112">
        <f t="shared" si="14"/>
        <v>8.3669012558415301E-2</v>
      </c>
      <c r="F54" s="112">
        <f t="shared" si="14"/>
        <v>8.3669012558415301E-2</v>
      </c>
      <c r="G54" s="112">
        <f t="shared" si="14"/>
        <v>8.3669012558415301E-2</v>
      </c>
      <c r="H54" s="112">
        <f t="shared" si="14"/>
        <v>8.3669012558415301E-2</v>
      </c>
      <c r="I54" s="112">
        <f t="shared" si="14"/>
        <v>8.3669012558415301E-2</v>
      </c>
      <c r="J54" s="112">
        <f t="shared" si="14"/>
        <v>8.3669012558415301E-2</v>
      </c>
      <c r="K54" s="112">
        <f t="shared" si="14"/>
        <v>8.3669012558415301E-2</v>
      </c>
      <c r="L54" s="112">
        <f t="shared" si="14"/>
        <v>8.3669012558415301E-2</v>
      </c>
      <c r="M54" s="112">
        <f t="shared" si="14"/>
        <v>8.3669012558415301E-2</v>
      </c>
      <c r="N54" s="112">
        <f t="shared" si="14"/>
        <v>8.3669012558415315E-2</v>
      </c>
      <c r="O54" s="114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  <c r="AA54" s="101"/>
      <c r="AB54" s="101"/>
      <c r="AC54" s="101"/>
      <c r="AD54" s="101"/>
      <c r="AE54" s="101"/>
      <c r="AF54" s="101"/>
      <c r="AG54" s="101"/>
      <c r="AH54" s="101"/>
      <c r="AI54" s="101"/>
      <c r="AJ54" s="101"/>
    </row>
    <row r="55" spans="1:36">
      <c r="A55" s="101" t="s">
        <v>13</v>
      </c>
      <c r="B55" s="102">
        <f>IF(M71&lt;0,0,+M71)+IF(M98&lt;0,0,M98)+IF(N125&lt;0,0,N125)+F211/12</f>
        <v>155.83333333333334</v>
      </c>
      <c r="C55" s="102">
        <f>IF(M72&lt;0,0,+M72)+IF(M99&lt;0,0,M99)+IF(N126&lt;0,0,N126)+F211/12</f>
        <v>154.41855324881558</v>
      </c>
      <c r="D55" s="102">
        <f>IF(M73&lt;0,0,+M73)+IF(M100&lt;0,0,M100)+IF(N127&lt;0,0,N127)+F211/12</f>
        <v>152.99976462072502</v>
      </c>
      <c r="E55" s="102">
        <f>IF(M74&lt;0,0,+M74)+IF(M101&lt;0,0,M101)+IF(N128&lt;0,0,N128)+F211/12</f>
        <v>151.57695609152154</v>
      </c>
      <c r="F55" s="102">
        <f>IF(M75&lt;0,0,+M75)+IF(M102&lt;0,0,M102)+IF(N129&lt;0,0,N129)+F211/12</f>
        <v>150.1501162714853</v>
      </c>
      <c r="G55" s="102">
        <f>IF(M76&lt;0,0,+M76)+IF(M103&lt;0,0,M103)+IF(N130&lt;0,0,N130)+F211/12</f>
        <v>148.71923373862566</v>
      </c>
      <c r="H55" s="102">
        <f>IF(M77&lt;0,0,+M77)+IF(M104&lt;0,0,M104)+IF(N131&lt;0,0,N131)+F211/12</f>
        <v>147.28429703858953</v>
      </c>
      <c r="I55" s="102">
        <f>IF(M78&lt;0,0,+M78)+IF(M105&lt;0,0,M105)+IF(N132&lt;0,0,N132)+F211/12</f>
        <v>145.84529468457001</v>
      </c>
      <c r="J55" s="102">
        <f>IF(M79&lt;0,0,+M79)+IF(M106&lt;0,0,M106)+IF(N133&lt;0,0,N133)+F211/12</f>
        <v>144.4022151572141</v>
      </c>
      <c r="K55" s="102">
        <f>IF(M80&lt;0,0,+M80)+IF(M107&lt;0,0,M107)+IF(N134&lt;0,0,N134)+F211/12</f>
        <v>142.95504690453066</v>
      </c>
      <c r="L55" s="102">
        <f>IF(M81&lt;0,0,+M81)+IF(M108&lt;0,0,M108)+IF(N135&lt;0,0,N135)+F211/12</f>
        <v>141.50377834179795</v>
      </c>
      <c r="M55" s="102">
        <f>IF(M82&lt;0,0,+M82)+IF(M109&lt;0,0,M109)+IF(N136&lt;0,0,N136)+F211/12</f>
        <v>140.04839785147084</v>
      </c>
      <c r="N55" s="102">
        <f>SUM(B55:M55)</f>
        <v>1775.7369872826796</v>
      </c>
      <c r="O55" s="102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  <c r="AA55" s="101"/>
      <c r="AB55" s="101"/>
      <c r="AC55" s="101"/>
      <c r="AD55" s="101"/>
      <c r="AE55" s="101"/>
      <c r="AF55" s="101"/>
      <c r="AG55" s="101"/>
      <c r="AH55" s="101"/>
      <c r="AI55" s="101"/>
      <c r="AJ55" s="101"/>
    </row>
    <row r="56" spans="1:36" ht="13.5" thickBot="1">
      <c r="A56" s="101" t="s">
        <v>14</v>
      </c>
      <c r="B56" s="102">
        <f t="shared" ref="B56:M56" si="15">+B53-B55</f>
        <v>1774.8499613722079</v>
      </c>
      <c r="C56" s="102">
        <f t="shared" si="15"/>
        <v>1776.2647414567255</v>
      </c>
      <c r="D56" s="102">
        <f t="shared" si="15"/>
        <v>1777.6835300848161</v>
      </c>
      <c r="E56" s="102">
        <f t="shared" si="15"/>
        <v>1779.1063386140195</v>
      </c>
      <c r="F56" s="102">
        <f t="shared" si="15"/>
        <v>1780.5331784340558</v>
      </c>
      <c r="G56" s="102">
        <f t="shared" si="15"/>
        <v>1781.9640609669154</v>
      </c>
      <c r="H56" s="102">
        <f t="shared" si="15"/>
        <v>1783.3989976669516</v>
      </c>
      <c r="I56" s="102">
        <f t="shared" si="15"/>
        <v>1784.8380000209711</v>
      </c>
      <c r="J56" s="102">
        <f t="shared" si="15"/>
        <v>1786.2810795483269</v>
      </c>
      <c r="K56" s="102">
        <f t="shared" si="15"/>
        <v>1787.7282478010104</v>
      </c>
      <c r="L56" s="102">
        <f t="shared" si="15"/>
        <v>1789.1795163637432</v>
      </c>
      <c r="M56" s="102">
        <f t="shared" si="15"/>
        <v>1790.6348968540703</v>
      </c>
      <c r="N56" s="102">
        <f>SUM(B56:M56)</f>
        <v>21392.462549183812</v>
      </c>
      <c r="O56" s="102"/>
      <c r="P56" s="101"/>
      <c r="Q56" s="101" t="s">
        <v>36</v>
      </c>
      <c r="R56" s="101"/>
      <c r="S56" s="101"/>
      <c r="T56" s="101"/>
      <c r="U56" s="101"/>
      <c r="V56" s="101"/>
      <c r="W56" s="101"/>
      <c r="X56" s="101"/>
      <c r="Y56" s="101"/>
      <c r="Z56" s="101"/>
      <c r="AA56" s="101"/>
      <c r="AB56" s="101"/>
      <c r="AC56" s="101"/>
      <c r="AD56" s="101"/>
      <c r="AE56" s="101"/>
      <c r="AF56" s="101"/>
      <c r="AG56" s="101"/>
      <c r="AH56" s="101"/>
      <c r="AI56" s="101"/>
      <c r="AJ56" s="101"/>
    </row>
    <row r="57" spans="1:36" ht="13.5" thickBot="1">
      <c r="A57" s="101" t="s">
        <v>4</v>
      </c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>
        <f>E241</f>
        <v>3208.8693823775684</v>
      </c>
      <c r="O57" s="102"/>
      <c r="P57" s="101"/>
      <c r="Q57" s="118">
        <f>+N57</f>
        <v>3208.8693823775684</v>
      </c>
      <c r="R57" s="101"/>
      <c r="S57" s="101"/>
      <c r="T57" s="101"/>
      <c r="U57" s="101"/>
      <c r="V57" s="101"/>
      <c r="W57" s="101"/>
      <c r="X57" s="101"/>
      <c r="Y57" s="101"/>
      <c r="Z57" s="101"/>
      <c r="AA57" s="101"/>
      <c r="AB57" s="101"/>
      <c r="AC57" s="101"/>
      <c r="AD57" s="101"/>
      <c r="AE57" s="101"/>
      <c r="AF57" s="101"/>
      <c r="AG57" s="101"/>
      <c r="AH57" s="101"/>
      <c r="AI57" s="101"/>
      <c r="AJ57" s="101"/>
    </row>
    <row r="58" spans="1:36">
      <c r="A58" s="101" t="s">
        <v>15</v>
      </c>
      <c r="B58" s="102">
        <f t="shared" ref="B58:M58" si="16">+B56-B57</f>
        <v>1774.8499613722079</v>
      </c>
      <c r="C58" s="102">
        <f t="shared" si="16"/>
        <v>1776.2647414567255</v>
      </c>
      <c r="D58" s="102">
        <f t="shared" si="16"/>
        <v>1777.6835300848161</v>
      </c>
      <c r="E58" s="102">
        <f t="shared" si="16"/>
        <v>1779.1063386140195</v>
      </c>
      <c r="F58" s="102">
        <f t="shared" si="16"/>
        <v>1780.5331784340558</v>
      </c>
      <c r="G58" s="102">
        <f t="shared" si="16"/>
        <v>1781.9640609669154</v>
      </c>
      <c r="H58" s="102">
        <f t="shared" si="16"/>
        <v>1783.3989976669516</v>
      </c>
      <c r="I58" s="102">
        <f t="shared" si="16"/>
        <v>1784.8380000209711</v>
      </c>
      <c r="J58" s="102">
        <f t="shared" si="16"/>
        <v>1786.2810795483269</v>
      </c>
      <c r="K58" s="102">
        <f t="shared" si="16"/>
        <v>1787.7282478010104</v>
      </c>
      <c r="L58" s="102">
        <f t="shared" si="16"/>
        <v>1789.1795163637432</v>
      </c>
      <c r="M58" s="102">
        <f t="shared" si="16"/>
        <v>1790.6348968540703</v>
      </c>
      <c r="N58" s="102">
        <f>N56-N57</f>
        <v>18183.593166806244</v>
      </c>
      <c r="O58" s="102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  <c r="AA58" s="101"/>
      <c r="AB58" s="101"/>
      <c r="AC58" s="101"/>
      <c r="AD58" s="101"/>
      <c r="AE58" s="101"/>
      <c r="AF58" s="101"/>
      <c r="AG58" s="101"/>
      <c r="AH58" s="101"/>
      <c r="AI58" s="101"/>
      <c r="AJ58" s="101"/>
    </row>
    <row r="59" spans="1:36">
      <c r="R59" s="101"/>
      <c r="S59" s="101"/>
      <c r="T59" s="101"/>
      <c r="U59" s="101"/>
      <c r="V59" s="101"/>
      <c r="W59" s="101"/>
      <c r="X59" s="101"/>
      <c r="Y59" s="101"/>
      <c r="Z59" s="101"/>
      <c r="AA59" s="101"/>
      <c r="AB59" s="101"/>
      <c r="AC59" s="101"/>
      <c r="AD59" s="101"/>
      <c r="AE59" s="101"/>
      <c r="AF59" s="101"/>
      <c r="AG59" s="101"/>
      <c r="AH59" s="101"/>
      <c r="AI59" s="101"/>
      <c r="AJ59" s="101"/>
    </row>
    <row r="60" spans="1:36"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101"/>
      <c r="AH60" s="101"/>
      <c r="AI60" s="101"/>
      <c r="AJ60" s="101"/>
    </row>
    <row r="61" spans="1:36">
      <c r="A61" s="119" t="s">
        <v>62</v>
      </c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  <c r="AA61" s="101"/>
      <c r="AB61" s="101"/>
      <c r="AC61" s="101"/>
      <c r="AD61" s="101"/>
      <c r="AE61" s="101"/>
      <c r="AF61" s="101"/>
      <c r="AG61" s="101"/>
      <c r="AH61" s="101"/>
      <c r="AI61" s="101"/>
      <c r="AJ61" s="101"/>
    </row>
    <row r="62" spans="1:36">
      <c r="A62" s="120" t="s">
        <v>5</v>
      </c>
      <c r="B62" s="121">
        <f>'Resultats 1er any'!Q40</f>
        <v>55000</v>
      </c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  <c r="AA62" s="101"/>
      <c r="AB62" s="101"/>
      <c r="AC62" s="101"/>
      <c r="AD62" s="101"/>
      <c r="AE62" s="101"/>
      <c r="AF62" s="101"/>
      <c r="AG62" s="101"/>
      <c r="AH62" s="101"/>
      <c r="AI62" s="101"/>
      <c r="AJ62" s="101"/>
    </row>
    <row r="63" spans="1:36">
      <c r="A63" s="122" t="s">
        <v>24</v>
      </c>
      <c r="B63" s="123">
        <f>+'Inversió inicial'!M13</f>
        <v>3.4000000000000002E-2</v>
      </c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  <c r="AA63" s="101"/>
      <c r="AB63" s="101"/>
      <c r="AC63" s="101"/>
      <c r="AD63" s="101"/>
      <c r="AE63" s="101"/>
      <c r="AF63" s="101"/>
      <c r="AG63" s="101"/>
      <c r="AH63" s="101"/>
      <c r="AI63" s="101"/>
      <c r="AJ63" s="101"/>
    </row>
    <row r="64" spans="1:36">
      <c r="A64" s="120" t="s">
        <v>25</v>
      </c>
      <c r="B64" s="124">
        <f>+'Inversió inicial'!M17</f>
        <v>120</v>
      </c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  <c r="AA64" s="101"/>
      <c r="AB64" s="101"/>
      <c r="AC64" s="101"/>
      <c r="AD64" s="101"/>
      <c r="AE64" s="101"/>
      <c r="AF64" s="101"/>
      <c r="AG64" s="101"/>
      <c r="AH64" s="101"/>
      <c r="AI64" s="101"/>
      <c r="AJ64" s="101"/>
    </row>
    <row r="65" spans="1:36">
      <c r="A65" s="104" t="s">
        <v>2</v>
      </c>
      <c r="B65" s="124">
        <f>+'Inversió inicial'!M15</f>
        <v>24</v>
      </c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  <c r="AA65" s="101"/>
      <c r="AB65" s="101"/>
      <c r="AC65" s="101"/>
      <c r="AD65" s="101"/>
      <c r="AE65" s="101"/>
      <c r="AF65" s="101"/>
      <c r="AG65" s="101"/>
      <c r="AH65" s="101"/>
      <c r="AI65" s="101"/>
      <c r="AJ65" s="101"/>
    </row>
    <row r="66" spans="1:36">
      <c r="A66" s="125" t="s">
        <v>63</v>
      </c>
      <c r="B66" s="102">
        <f>IF(B64=0,0,IF(B63=0,B62/B64,(((B63/12)*B62)/(1-(1+B63/12)^-(B64-B65)))))</f>
        <v>655.16748081019057</v>
      </c>
      <c r="C66" s="126"/>
      <c r="D66" s="102"/>
      <c r="E66" s="102"/>
      <c r="F66" s="102"/>
      <c r="G66" s="102"/>
      <c r="H66" s="102"/>
      <c r="I66" s="102"/>
      <c r="J66" s="102"/>
      <c r="K66" s="114"/>
      <c r="L66" s="114"/>
      <c r="M66" s="114"/>
      <c r="N66" s="102"/>
      <c r="O66" s="102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</row>
    <row r="67" spans="1:36">
      <c r="A67" s="101"/>
      <c r="B67" s="102"/>
      <c r="C67" s="102"/>
      <c r="D67" s="102"/>
      <c r="E67" s="102"/>
      <c r="F67" s="102"/>
      <c r="G67" s="102"/>
      <c r="H67" s="102"/>
      <c r="I67" s="102"/>
      <c r="J67" s="102"/>
      <c r="K67" s="114"/>
      <c r="L67" s="114"/>
      <c r="M67" s="114"/>
      <c r="N67" s="102"/>
      <c r="O67" s="102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</row>
    <row r="68" spans="1:36">
      <c r="A68" s="101"/>
      <c r="B68" s="102"/>
      <c r="C68" s="102"/>
      <c r="D68" s="102"/>
      <c r="E68" s="102"/>
      <c r="F68" s="101"/>
      <c r="G68" s="102"/>
      <c r="H68" s="102"/>
      <c r="I68" s="102"/>
      <c r="J68" s="102"/>
      <c r="K68" s="114"/>
      <c r="L68" s="114"/>
      <c r="M68" s="114"/>
      <c r="N68" s="102"/>
      <c r="O68" s="102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</row>
    <row r="69" spans="1:36">
      <c r="A69" s="122"/>
      <c r="B69" s="737" t="s">
        <v>46</v>
      </c>
      <c r="C69" s="737"/>
      <c r="D69" s="737"/>
      <c r="E69" s="737"/>
      <c r="F69" s="122"/>
      <c r="G69" s="737" t="s">
        <v>0</v>
      </c>
      <c r="H69" s="737"/>
      <c r="I69" s="737"/>
      <c r="J69" s="737"/>
      <c r="K69" s="122"/>
      <c r="L69" s="737" t="s">
        <v>40</v>
      </c>
      <c r="M69" s="737"/>
      <c r="N69" s="737"/>
      <c r="O69" s="737"/>
      <c r="P69" s="101"/>
      <c r="Q69" s="736" t="s">
        <v>66</v>
      </c>
      <c r="R69" s="736"/>
      <c r="S69" s="736"/>
      <c r="T69" s="736"/>
      <c r="U69" s="101"/>
      <c r="V69" s="736" t="s">
        <v>67</v>
      </c>
      <c r="W69" s="736"/>
      <c r="X69" s="736"/>
      <c r="Y69" s="736"/>
      <c r="Z69" s="101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</row>
    <row r="70" spans="1:36">
      <c r="A70" s="126" t="s">
        <v>27</v>
      </c>
      <c r="B70" s="127" t="s">
        <v>26</v>
      </c>
      <c r="C70" s="127" t="s">
        <v>28</v>
      </c>
      <c r="D70" s="127" t="s">
        <v>29</v>
      </c>
      <c r="E70" s="127" t="s">
        <v>30</v>
      </c>
      <c r="F70" s="127" t="s">
        <v>27</v>
      </c>
      <c r="G70" s="127" t="s">
        <v>26</v>
      </c>
      <c r="H70" s="127" t="s">
        <v>28</v>
      </c>
      <c r="I70" s="127" t="s">
        <v>29</v>
      </c>
      <c r="J70" s="127" t="s">
        <v>30</v>
      </c>
      <c r="K70" s="127" t="s">
        <v>27</v>
      </c>
      <c r="L70" s="127" t="s">
        <v>26</v>
      </c>
      <c r="M70" s="127" t="s">
        <v>28</v>
      </c>
      <c r="N70" s="127" t="s">
        <v>29</v>
      </c>
      <c r="O70" s="127" t="s">
        <v>30</v>
      </c>
      <c r="P70" s="127" t="s">
        <v>27</v>
      </c>
      <c r="Q70" s="127" t="s">
        <v>26</v>
      </c>
      <c r="R70" s="127" t="s">
        <v>28</v>
      </c>
      <c r="S70" s="127" t="s">
        <v>29</v>
      </c>
      <c r="T70" s="127" t="s">
        <v>30</v>
      </c>
      <c r="U70" s="127" t="s">
        <v>27</v>
      </c>
      <c r="V70" s="127" t="s">
        <v>26</v>
      </c>
      <c r="W70" s="127" t="s">
        <v>28</v>
      </c>
      <c r="X70" s="127" t="s">
        <v>29</v>
      </c>
      <c r="Y70" s="127" t="s">
        <v>30</v>
      </c>
      <c r="Z70" s="101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</row>
    <row r="71" spans="1:36">
      <c r="A71" s="128">
        <v>1</v>
      </c>
      <c r="B71" s="129">
        <f>+B62</f>
        <v>55000</v>
      </c>
      <c r="C71" s="129">
        <f t="shared" ref="C71:C82" si="17">IF(B71&lt;0,0,+B71*$B$63/12)</f>
        <v>155.83333333333334</v>
      </c>
      <c r="D71" s="129">
        <f>IF(A71&lt;=$B$64,E71-C71,0)</f>
        <v>0</v>
      </c>
      <c r="E71" s="129">
        <f t="shared" ref="E71:E82" si="18">+IF($B$65&lt;A71,$B$66,C71)</f>
        <v>155.83333333333334</v>
      </c>
      <c r="F71" s="128">
        <f>+A82+1</f>
        <v>13</v>
      </c>
      <c r="G71" s="129">
        <f>B82-D82</f>
        <v>55000</v>
      </c>
      <c r="H71" s="129">
        <f t="shared" ref="H71:H82" si="19">IF(G71&lt;0,0,G71*$B$63/12)</f>
        <v>155.83333333333334</v>
      </c>
      <c r="I71" s="129">
        <f>IF(F71&lt;=$B$64,J71-H71,0)</f>
        <v>0</v>
      </c>
      <c r="J71" s="129">
        <f t="shared" ref="J71:J82" si="20">+IF($B$65&lt;F71,$B$66,H71)</f>
        <v>155.83333333333334</v>
      </c>
      <c r="K71" s="128">
        <f>+F82+1</f>
        <v>25</v>
      </c>
      <c r="L71" s="129">
        <f>G82-I82</f>
        <v>55000</v>
      </c>
      <c r="M71" s="129">
        <f t="shared" ref="M71:M82" si="21">IF(L71&lt;0,0,L71*$B$63/12)</f>
        <v>155.83333333333334</v>
      </c>
      <c r="N71" s="129">
        <f>IF(K71&lt;=$B$64,O71-M71,0)</f>
        <v>499.3341474768572</v>
      </c>
      <c r="O71" s="129">
        <f t="shared" ref="O71:O82" si="22">IF($B$65&lt;K71,$B$66,M71)</f>
        <v>655.16748081019057</v>
      </c>
      <c r="P71" s="128">
        <f>+K82+1</f>
        <v>37</v>
      </c>
      <c r="Q71" s="129">
        <f>L82-N82</f>
        <v>48913.727217560394</v>
      </c>
      <c r="R71" s="129">
        <f t="shared" ref="R71:R82" si="23">IF(Q71&lt;0,0,Q71*$B$63/12)</f>
        <v>138.5888937830878</v>
      </c>
      <c r="S71" s="129">
        <f>IF(P71&lt;=$B$64,T71-R71,0)</f>
        <v>516.5785870271028</v>
      </c>
      <c r="T71" s="129">
        <f t="shared" ref="T71:T82" si="24">IF($B$65&lt;P71,$B$66,R71)</f>
        <v>655.16748081019057</v>
      </c>
      <c r="U71" s="128">
        <f>+P82+1</f>
        <v>49</v>
      </c>
      <c r="V71" s="129">
        <f>Q82-S82</f>
        <v>42617.265799688146</v>
      </c>
      <c r="W71" s="129">
        <f t="shared" ref="W71:W82" si="25">IF(V71&lt;0,0,V71*$B$63/12)</f>
        <v>120.7489197657831</v>
      </c>
      <c r="X71" s="129">
        <f>IF(U71&lt;=$B$64,Y71-W71,0)</f>
        <v>534.41856104440751</v>
      </c>
      <c r="Y71" s="129">
        <f t="shared" ref="Y71:Y83" si="26">$B$66</f>
        <v>655.16748081019057</v>
      </c>
      <c r="Z71" s="101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</row>
    <row r="72" spans="1:36">
      <c r="A72" s="128">
        <f t="shared" ref="A72:A82" si="27">+A71+1</f>
        <v>2</v>
      </c>
      <c r="B72" s="129">
        <f t="shared" ref="B72:B82" si="28">+B71-D71</f>
        <v>55000</v>
      </c>
      <c r="C72" s="129">
        <f t="shared" si="17"/>
        <v>155.83333333333334</v>
      </c>
      <c r="D72" s="129">
        <f t="shared" ref="D72:D82" si="29">IF(A72&lt;=$B$64,E72-C72,0)</f>
        <v>0</v>
      </c>
      <c r="E72" s="129">
        <f t="shared" si="18"/>
        <v>155.83333333333334</v>
      </c>
      <c r="F72" s="128">
        <f t="shared" ref="F72:F82" si="30">+F71+1</f>
        <v>14</v>
      </c>
      <c r="G72" s="129">
        <f t="shared" ref="G72:G82" si="31">G71-I71</f>
        <v>55000</v>
      </c>
      <c r="H72" s="129">
        <f t="shared" si="19"/>
        <v>155.83333333333334</v>
      </c>
      <c r="I72" s="129">
        <f t="shared" ref="I72:I82" si="32">IF(F72&lt;=$B$64,J72-H72,0)</f>
        <v>0</v>
      </c>
      <c r="J72" s="129">
        <f t="shared" si="20"/>
        <v>155.83333333333334</v>
      </c>
      <c r="K72" s="128">
        <f t="shared" ref="K72:K82" si="33">+K71+1</f>
        <v>26</v>
      </c>
      <c r="L72" s="129">
        <f t="shared" ref="L72:L82" si="34">L71-N71</f>
        <v>54500.66585252314</v>
      </c>
      <c r="M72" s="129">
        <f t="shared" si="21"/>
        <v>154.41855324881558</v>
      </c>
      <c r="N72" s="129">
        <f t="shared" ref="N72:N82" si="35">IF(K72&lt;=$B$64,O72-M72,0)</f>
        <v>500.74892756137501</v>
      </c>
      <c r="O72" s="129">
        <f t="shared" si="22"/>
        <v>655.16748081019057</v>
      </c>
      <c r="P72" s="128">
        <f t="shared" ref="P72:P82" si="36">+P71+1</f>
        <v>38</v>
      </c>
      <c r="Q72" s="129">
        <f t="shared" ref="Q72:Q82" si="37">Q71-S71</f>
        <v>48397.148630533295</v>
      </c>
      <c r="R72" s="129">
        <f t="shared" si="23"/>
        <v>137.12525445317769</v>
      </c>
      <c r="S72" s="129">
        <f t="shared" ref="S72:S82" si="38">IF(P72&lt;=$B$64,T72-R72,0)</f>
        <v>518.04222635701285</v>
      </c>
      <c r="T72" s="129">
        <f t="shared" si="24"/>
        <v>655.16748081019057</v>
      </c>
      <c r="U72" s="128">
        <f t="shared" ref="U72:U82" si="39">+U71+1</f>
        <v>50</v>
      </c>
      <c r="V72" s="129">
        <f t="shared" ref="V72:V82" si="40">V71-X71</f>
        <v>42082.847238643735</v>
      </c>
      <c r="W72" s="129">
        <f t="shared" si="25"/>
        <v>119.23473384282393</v>
      </c>
      <c r="X72" s="129">
        <f t="shared" ref="X72:X82" si="41">IF(U72&lt;=$B$64,Y72-W72,0)</f>
        <v>535.9327469673666</v>
      </c>
      <c r="Y72" s="129">
        <f t="shared" si="26"/>
        <v>655.16748081019057</v>
      </c>
      <c r="Z72" s="101"/>
      <c r="AA72" s="101"/>
      <c r="AB72" s="101"/>
      <c r="AC72" s="101"/>
      <c r="AD72" s="101"/>
      <c r="AE72" s="101"/>
      <c r="AF72" s="101"/>
      <c r="AG72" s="101"/>
      <c r="AH72" s="101"/>
      <c r="AI72" s="101"/>
      <c r="AJ72" s="101"/>
    </row>
    <row r="73" spans="1:36">
      <c r="A73" s="128">
        <f t="shared" si="27"/>
        <v>3</v>
      </c>
      <c r="B73" s="129">
        <f t="shared" si="28"/>
        <v>55000</v>
      </c>
      <c r="C73" s="129">
        <f t="shared" si="17"/>
        <v>155.83333333333334</v>
      </c>
      <c r="D73" s="129">
        <f t="shared" si="29"/>
        <v>0</v>
      </c>
      <c r="E73" s="129">
        <f t="shared" si="18"/>
        <v>155.83333333333334</v>
      </c>
      <c r="F73" s="128">
        <f t="shared" si="30"/>
        <v>15</v>
      </c>
      <c r="G73" s="129">
        <f t="shared" si="31"/>
        <v>55000</v>
      </c>
      <c r="H73" s="129">
        <f t="shared" si="19"/>
        <v>155.83333333333334</v>
      </c>
      <c r="I73" s="129">
        <f t="shared" si="32"/>
        <v>0</v>
      </c>
      <c r="J73" s="129">
        <f t="shared" si="20"/>
        <v>155.83333333333334</v>
      </c>
      <c r="K73" s="128">
        <f t="shared" si="33"/>
        <v>27</v>
      </c>
      <c r="L73" s="129">
        <f t="shared" si="34"/>
        <v>53999.916924961763</v>
      </c>
      <c r="M73" s="129">
        <f t="shared" si="21"/>
        <v>152.99976462072502</v>
      </c>
      <c r="N73" s="129">
        <f t="shared" si="35"/>
        <v>502.16771618946552</v>
      </c>
      <c r="O73" s="129">
        <f t="shared" si="22"/>
        <v>655.16748081019057</v>
      </c>
      <c r="P73" s="128">
        <f t="shared" si="36"/>
        <v>39</v>
      </c>
      <c r="Q73" s="129">
        <f t="shared" si="37"/>
        <v>47879.10640417628</v>
      </c>
      <c r="R73" s="129">
        <f t="shared" si="23"/>
        <v>135.65746814516612</v>
      </c>
      <c r="S73" s="129">
        <f t="shared" si="38"/>
        <v>519.51001266502442</v>
      </c>
      <c r="T73" s="129">
        <f t="shared" si="24"/>
        <v>655.16748081019057</v>
      </c>
      <c r="U73" s="128">
        <f t="shared" si="39"/>
        <v>51</v>
      </c>
      <c r="V73" s="129">
        <f t="shared" si="40"/>
        <v>41546.914491676369</v>
      </c>
      <c r="W73" s="129">
        <f t="shared" si="25"/>
        <v>117.71625772641637</v>
      </c>
      <c r="X73" s="129">
        <f t="shared" si="41"/>
        <v>537.45122308377415</v>
      </c>
      <c r="Y73" s="129">
        <f t="shared" si="26"/>
        <v>655.16748081019057</v>
      </c>
      <c r="Z73" s="101"/>
      <c r="AA73" s="101"/>
      <c r="AB73" s="101"/>
      <c r="AC73" s="101"/>
      <c r="AD73" s="101"/>
      <c r="AE73" s="101"/>
      <c r="AF73" s="101"/>
      <c r="AG73" s="101"/>
      <c r="AH73" s="101"/>
      <c r="AI73" s="101"/>
      <c r="AJ73" s="101"/>
    </row>
    <row r="74" spans="1:36">
      <c r="A74" s="128">
        <f t="shared" si="27"/>
        <v>4</v>
      </c>
      <c r="B74" s="129">
        <f t="shared" si="28"/>
        <v>55000</v>
      </c>
      <c r="C74" s="129">
        <f t="shared" si="17"/>
        <v>155.83333333333334</v>
      </c>
      <c r="D74" s="129">
        <f t="shared" si="29"/>
        <v>0</v>
      </c>
      <c r="E74" s="129">
        <f t="shared" si="18"/>
        <v>155.83333333333334</v>
      </c>
      <c r="F74" s="128">
        <f t="shared" si="30"/>
        <v>16</v>
      </c>
      <c r="G74" s="129">
        <f t="shared" si="31"/>
        <v>55000</v>
      </c>
      <c r="H74" s="129">
        <f t="shared" si="19"/>
        <v>155.83333333333334</v>
      </c>
      <c r="I74" s="129">
        <f t="shared" si="32"/>
        <v>0</v>
      </c>
      <c r="J74" s="129">
        <f t="shared" si="20"/>
        <v>155.83333333333334</v>
      </c>
      <c r="K74" s="128">
        <f t="shared" si="33"/>
        <v>28</v>
      </c>
      <c r="L74" s="129">
        <f t="shared" si="34"/>
        <v>53497.7492087723</v>
      </c>
      <c r="M74" s="129">
        <f t="shared" si="21"/>
        <v>151.57695609152154</v>
      </c>
      <c r="N74" s="129">
        <f t="shared" si="35"/>
        <v>503.59052471866903</v>
      </c>
      <c r="O74" s="129">
        <f t="shared" si="22"/>
        <v>655.16748081019057</v>
      </c>
      <c r="P74" s="128">
        <f t="shared" si="36"/>
        <v>40</v>
      </c>
      <c r="Q74" s="129">
        <f t="shared" si="37"/>
        <v>47359.596391511259</v>
      </c>
      <c r="R74" s="129">
        <f t="shared" si="23"/>
        <v>134.18552310928192</v>
      </c>
      <c r="S74" s="129">
        <f t="shared" si="38"/>
        <v>520.98195770090865</v>
      </c>
      <c r="T74" s="129">
        <f t="shared" si="24"/>
        <v>655.16748081019057</v>
      </c>
      <c r="U74" s="128">
        <f t="shared" si="39"/>
        <v>52</v>
      </c>
      <c r="V74" s="129">
        <f t="shared" si="40"/>
        <v>41009.463268592597</v>
      </c>
      <c r="W74" s="129">
        <f t="shared" si="25"/>
        <v>116.19347926101237</v>
      </c>
      <c r="X74" s="129">
        <f t="shared" si="41"/>
        <v>538.97400154917818</v>
      </c>
      <c r="Y74" s="129">
        <f t="shared" si="26"/>
        <v>655.16748081019057</v>
      </c>
      <c r="Z74" s="101"/>
      <c r="AA74" s="101"/>
      <c r="AB74" s="101"/>
      <c r="AC74" s="101"/>
      <c r="AD74" s="101"/>
      <c r="AE74" s="101"/>
      <c r="AF74" s="101"/>
      <c r="AG74" s="101"/>
      <c r="AH74" s="101"/>
      <c r="AI74" s="101"/>
      <c r="AJ74" s="101"/>
    </row>
    <row r="75" spans="1:36">
      <c r="A75" s="128">
        <f t="shared" si="27"/>
        <v>5</v>
      </c>
      <c r="B75" s="129">
        <f t="shared" si="28"/>
        <v>55000</v>
      </c>
      <c r="C75" s="129">
        <f t="shared" si="17"/>
        <v>155.83333333333334</v>
      </c>
      <c r="D75" s="129">
        <f t="shared" si="29"/>
        <v>0</v>
      </c>
      <c r="E75" s="129">
        <f t="shared" si="18"/>
        <v>155.83333333333334</v>
      </c>
      <c r="F75" s="128">
        <f t="shared" si="30"/>
        <v>17</v>
      </c>
      <c r="G75" s="129">
        <f t="shared" si="31"/>
        <v>55000</v>
      </c>
      <c r="H75" s="129">
        <f t="shared" si="19"/>
        <v>155.83333333333334</v>
      </c>
      <c r="I75" s="129">
        <f t="shared" si="32"/>
        <v>0</v>
      </c>
      <c r="J75" s="129">
        <f t="shared" si="20"/>
        <v>155.83333333333334</v>
      </c>
      <c r="K75" s="128">
        <f t="shared" si="33"/>
        <v>29</v>
      </c>
      <c r="L75" s="129">
        <f t="shared" si="34"/>
        <v>52994.158684053633</v>
      </c>
      <c r="M75" s="129">
        <f t="shared" si="21"/>
        <v>150.1501162714853</v>
      </c>
      <c r="N75" s="129">
        <f t="shared" si="35"/>
        <v>505.01736453870524</v>
      </c>
      <c r="O75" s="129">
        <f t="shared" si="22"/>
        <v>655.16748081019057</v>
      </c>
      <c r="P75" s="128">
        <f t="shared" si="36"/>
        <v>41</v>
      </c>
      <c r="Q75" s="129">
        <f t="shared" si="37"/>
        <v>46838.614433810348</v>
      </c>
      <c r="R75" s="129">
        <f t="shared" si="23"/>
        <v>132.70940756246264</v>
      </c>
      <c r="S75" s="129">
        <f t="shared" si="38"/>
        <v>522.45807324772795</v>
      </c>
      <c r="T75" s="129">
        <f t="shared" si="24"/>
        <v>655.16748081019057</v>
      </c>
      <c r="U75" s="128">
        <f t="shared" si="39"/>
        <v>53</v>
      </c>
      <c r="V75" s="129">
        <f t="shared" si="40"/>
        <v>40470.48926704342</v>
      </c>
      <c r="W75" s="129">
        <f t="shared" si="25"/>
        <v>114.66638625662303</v>
      </c>
      <c r="X75" s="129">
        <f t="shared" si="41"/>
        <v>540.50109455356755</v>
      </c>
      <c r="Y75" s="129">
        <f t="shared" si="26"/>
        <v>655.16748081019057</v>
      </c>
      <c r="Z75" s="101"/>
      <c r="AA75" s="101"/>
      <c r="AB75" s="101"/>
      <c r="AC75" s="101"/>
      <c r="AD75" s="101"/>
      <c r="AE75" s="101"/>
      <c r="AF75" s="101"/>
      <c r="AG75" s="101"/>
      <c r="AH75" s="101"/>
      <c r="AI75" s="101"/>
      <c r="AJ75" s="101"/>
    </row>
    <row r="76" spans="1:36">
      <c r="A76" s="128">
        <f t="shared" si="27"/>
        <v>6</v>
      </c>
      <c r="B76" s="129">
        <f t="shared" si="28"/>
        <v>55000</v>
      </c>
      <c r="C76" s="129">
        <f t="shared" si="17"/>
        <v>155.83333333333334</v>
      </c>
      <c r="D76" s="129">
        <f t="shared" si="29"/>
        <v>0</v>
      </c>
      <c r="E76" s="129">
        <f t="shared" si="18"/>
        <v>155.83333333333334</v>
      </c>
      <c r="F76" s="128">
        <f t="shared" si="30"/>
        <v>18</v>
      </c>
      <c r="G76" s="129">
        <f t="shared" si="31"/>
        <v>55000</v>
      </c>
      <c r="H76" s="129">
        <f t="shared" si="19"/>
        <v>155.83333333333334</v>
      </c>
      <c r="I76" s="129">
        <f t="shared" si="32"/>
        <v>0</v>
      </c>
      <c r="J76" s="129">
        <f t="shared" si="20"/>
        <v>155.83333333333334</v>
      </c>
      <c r="K76" s="128">
        <f t="shared" si="33"/>
        <v>30</v>
      </c>
      <c r="L76" s="129">
        <f t="shared" si="34"/>
        <v>52489.141319514929</v>
      </c>
      <c r="M76" s="129">
        <f t="shared" si="21"/>
        <v>148.71923373862566</v>
      </c>
      <c r="N76" s="129">
        <f t="shared" si="35"/>
        <v>506.44824707156488</v>
      </c>
      <c r="O76" s="129">
        <f t="shared" si="22"/>
        <v>655.16748081019057</v>
      </c>
      <c r="P76" s="128">
        <f t="shared" si="36"/>
        <v>42</v>
      </c>
      <c r="Q76" s="129">
        <f t="shared" si="37"/>
        <v>46316.156360562622</v>
      </c>
      <c r="R76" s="129">
        <f t="shared" si="23"/>
        <v>131.22910968826076</v>
      </c>
      <c r="S76" s="129">
        <f t="shared" si="38"/>
        <v>523.93837112192978</v>
      </c>
      <c r="T76" s="129">
        <f t="shared" si="24"/>
        <v>655.16748081019057</v>
      </c>
      <c r="U76" s="128">
        <f t="shared" si="39"/>
        <v>54</v>
      </c>
      <c r="V76" s="129">
        <f t="shared" si="40"/>
        <v>39929.988172489851</v>
      </c>
      <c r="W76" s="129">
        <f t="shared" si="25"/>
        <v>113.13496648872126</v>
      </c>
      <c r="X76" s="129">
        <f t="shared" si="41"/>
        <v>542.03251432146931</v>
      </c>
      <c r="Y76" s="129">
        <f t="shared" si="26"/>
        <v>655.16748081019057</v>
      </c>
      <c r="Z76" s="101"/>
      <c r="AA76" s="101"/>
      <c r="AB76" s="101"/>
      <c r="AC76" s="101"/>
      <c r="AD76" s="101"/>
      <c r="AE76" s="101"/>
      <c r="AF76" s="101"/>
      <c r="AG76" s="101"/>
      <c r="AH76" s="101"/>
      <c r="AI76" s="101"/>
      <c r="AJ76" s="101"/>
    </row>
    <row r="77" spans="1:36">
      <c r="A77" s="128">
        <f t="shared" si="27"/>
        <v>7</v>
      </c>
      <c r="B77" s="129">
        <f t="shared" si="28"/>
        <v>55000</v>
      </c>
      <c r="C77" s="129">
        <f t="shared" si="17"/>
        <v>155.83333333333334</v>
      </c>
      <c r="D77" s="129">
        <f t="shared" si="29"/>
        <v>0</v>
      </c>
      <c r="E77" s="129">
        <f t="shared" si="18"/>
        <v>155.83333333333334</v>
      </c>
      <c r="F77" s="128">
        <f t="shared" si="30"/>
        <v>19</v>
      </c>
      <c r="G77" s="129">
        <f t="shared" si="31"/>
        <v>55000</v>
      </c>
      <c r="H77" s="129">
        <f t="shared" si="19"/>
        <v>155.83333333333334</v>
      </c>
      <c r="I77" s="129">
        <f t="shared" si="32"/>
        <v>0</v>
      </c>
      <c r="J77" s="129">
        <f t="shared" si="20"/>
        <v>155.83333333333334</v>
      </c>
      <c r="K77" s="128">
        <f t="shared" si="33"/>
        <v>31</v>
      </c>
      <c r="L77" s="129">
        <f t="shared" si="34"/>
        <v>51982.693072443362</v>
      </c>
      <c r="M77" s="129">
        <f t="shared" si="21"/>
        <v>147.28429703858953</v>
      </c>
      <c r="N77" s="129">
        <f t="shared" si="35"/>
        <v>507.88318377160101</v>
      </c>
      <c r="O77" s="129">
        <f t="shared" si="22"/>
        <v>655.16748081019057</v>
      </c>
      <c r="P77" s="128">
        <f t="shared" si="36"/>
        <v>43</v>
      </c>
      <c r="Q77" s="129">
        <f t="shared" si="37"/>
        <v>45792.217989440695</v>
      </c>
      <c r="R77" s="129">
        <f t="shared" si="23"/>
        <v>129.74461763674864</v>
      </c>
      <c r="S77" s="129">
        <f t="shared" si="38"/>
        <v>525.4228631734419</v>
      </c>
      <c r="T77" s="129">
        <f t="shared" si="24"/>
        <v>655.16748081019057</v>
      </c>
      <c r="U77" s="128">
        <f t="shared" si="39"/>
        <v>55</v>
      </c>
      <c r="V77" s="129">
        <f t="shared" si="40"/>
        <v>39387.955658168379</v>
      </c>
      <c r="W77" s="129">
        <f t="shared" si="25"/>
        <v>111.59920769814374</v>
      </c>
      <c r="X77" s="129">
        <f t="shared" si="41"/>
        <v>543.56827311204688</v>
      </c>
      <c r="Y77" s="129">
        <f t="shared" si="26"/>
        <v>655.16748081019057</v>
      </c>
      <c r="Z77" s="101"/>
      <c r="AA77" s="101"/>
      <c r="AB77" s="101"/>
      <c r="AC77" s="101"/>
      <c r="AD77" s="101"/>
      <c r="AE77" s="101"/>
      <c r="AF77" s="101"/>
      <c r="AG77" s="101"/>
      <c r="AH77" s="101"/>
      <c r="AI77" s="101"/>
      <c r="AJ77" s="101"/>
    </row>
    <row r="78" spans="1:36">
      <c r="A78" s="128">
        <f t="shared" si="27"/>
        <v>8</v>
      </c>
      <c r="B78" s="129">
        <f t="shared" si="28"/>
        <v>55000</v>
      </c>
      <c r="C78" s="129">
        <f t="shared" si="17"/>
        <v>155.83333333333334</v>
      </c>
      <c r="D78" s="129">
        <f t="shared" si="29"/>
        <v>0</v>
      </c>
      <c r="E78" s="129">
        <f t="shared" si="18"/>
        <v>155.83333333333334</v>
      </c>
      <c r="F78" s="128">
        <f t="shared" si="30"/>
        <v>20</v>
      </c>
      <c r="G78" s="129">
        <f t="shared" si="31"/>
        <v>55000</v>
      </c>
      <c r="H78" s="129">
        <f t="shared" si="19"/>
        <v>155.83333333333334</v>
      </c>
      <c r="I78" s="129">
        <f t="shared" si="32"/>
        <v>0</v>
      </c>
      <c r="J78" s="129">
        <f t="shared" si="20"/>
        <v>155.83333333333334</v>
      </c>
      <c r="K78" s="128">
        <f t="shared" si="33"/>
        <v>32</v>
      </c>
      <c r="L78" s="129">
        <f t="shared" si="34"/>
        <v>51474.809888671763</v>
      </c>
      <c r="M78" s="129">
        <f t="shared" si="21"/>
        <v>145.84529468457001</v>
      </c>
      <c r="N78" s="129">
        <f t="shared" si="35"/>
        <v>509.32218612562053</v>
      </c>
      <c r="O78" s="129">
        <f t="shared" si="22"/>
        <v>655.16748081019057</v>
      </c>
      <c r="P78" s="128">
        <f t="shared" si="36"/>
        <v>44</v>
      </c>
      <c r="Q78" s="129">
        <f t="shared" si="37"/>
        <v>45266.79512626725</v>
      </c>
      <c r="R78" s="129">
        <f t="shared" si="23"/>
        <v>128.25591952442389</v>
      </c>
      <c r="S78" s="129">
        <f t="shared" si="38"/>
        <v>526.91156128576665</v>
      </c>
      <c r="T78" s="129">
        <f t="shared" si="24"/>
        <v>655.16748081019057</v>
      </c>
      <c r="U78" s="128">
        <f t="shared" si="39"/>
        <v>56</v>
      </c>
      <c r="V78" s="129">
        <f t="shared" si="40"/>
        <v>38844.387385056332</v>
      </c>
      <c r="W78" s="129">
        <f t="shared" si="25"/>
        <v>110.05909759099295</v>
      </c>
      <c r="X78" s="129">
        <f t="shared" si="41"/>
        <v>545.10838321919766</v>
      </c>
      <c r="Y78" s="129">
        <f t="shared" si="26"/>
        <v>655.16748081019057</v>
      </c>
      <c r="Z78" s="101"/>
      <c r="AA78" s="101"/>
      <c r="AB78" s="101"/>
      <c r="AC78" s="101"/>
      <c r="AD78" s="101"/>
      <c r="AE78" s="101"/>
      <c r="AF78" s="101"/>
      <c r="AG78" s="101"/>
      <c r="AH78" s="101"/>
      <c r="AI78" s="101"/>
      <c r="AJ78" s="101"/>
    </row>
    <row r="79" spans="1:36">
      <c r="A79" s="128">
        <f t="shared" si="27"/>
        <v>9</v>
      </c>
      <c r="B79" s="129">
        <f t="shared" si="28"/>
        <v>55000</v>
      </c>
      <c r="C79" s="129">
        <f t="shared" si="17"/>
        <v>155.83333333333334</v>
      </c>
      <c r="D79" s="129">
        <f t="shared" si="29"/>
        <v>0</v>
      </c>
      <c r="E79" s="129">
        <f t="shared" si="18"/>
        <v>155.83333333333334</v>
      </c>
      <c r="F79" s="128">
        <f t="shared" si="30"/>
        <v>21</v>
      </c>
      <c r="G79" s="129">
        <f t="shared" si="31"/>
        <v>55000</v>
      </c>
      <c r="H79" s="129">
        <f t="shared" si="19"/>
        <v>155.83333333333334</v>
      </c>
      <c r="I79" s="129">
        <f t="shared" si="32"/>
        <v>0</v>
      </c>
      <c r="J79" s="129">
        <f t="shared" si="20"/>
        <v>155.83333333333334</v>
      </c>
      <c r="K79" s="128">
        <f t="shared" si="33"/>
        <v>33</v>
      </c>
      <c r="L79" s="129">
        <f t="shared" si="34"/>
        <v>50965.487702546146</v>
      </c>
      <c r="M79" s="129">
        <f t="shared" si="21"/>
        <v>144.4022151572141</v>
      </c>
      <c r="N79" s="129">
        <f t="shared" si="35"/>
        <v>510.7652656529765</v>
      </c>
      <c r="O79" s="129">
        <f t="shared" si="22"/>
        <v>655.16748081019057</v>
      </c>
      <c r="P79" s="128">
        <f t="shared" si="36"/>
        <v>45</v>
      </c>
      <c r="Q79" s="129">
        <f t="shared" si="37"/>
        <v>44739.883564981486</v>
      </c>
      <c r="R79" s="129">
        <f t="shared" si="23"/>
        <v>126.76300343411422</v>
      </c>
      <c r="S79" s="129">
        <f t="shared" si="38"/>
        <v>528.40447737607633</v>
      </c>
      <c r="T79" s="129">
        <f t="shared" si="24"/>
        <v>655.16748081019057</v>
      </c>
      <c r="U79" s="128">
        <f t="shared" si="39"/>
        <v>57</v>
      </c>
      <c r="V79" s="129">
        <f t="shared" si="40"/>
        <v>38299.279001837138</v>
      </c>
      <c r="W79" s="129">
        <f t="shared" si="25"/>
        <v>108.51462383853857</v>
      </c>
      <c r="X79" s="129">
        <f t="shared" si="41"/>
        <v>546.652856971652</v>
      </c>
      <c r="Y79" s="129">
        <f t="shared" si="26"/>
        <v>655.16748081019057</v>
      </c>
      <c r="Z79" s="101"/>
      <c r="AA79" s="101"/>
      <c r="AB79" s="101"/>
      <c r="AC79" s="101"/>
      <c r="AD79" s="101"/>
      <c r="AE79" s="101"/>
      <c r="AF79" s="101"/>
      <c r="AG79" s="101"/>
      <c r="AH79" s="101"/>
      <c r="AI79" s="101"/>
      <c r="AJ79" s="101"/>
    </row>
    <row r="80" spans="1:36">
      <c r="A80" s="128">
        <f t="shared" si="27"/>
        <v>10</v>
      </c>
      <c r="B80" s="129">
        <f t="shared" si="28"/>
        <v>55000</v>
      </c>
      <c r="C80" s="129">
        <f t="shared" si="17"/>
        <v>155.83333333333334</v>
      </c>
      <c r="D80" s="129">
        <f t="shared" si="29"/>
        <v>0</v>
      </c>
      <c r="E80" s="129">
        <f t="shared" si="18"/>
        <v>155.83333333333334</v>
      </c>
      <c r="F80" s="128">
        <f t="shared" si="30"/>
        <v>22</v>
      </c>
      <c r="G80" s="129">
        <f t="shared" si="31"/>
        <v>55000</v>
      </c>
      <c r="H80" s="129">
        <f t="shared" si="19"/>
        <v>155.83333333333334</v>
      </c>
      <c r="I80" s="129">
        <f t="shared" si="32"/>
        <v>0</v>
      </c>
      <c r="J80" s="129">
        <f t="shared" si="20"/>
        <v>155.83333333333334</v>
      </c>
      <c r="K80" s="128">
        <f t="shared" si="33"/>
        <v>34</v>
      </c>
      <c r="L80" s="129">
        <f t="shared" si="34"/>
        <v>50454.722436893171</v>
      </c>
      <c r="M80" s="129">
        <f t="shared" si="21"/>
        <v>142.95504690453066</v>
      </c>
      <c r="N80" s="129">
        <f t="shared" si="35"/>
        <v>512.21243390565996</v>
      </c>
      <c r="O80" s="129">
        <f t="shared" si="22"/>
        <v>655.16748081019057</v>
      </c>
      <c r="P80" s="128">
        <f t="shared" si="36"/>
        <v>46</v>
      </c>
      <c r="Q80" s="129">
        <f t="shared" si="37"/>
        <v>44211.47908760541</v>
      </c>
      <c r="R80" s="129">
        <f t="shared" si="23"/>
        <v>125.26585741488201</v>
      </c>
      <c r="S80" s="129">
        <f t="shared" si="38"/>
        <v>529.90162339530855</v>
      </c>
      <c r="T80" s="129">
        <f t="shared" si="24"/>
        <v>655.16748081019057</v>
      </c>
      <c r="U80" s="128">
        <f t="shared" si="39"/>
        <v>58</v>
      </c>
      <c r="V80" s="129">
        <f t="shared" si="40"/>
        <v>37752.626144865484</v>
      </c>
      <c r="W80" s="129">
        <f t="shared" si="25"/>
        <v>106.96577407711887</v>
      </c>
      <c r="X80" s="129">
        <f t="shared" si="41"/>
        <v>548.20170673307166</v>
      </c>
      <c r="Y80" s="129">
        <f t="shared" si="26"/>
        <v>655.16748081019057</v>
      </c>
      <c r="Z80" s="101"/>
      <c r="AA80" s="101"/>
      <c r="AB80" s="101"/>
      <c r="AC80" s="101"/>
      <c r="AD80" s="101"/>
      <c r="AE80" s="101"/>
      <c r="AF80" s="101"/>
      <c r="AG80" s="101"/>
      <c r="AH80" s="101"/>
      <c r="AI80" s="101"/>
      <c r="AJ80" s="101"/>
    </row>
    <row r="81" spans="1:36">
      <c r="A81" s="128">
        <f t="shared" si="27"/>
        <v>11</v>
      </c>
      <c r="B81" s="129">
        <f t="shared" si="28"/>
        <v>55000</v>
      </c>
      <c r="C81" s="129">
        <f t="shared" si="17"/>
        <v>155.83333333333334</v>
      </c>
      <c r="D81" s="129">
        <f t="shared" si="29"/>
        <v>0</v>
      </c>
      <c r="E81" s="129">
        <f t="shared" si="18"/>
        <v>155.83333333333334</v>
      </c>
      <c r="F81" s="128">
        <f t="shared" si="30"/>
        <v>23</v>
      </c>
      <c r="G81" s="129">
        <f t="shared" si="31"/>
        <v>55000</v>
      </c>
      <c r="H81" s="129">
        <f t="shared" si="19"/>
        <v>155.83333333333334</v>
      </c>
      <c r="I81" s="129">
        <f t="shared" si="32"/>
        <v>0</v>
      </c>
      <c r="J81" s="129">
        <f t="shared" si="20"/>
        <v>155.83333333333334</v>
      </c>
      <c r="K81" s="128">
        <f t="shared" si="33"/>
        <v>35</v>
      </c>
      <c r="L81" s="129">
        <f t="shared" si="34"/>
        <v>49942.51000298751</v>
      </c>
      <c r="M81" s="129">
        <f t="shared" si="21"/>
        <v>141.50377834179795</v>
      </c>
      <c r="N81" s="129">
        <f t="shared" si="35"/>
        <v>513.66370246839256</v>
      </c>
      <c r="O81" s="129">
        <f t="shared" si="22"/>
        <v>655.16748081019057</v>
      </c>
      <c r="P81" s="128">
        <f t="shared" si="36"/>
        <v>47</v>
      </c>
      <c r="Q81" s="129">
        <f t="shared" si="37"/>
        <v>43681.577464210102</v>
      </c>
      <c r="R81" s="129">
        <f t="shared" si="23"/>
        <v>123.76446948192863</v>
      </c>
      <c r="S81" s="129">
        <f t="shared" si="38"/>
        <v>531.40301132826198</v>
      </c>
      <c r="T81" s="129">
        <f t="shared" si="24"/>
        <v>655.16748081019057</v>
      </c>
      <c r="U81" s="128">
        <f t="shared" si="39"/>
        <v>59</v>
      </c>
      <c r="V81" s="129">
        <f t="shared" si="40"/>
        <v>37204.42443813241</v>
      </c>
      <c r="W81" s="129">
        <f t="shared" si="25"/>
        <v>105.41253590804183</v>
      </c>
      <c r="X81" s="129">
        <f t="shared" si="41"/>
        <v>549.75494490214874</v>
      </c>
      <c r="Y81" s="129">
        <f t="shared" si="26"/>
        <v>655.16748081019057</v>
      </c>
      <c r="Z81" s="101"/>
      <c r="AA81" s="101"/>
      <c r="AB81" s="101"/>
      <c r="AC81" s="101"/>
      <c r="AD81" s="101"/>
      <c r="AE81" s="101"/>
      <c r="AF81" s="101"/>
      <c r="AG81" s="101"/>
      <c r="AH81" s="101"/>
      <c r="AI81" s="101"/>
      <c r="AJ81" s="101"/>
    </row>
    <row r="82" spans="1:36">
      <c r="A82" s="128">
        <f t="shared" si="27"/>
        <v>12</v>
      </c>
      <c r="B82" s="129">
        <f t="shared" si="28"/>
        <v>55000</v>
      </c>
      <c r="C82" s="129">
        <f t="shared" si="17"/>
        <v>155.83333333333334</v>
      </c>
      <c r="D82" s="129">
        <f t="shared" si="29"/>
        <v>0</v>
      </c>
      <c r="E82" s="129">
        <f t="shared" si="18"/>
        <v>155.83333333333334</v>
      </c>
      <c r="F82" s="128">
        <f t="shared" si="30"/>
        <v>24</v>
      </c>
      <c r="G82" s="129">
        <f t="shared" si="31"/>
        <v>55000</v>
      </c>
      <c r="H82" s="129">
        <f t="shared" si="19"/>
        <v>155.83333333333334</v>
      </c>
      <c r="I82" s="129">
        <f t="shared" si="32"/>
        <v>0</v>
      </c>
      <c r="J82" s="129">
        <f t="shared" si="20"/>
        <v>155.83333333333334</v>
      </c>
      <c r="K82" s="128">
        <f t="shared" si="33"/>
        <v>36</v>
      </c>
      <c r="L82" s="129">
        <f t="shared" si="34"/>
        <v>49428.846300519115</v>
      </c>
      <c r="M82" s="129">
        <f t="shared" si="21"/>
        <v>140.04839785147084</v>
      </c>
      <c r="N82" s="129">
        <f t="shared" si="35"/>
        <v>515.11908295871967</v>
      </c>
      <c r="O82" s="129">
        <f t="shared" si="22"/>
        <v>655.16748081019057</v>
      </c>
      <c r="P82" s="128">
        <f t="shared" si="36"/>
        <v>48</v>
      </c>
      <c r="Q82" s="129">
        <f t="shared" si="37"/>
        <v>43150.174452881838</v>
      </c>
      <c r="R82" s="129">
        <f t="shared" si="23"/>
        <v>122.25882761649855</v>
      </c>
      <c r="S82" s="129">
        <f t="shared" si="38"/>
        <v>532.90865319369198</v>
      </c>
      <c r="T82" s="129">
        <f t="shared" si="24"/>
        <v>655.16748081019057</v>
      </c>
      <c r="U82" s="128">
        <f t="shared" si="39"/>
        <v>60</v>
      </c>
      <c r="V82" s="129">
        <f t="shared" si="40"/>
        <v>36654.669493230263</v>
      </c>
      <c r="W82" s="129">
        <f t="shared" si="25"/>
        <v>103.85489689748574</v>
      </c>
      <c r="X82" s="129">
        <f t="shared" si="41"/>
        <v>551.31258391270478</v>
      </c>
      <c r="Y82" s="129">
        <f t="shared" si="26"/>
        <v>655.16748081019057</v>
      </c>
      <c r="Z82" s="101"/>
      <c r="AA82" s="101"/>
      <c r="AB82" s="101"/>
      <c r="AC82" s="101"/>
      <c r="AD82" s="101"/>
      <c r="AE82" s="101"/>
      <c r="AF82" s="101"/>
      <c r="AG82" s="101"/>
      <c r="AH82" s="101"/>
      <c r="AI82" s="101"/>
      <c r="AJ82" s="101"/>
    </row>
    <row r="83" spans="1:36">
      <c r="A83" s="122"/>
      <c r="B83" s="129"/>
      <c r="C83" s="129">
        <f>SUM(C71:C82)</f>
        <v>1869.9999999999998</v>
      </c>
      <c r="D83" s="129">
        <f>SUM(D71:D82)</f>
        <v>0</v>
      </c>
      <c r="E83" s="129">
        <f>+(C83+D83)/12</f>
        <v>155.83333333333331</v>
      </c>
      <c r="F83" s="122"/>
      <c r="G83" s="129"/>
      <c r="H83" s="129">
        <f>SUM(H71:H82)</f>
        <v>1869.9999999999998</v>
      </c>
      <c r="I83" s="129">
        <f>SUM(I71:I82)</f>
        <v>0</v>
      </c>
      <c r="J83" s="129">
        <f>+(H83+I83)/12</f>
        <v>155.83333333333331</v>
      </c>
      <c r="K83" s="122"/>
      <c r="L83" s="129"/>
      <c r="M83" s="129">
        <f>SUM(M71:M82)</f>
        <v>1775.7369872826796</v>
      </c>
      <c r="N83" s="129">
        <f>SUM(N71:N82)</f>
        <v>6086.272782439607</v>
      </c>
      <c r="O83" s="129">
        <f>+(M83+N83)/12</f>
        <v>655.16748081019057</v>
      </c>
      <c r="P83" s="122"/>
      <c r="Q83" s="129"/>
      <c r="R83" s="129">
        <f>SUM(R71:R82)</f>
        <v>1565.548351850033</v>
      </c>
      <c r="S83" s="129">
        <f>SUM(S71:S82)</f>
        <v>6296.4614178722532</v>
      </c>
      <c r="T83" s="129">
        <f>+(R83+S83)/12</f>
        <v>655.16748081019057</v>
      </c>
      <c r="U83" s="122"/>
      <c r="V83" s="129"/>
      <c r="W83" s="129">
        <f>SUM(W71:W82)</f>
        <v>1348.1008793517019</v>
      </c>
      <c r="X83" s="129">
        <f>SUM(X71:X82)</f>
        <v>6513.9088903705861</v>
      </c>
      <c r="Y83" s="129">
        <f t="shared" si="26"/>
        <v>655.16748081019057</v>
      </c>
      <c r="Z83" s="101"/>
      <c r="AA83" s="101"/>
      <c r="AB83" s="101"/>
      <c r="AC83" s="101"/>
      <c r="AD83" s="101"/>
      <c r="AE83" s="101"/>
      <c r="AF83" s="101"/>
      <c r="AG83" s="101"/>
      <c r="AH83" s="101"/>
      <c r="AI83" s="101"/>
      <c r="AJ83" s="101"/>
    </row>
    <row r="84" spans="1:36">
      <c r="A84" s="122"/>
      <c r="B84" s="129"/>
      <c r="C84" s="129"/>
      <c r="D84" s="129"/>
      <c r="E84" s="129"/>
      <c r="F84" s="122"/>
      <c r="G84" s="129"/>
      <c r="H84" s="129"/>
      <c r="I84" s="129"/>
      <c r="J84" s="129"/>
      <c r="K84" s="122"/>
      <c r="L84" s="129"/>
      <c r="M84" s="129"/>
      <c r="N84" s="129"/>
      <c r="O84" s="129"/>
      <c r="P84" s="101"/>
      <c r="Q84" s="102"/>
      <c r="R84" s="102"/>
      <c r="S84" s="102"/>
      <c r="T84" s="102"/>
      <c r="U84" s="101"/>
      <c r="V84" s="102"/>
      <c r="W84" s="102"/>
      <c r="X84" s="102"/>
      <c r="Y84" s="102"/>
      <c r="Z84" s="101"/>
      <c r="AA84" s="101"/>
      <c r="AB84" s="101"/>
      <c r="AC84" s="101"/>
      <c r="AD84" s="101"/>
      <c r="AE84" s="101"/>
      <c r="AF84" s="101"/>
      <c r="AG84" s="101"/>
      <c r="AH84" s="101"/>
      <c r="AI84" s="101"/>
      <c r="AJ84" s="101"/>
    </row>
    <row r="85" spans="1:36">
      <c r="A85" s="129" t="s">
        <v>64</v>
      </c>
      <c r="B85" s="129"/>
      <c r="C85" s="129"/>
      <c r="D85" s="129">
        <f>IF('Inversió inicial'!M17&lt;13,B62,D83)</f>
        <v>0</v>
      </c>
      <c r="E85" s="129"/>
      <c r="F85" s="129"/>
      <c r="G85" s="129"/>
      <c r="H85" s="129"/>
      <c r="I85" s="102">
        <f>IF('Inversió inicial'!M17&lt;25,B62-D85,I83)</f>
        <v>0</v>
      </c>
      <c r="J85" s="129"/>
      <c r="K85" s="129"/>
      <c r="L85" s="129"/>
      <c r="M85" s="129"/>
      <c r="N85" s="102">
        <f>IF('Inversió inicial'!M17&lt;37,B62-D85-I85,N83)</f>
        <v>6086.272782439607</v>
      </c>
      <c r="O85" s="129"/>
      <c r="P85" s="102"/>
      <c r="Q85" s="102"/>
      <c r="R85" s="102"/>
      <c r="S85" s="102">
        <f>IF('Inversió inicial'!M17&lt;49,B62-D85-I85-N85,S83)</f>
        <v>6296.4614178722532</v>
      </c>
      <c r="T85" s="102"/>
      <c r="U85" s="102"/>
      <c r="V85" s="102"/>
      <c r="W85" s="102"/>
      <c r="X85" s="102">
        <f>IF('Inversió inicial'!M17&gt;48,B62-D85-I85-N85-S85,0)</f>
        <v>42617.265799688139</v>
      </c>
      <c r="Y85" s="102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</row>
    <row r="86" spans="1:36">
      <c r="A86" s="101" t="s">
        <v>65</v>
      </c>
      <c r="B86" s="102"/>
      <c r="C86" s="102"/>
      <c r="D86" s="102">
        <f>D85</f>
        <v>0</v>
      </c>
      <c r="E86" s="102"/>
      <c r="F86" s="101"/>
      <c r="G86" s="102"/>
      <c r="H86" s="102"/>
      <c r="I86" s="102">
        <f>+D85+I85</f>
        <v>0</v>
      </c>
      <c r="J86" s="102"/>
      <c r="K86" s="101"/>
      <c r="L86" s="102"/>
      <c r="M86" s="102"/>
      <c r="N86" s="102">
        <f>I86+N85</f>
        <v>6086.272782439607</v>
      </c>
      <c r="O86" s="102"/>
      <c r="P86" s="101"/>
      <c r="Q86" s="102"/>
      <c r="R86" s="102"/>
      <c r="S86" s="102">
        <f>N86+S85</f>
        <v>12382.734200311861</v>
      </c>
      <c r="T86" s="102"/>
      <c r="U86" s="101"/>
      <c r="V86" s="102"/>
      <c r="W86" s="102"/>
      <c r="X86" s="102"/>
      <c r="Y86" s="102">
        <f>+X85+S85+N85+I85+D85</f>
        <v>55000</v>
      </c>
      <c r="Z86" s="101"/>
      <c r="AA86" s="101"/>
      <c r="AB86" s="101"/>
      <c r="AC86" s="101"/>
      <c r="AD86" s="101"/>
      <c r="AE86" s="101"/>
      <c r="AF86" s="101"/>
      <c r="AG86" s="101"/>
      <c r="AH86" s="101"/>
      <c r="AI86" s="101"/>
      <c r="AJ86" s="101"/>
    </row>
    <row r="87" spans="1:36">
      <c r="A87" s="101"/>
      <c r="B87" s="101"/>
      <c r="C87" s="101"/>
      <c r="Z87" s="101"/>
      <c r="AA87" s="101"/>
      <c r="AB87" s="101"/>
      <c r="AC87" s="101"/>
      <c r="AD87" s="101"/>
      <c r="AE87" s="101"/>
      <c r="AF87" s="101"/>
      <c r="AG87" s="101"/>
      <c r="AH87" s="101"/>
      <c r="AI87" s="101"/>
      <c r="AJ87" s="101"/>
    </row>
    <row r="88" spans="1:36">
      <c r="A88" s="105" t="s">
        <v>68</v>
      </c>
      <c r="Z88" s="102"/>
      <c r="AA88" s="101"/>
      <c r="AB88" s="101"/>
      <c r="AC88" s="101"/>
      <c r="AD88" s="101"/>
      <c r="AE88" s="101"/>
      <c r="AF88" s="101"/>
      <c r="AG88" s="101"/>
      <c r="AH88" s="101"/>
      <c r="AI88" s="101"/>
      <c r="AJ88" s="101"/>
    </row>
    <row r="89" spans="1:36">
      <c r="A89" s="120" t="s">
        <v>5</v>
      </c>
      <c r="B89" s="102">
        <f>'Resultats a tres anys'!K15</f>
        <v>0</v>
      </c>
      <c r="Z89" s="101"/>
      <c r="AA89" s="101"/>
      <c r="AB89" s="101"/>
      <c r="AC89" s="101"/>
      <c r="AD89" s="101"/>
      <c r="AE89" s="101"/>
      <c r="AF89" s="101"/>
      <c r="AG89" s="101"/>
      <c r="AH89" s="101"/>
      <c r="AI89" s="101"/>
      <c r="AJ89" s="101"/>
    </row>
    <row r="90" spans="1:36">
      <c r="A90" s="122"/>
      <c r="B90" s="130">
        <f>B63</f>
        <v>3.4000000000000002E-2</v>
      </c>
      <c r="Z90" s="101"/>
      <c r="AA90" s="101"/>
      <c r="AB90" s="101"/>
      <c r="AC90" s="101"/>
      <c r="AD90" s="101"/>
      <c r="AE90" s="101"/>
      <c r="AF90" s="101"/>
      <c r="AG90" s="101"/>
      <c r="AH90" s="101"/>
      <c r="AI90" s="101"/>
      <c r="AJ90" s="101"/>
    </row>
    <row r="91" spans="1:36">
      <c r="A91" s="120" t="s">
        <v>25</v>
      </c>
      <c r="B91" s="131">
        <f>'Inversió inicial'!M17</f>
        <v>120</v>
      </c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  <c r="AA91" s="101"/>
      <c r="AB91" s="101"/>
      <c r="AC91" s="101"/>
      <c r="AD91" s="101"/>
      <c r="AE91" s="101"/>
      <c r="AF91" s="101"/>
      <c r="AG91" s="101"/>
      <c r="AH91" s="101"/>
      <c r="AI91" s="101"/>
      <c r="AJ91" s="101"/>
    </row>
    <row r="92" spans="1:36">
      <c r="A92" s="104" t="s">
        <v>2</v>
      </c>
      <c r="B92" s="131">
        <f>'Inversió inicial'!M15</f>
        <v>24</v>
      </c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  <c r="AA92" s="101"/>
      <c r="AB92" s="101"/>
      <c r="AC92" s="101"/>
      <c r="AD92" s="101"/>
      <c r="AE92" s="101"/>
      <c r="AF92" s="101"/>
      <c r="AG92" s="101"/>
      <c r="AH92" s="101"/>
      <c r="AI92" s="101"/>
      <c r="AJ92" s="101"/>
    </row>
    <row r="93" spans="1:36">
      <c r="A93" s="125" t="s">
        <v>63</v>
      </c>
      <c r="B93" s="102">
        <f>IF(B91=0,0,IF(B90=0,B89/B91,(((B90/12)*B89)/(1-(1+B90/12)^-(B91-B92)))))</f>
        <v>0</v>
      </c>
      <c r="D93" s="101"/>
      <c r="E93" s="101"/>
      <c r="F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  <c r="AA93" s="101"/>
      <c r="AB93" s="101"/>
      <c r="AC93" s="101"/>
      <c r="AD93" s="101"/>
      <c r="AE93" s="101"/>
      <c r="AF93" s="101"/>
      <c r="AG93" s="101"/>
      <c r="AH93" s="101"/>
      <c r="AI93" s="101"/>
      <c r="AJ93" s="101"/>
    </row>
    <row r="94" spans="1:36">
      <c r="A94" s="101"/>
      <c r="B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  <c r="AA94" s="101"/>
      <c r="AB94" s="101"/>
      <c r="AC94" s="101"/>
      <c r="AD94" s="101"/>
      <c r="AE94" s="101"/>
      <c r="AF94" s="101"/>
      <c r="AG94" s="101"/>
      <c r="AH94" s="101"/>
      <c r="AI94" s="101"/>
      <c r="AJ94" s="101"/>
    </row>
    <row r="95" spans="1:36">
      <c r="A95" s="101"/>
      <c r="B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AA95" s="101"/>
      <c r="AB95" s="101"/>
      <c r="AC95" s="101"/>
      <c r="AD95" s="101"/>
      <c r="AE95" s="101"/>
      <c r="AF95" s="101"/>
      <c r="AG95" s="101"/>
      <c r="AH95" s="101"/>
      <c r="AI95" s="101"/>
      <c r="AJ95" s="101"/>
    </row>
    <row r="96" spans="1:36">
      <c r="A96" s="132"/>
      <c r="B96" s="737" t="s">
        <v>46</v>
      </c>
      <c r="C96" s="737"/>
      <c r="D96" s="737"/>
      <c r="E96" s="737"/>
      <c r="F96" s="122"/>
      <c r="G96" s="737" t="s">
        <v>0</v>
      </c>
      <c r="H96" s="737"/>
      <c r="I96" s="737"/>
      <c r="J96" s="737"/>
      <c r="K96" s="122"/>
      <c r="L96" s="737" t="s">
        <v>40</v>
      </c>
      <c r="M96" s="737"/>
      <c r="N96" s="737"/>
      <c r="O96" s="737"/>
      <c r="P96" s="101"/>
      <c r="Q96" s="736" t="s">
        <v>66</v>
      </c>
      <c r="R96" s="736"/>
      <c r="S96" s="736"/>
      <c r="T96" s="736"/>
      <c r="U96" s="101"/>
      <c r="V96" s="736" t="s">
        <v>67</v>
      </c>
      <c r="W96" s="736"/>
      <c r="X96" s="736"/>
      <c r="Y96" s="736"/>
      <c r="AA96" s="101"/>
      <c r="AB96" s="101"/>
      <c r="AC96" s="101"/>
      <c r="AD96" s="101"/>
      <c r="AE96" s="101"/>
      <c r="AF96" s="101"/>
      <c r="AG96" s="101"/>
      <c r="AH96" s="101"/>
      <c r="AI96" s="101"/>
      <c r="AJ96" s="101"/>
    </row>
    <row r="97" spans="1:36">
      <c r="F97" s="126" t="s">
        <v>27</v>
      </c>
      <c r="G97" s="127" t="s">
        <v>26</v>
      </c>
      <c r="H97" s="127" t="s">
        <v>28</v>
      </c>
      <c r="I97" s="127" t="s">
        <v>29</v>
      </c>
      <c r="J97" s="127" t="s">
        <v>30</v>
      </c>
      <c r="K97" s="127" t="s">
        <v>27</v>
      </c>
      <c r="L97" s="127" t="s">
        <v>26</v>
      </c>
      <c r="M97" s="127" t="s">
        <v>28</v>
      </c>
      <c r="N97" s="127" t="s">
        <v>29</v>
      </c>
      <c r="O97" s="127" t="s">
        <v>30</v>
      </c>
      <c r="P97" s="127" t="s">
        <v>27</v>
      </c>
      <c r="Q97" s="127" t="s">
        <v>26</v>
      </c>
      <c r="R97" s="127" t="s">
        <v>28</v>
      </c>
      <c r="S97" s="127" t="s">
        <v>29</v>
      </c>
      <c r="T97" s="127" t="s">
        <v>30</v>
      </c>
      <c r="U97" s="127" t="s">
        <v>27</v>
      </c>
      <c r="V97" s="127" t="s">
        <v>26</v>
      </c>
      <c r="W97" s="127" t="s">
        <v>28</v>
      </c>
      <c r="X97" s="127" t="s">
        <v>29</v>
      </c>
      <c r="Y97" s="127" t="s">
        <v>30</v>
      </c>
      <c r="AA97" s="101"/>
      <c r="AB97" s="101"/>
      <c r="AC97" s="101"/>
      <c r="AD97" s="101"/>
      <c r="AE97" s="101"/>
      <c r="AF97" s="101"/>
      <c r="AG97" s="101"/>
      <c r="AH97" s="101"/>
      <c r="AI97" s="101"/>
      <c r="AJ97" s="101"/>
    </row>
    <row r="98" spans="1:36">
      <c r="F98" s="101">
        <v>1</v>
      </c>
      <c r="G98" s="102">
        <f>B89</f>
        <v>0</v>
      </c>
      <c r="H98" s="102">
        <f t="shared" ref="H98:H109" si="42">IF(G98&lt;0,0,G98*$B$90/12)</f>
        <v>0</v>
      </c>
      <c r="I98" s="102">
        <f>IF(F98&lt;=$B$91,J98-H98,0)</f>
        <v>0</v>
      </c>
      <c r="J98" s="102">
        <f t="shared" ref="J98:J109" si="43">IF($B$92&lt;F98,$B$93,H98)</f>
        <v>0</v>
      </c>
      <c r="K98" s="128">
        <f>+F109+1</f>
        <v>13</v>
      </c>
      <c r="L98" s="102">
        <f>G109-I109</f>
        <v>0</v>
      </c>
      <c r="M98" s="102">
        <f t="shared" ref="M98:M109" si="44">IF(L98&lt;0,0,L98*$B$90/12)</f>
        <v>0</v>
      </c>
      <c r="N98" s="102">
        <f>IF(K98&lt;=$B$91,O98-M98,0)</f>
        <v>0</v>
      </c>
      <c r="O98" s="102">
        <f t="shared" ref="O98:O109" si="45">IF($B$92&lt;K98,$B$93,M98)</f>
        <v>0</v>
      </c>
      <c r="P98" s="128">
        <f>+K109+1</f>
        <v>25</v>
      </c>
      <c r="Q98" s="102">
        <f>L109-N109</f>
        <v>0</v>
      </c>
      <c r="R98" s="102">
        <f t="shared" ref="R98:R109" si="46">IF(Q98&lt;0,0,Q98*$B$90/12)</f>
        <v>0</v>
      </c>
      <c r="S98" s="102">
        <f>IF(P98&lt;=$B$91,T98-R98,0)</f>
        <v>0</v>
      </c>
      <c r="T98" s="102">
        <f t="shared" ref="T98:T109" si="47">IF($B$92&lt;P98,$B$93,R98)</f>
        <v>0</v>
      </c>
      <c r="U98" s="128">
        <f>+P109+1</f>
        <v>37</v>
      </c>
      <c r="V98" s="102">
        <f>Q109-S109</f>
        <v>0</v>
      </c>
      <c r="W98" s="102">
        <f t="shared" ref="W98:W109" si="48">IF(V98&lt;0,0,V98*$B$90/12)</f>
        <v>0</v>
      </c>
      <c r="X98" s="102">
        <f>IF(U98&lt;=$B$91,Y98-W98,0)</f>
        <v>0</v>
      </c>
      <c r="Y98" s="102">
        <f t="shared" ref="Y98:Y109" si="49">IF($B$92&lt;U98,$B$93,W98)</f>
        <v>0</v>
      </c>
      <c r="AA98" s="102"/>
      <c r="AB98" s="102"/>
      <c r="AC98" s="102"/>
      <c r="AD98" s="102"/>
      <c r="AE98" s="102"/>
      <c r="AF98" s="102"/>
      <c r="AG98" s="102"/>
      <c r="AH98" s="102"/>
      <c r="AI98" s="102"/>
      <c r="AJ98" s="102"/>
    </row>
    <row r="99" spans="1:36">
      <c r="F99" s="101">
        <v>2</v>
      </c>
      <c r="G99" s="102">
        <f t="shared" ref="G99:G109" si="50">G98-I98</f>
        <v>0</v>
      </c>
      <c r="H99" s="102">
        <f t="shared" si="42"/>
        <v>0</v>
      </c>
      <c r="I99" s="102">
        <f t="shared" ref="I99:I109" si="51">IF(F99&lt;=$B$91,J99-H99,0)</f>
        <v>0</v>
      </c>
      <c r="J99" s="102">
        <f t="shared" si="43"/>
        <v>0</v>
      </c>
      <c r="K99" s="128">
        <f t="shared" ref="K99:K109" si="52">+K98+1</f>
        <v>14</v>
      </c>
      <c r="L99" s="102">
        <f t="shared" ref="L99:L109" si="53">L98-N98</f>
        <v>0</v>
      </c>
      <c r="M99" s="102">
        <f t="shared" si="44"/>
        <v>0</v>
      </c>
      <c r="N99" s="102">
        <f t="shared" ref="N99:N109" si="54">IF(K99&lt;=$B$91,O99-M99,0)</f>
        <v>0</v>
      </c>
      <c r="O99" s="102">
        <f t="shared" si="45"/>
        <v>0</v>
      </c>
      <c r="P99" s="128">
        <f t="shared" ref="P99:P109" si="55">+P98+1</f>
        <v>26</v>
      </c>
      <c r="Q99" s="102">
        <f t="shared" ref="Q99:Q109" si="56">Q98-S98</f>
        <v>0</v>
      </c>
      <c r="R99" s="102">
        <f t="shared" si="46"/>
        <v>0</v>
      </c>
      <c r="S99" s="102">
        <f t="shared" ref="S99:S109" si="57">IF(P99&lt;=$B$91,T99-R99,0)</f>
        <v>0</v>
      </c>
      <c r="T99" s="102">
        <f t="shared" si="47"/>
        <v>0</v>
      </c>
      <c r="U99" s="128">
        <f t="shared" ref="U99:U109" si="58">+U98+1</f>
        <v>38</v>
      </c>
      <c r="V99" s="102">
        <f t="shared" ref="V99:V109" si="59">V98-X98</f>
        <v>0</v>
      </c>
      <c r="W99" s="102">
        <f t="shared" si="48"/>
        <v>0</v>
      </c>
      <c r="X99" s="102">
        <f t="shared" ref="X99:X109" si="60">IF(U99&lt;=$B$91,Y99-W99,0)</f>
        <v>0</v>
      </c>
      <c r="Y99" s="102">
        <f t="shared" si="49"/>
        <v>0</v>
      </c>
      <c r="AA99" s="101"/>
      <c r="AB99" s="101"/>
      <c r="AC99" s="101"/>
      <c r="AD99" s="101"/>
      <c r="AE99" s="101"/>
      <c r="AF99" s="101"/>
      <c r="AG99" s="101"/>
      <c r="AH99" s="101"/>
      <c r="AI99" s="101"/>
      <c r="AJ99" s="101"/>
    </row>
    <row r="100" spans="1:36">
      <c r="F100" s="101">
        <v>3</v>
      </c>
      <c r="G100" s="102">
        <f t="shared" si="50"/>
        <v>0</v>
      </c>
      <c r="H100" s="102">
        <f t="shared" si="42"/>
        <v>0</v>
      </c>
      <c r="I100" s="102">
        <f t="shared" si="51"/>
        <v>0</v>
      </c>
      <c r="J100" s="102">
        <f t="shared" si="43"/>
        <v>0</v>
      </c>
      <c r="K100" s="128">
        <f t="shared" si="52"/>
        <v>15</v>
      </c>
      <c r="L100" s="102">
        <f t="shared" si="53"/>
        <v>0</v>
      </c>
      <c r="M100" s="102">
        <f t="shared" si="44"/>
        <v>0</v>
      </c>
      <c r="N100" s="102">
        <f t="shared" si="54"/>
        <v>0</v>
      </c>
      <c r="O100" s="102">
        <f t="shared" si="45"/>
        <v>0</v>
      </c>
      <c r="P100" s="128">
        <f t="shared" si="55"/>
        <v>27</v>
      </c>
      <c r="Q100" s="102">
        <f t="shared" si="56"/>
        <v>0</v>
      </c>
      <c r="R100" s="102">
        <f t="shared" si="46"/>
        <v>0</v>
      </c>
      <c r="S100" s="102">
        <f t="shared" si="57"/>
        <v>0</v>
      </c>
      <c r="T100" s="102">
        <f t="shared" si="47"/>
        <v>0</v>
      </c>
      <c r="U100" s="128">
        <f t="shared" si="58"/>
        <v>39</v>
      </c>
      <c r="V100" s="102">
        <f t="shared" si="59"/>
        <v>0</v>
      </c>
      <c r="W100" s="102">
        <f t="shared" si="48"/>
        <v>0</v>
      </c>
      <c r="X100" s="102">
        <f t="shared" si="60"/>
        <v>0</v>
      </c>
      <c r="Y100" s="102">
        <f t="shared" si="49"/>
        <v>0</v>
      </c>
      <c r="AA100" s="101"/>
      <c r="AB100" s="101"/>
      <c r="AC100" s="101"/>
      <c r="AD100" s="101"/>
      <c r="AE100" s="101"/>
      <c r="AF100" s="101"/>
      <c r="AG100" s="101"/>
      <c r="AH100" s="101"/>
      <c r="AI100" s="101"/>
      <c r="AJ100" s="101"/>
    </row>
    <row r="101" spans="1:36">
      <c r="F101" s="101">
        <v>4</v>
      </c>
      <c r="G101" s="102">
        <f t="shared" si="50"/>
        <v>0</v>
      </c>
      <c r="H101" s="102">
        <f t="shared" si="42"/>
        <v>0</v>
      </c>
      <c r="I101" s="102">
        <f t="shared" si="51"/>
        <v>0</v>
      </c>
      <c r="J101" s="102">
        <f t="shared" si="43"/>
        <v>0</v>
      </c>
      <c r="K101" s="128">
        <f t="shared" si="52"/>
        <v>16</v>
      </c>
      <c r="L101" s="102">
        <f t="shared" si="53"/>
        <v>0</v>
      </c>
      <c r="M101" s="102">
        <f t="shared" si="44"/>
        <v>0</v>
      </c>
      <c r="N101" s="102">
        <f t="shared" si="54"/>
        <v>0</v>
      </c>
      <c r="O101" s="102">
        <f t="shared" si="45"/>
        <v>0</v>
      </c>
      <c r="P101" s="128">
        <f t="shared" si="55"/>
        <v>28</v>
      </c>
      <c r="Q101" s="102">
        <f t="shared" si="56"/>
        <v>0</v>
      </c>
      <c r="R101" s="102">
        <f t="shared" si="46"/>
        <v>0</v>
      </c>
      <c r="S101" s="102">
        <f t="shared" si="57"/>
        <v>0</v>
      </c>
      <c r="T101" s="102">
        <f t="shared" si="47"/>
        <v>0</v>
      </c>
      <c r="U101" s="128">
        <f t="shared" si="58"/>
        <v>40</v>
      </c>
      <c r="V101" s="102">
        <f t="shared" si="59"/>
        <v>0</v>
      </c>
      <c r="W101" s="102">
        <f t="shared" si="48"/>
        <v>0</v>
      </c>
      <c r="X101" s="102">
        <f t="shared" si="60"/>
        <v>0</v>
      </c>
      <c r="Y101" s="102">
        <f t="shared" si="49"/>
        <v>0</v>
      </c>
      <c r="AA101" s="101"/>
      <c r="AB101" s="101"/>
      <c r="AC101" s="101"/>
      <c r="AD101" s="101"/>
      <c r="AE101" s="101"/>
      <c r="AF101" s="101"/>
      <c r="AG101" s="101"/>
      <c r="AH101" s="101"/>
      <c r="AI101" s="101"/>
      <c r="AJ101" s="101"/>
    </row>
    <row r="102" spans="1:36">
      <c r="F102" s="101">
        <v>5</v>
      </c>
      <c r="G102" s="102">
        <f t="shared" si="50"/>
        <v>0</v>
      </c>
      <c r="H102" s="102">
        <f t="shared" si="42"/>
        <v>0</v>
      </c>
      <c r="I102" s="102">
        <f t="shared" si="51"/>
        <v>0</v>
      </c>
      <c r="J102" s="102">
        <f t="shared" si="43"/>
        <v>0</v>
      </c>
      <c r="K102" s="128">
        <f t="shared" si="52"/>
        <v>17</v>
      </c>
      <c r="L102" s="102">
        <f t="shared" si="53"/>
        <v>0</v>
      </c>
      <c r="M102" s="102">
        <f t="shared" si="44"/>
        <v>0</v>
      </c>
      <c r="N102" s="102">
        <f t="shared" si="54"/>
        <v>0</v>
      </c>
      <c r="O102" s="102">
        <f t="shared" si="45"/>
        <v>0</v>
      </c>
      <c r="P102" s="128">
        <f t="shared" si="55"/>
        <v>29</v>
      </c>
      <c r="Q102" s="102">
        <f t="shared" si="56"/>
        <v>0</v>
      </c>
      <c r="R102" s="102">
        <f t="shared" si="46"/>
        <v>0</v>
      </c>
      <c r="S102" s="102">
        <f t="shared" si="57"/>
        <v>0</v>
      </c>
      <c r="T102" s="102">
        <f t="shared" si="47"/>
        <v>0</v>
      </c>
      <c r="U102" s="128">
        <f t="shared" si="58"/>
        <v>41</v>
      </c>
      <c r="V102" s="102">
        <f t="shared" si="59"/>
        <v>0</v>
      </c>
      <c r="W102" s="102">
        <f t="shared" si="48"/>
        <v>0</v>
      </c>
      <c r="X102" s="102">
        <f t="shared" si="60"/>
        <v>0</v>
      </c>
      <c r="Y102" s="102">
        <f t="shared" si="49"/>
        <v>0</v>
      </c>
      <c r="AA102" s="101"/>
      <c r="AB102" s="101"/>
      <c r="AC102" s="101"/>
      <c r="AD102" s="101"/>
      <c r="AE102" s="101"/>
      <c r="AF102" s="101"/>
      <c r="AG102" s="101"/>
      <c r="AH102" s="101"/>
      <c r="AI102" s="101"/>
      <c r="AJ102" s="101"/>
    </row>
    <row r="103" spans="1:36">
      <c r="F103" s="101">
        <v>6</v>
      </c>
      <c r="G103" s="102">
        <f t="shared" si="50"/>
        <v>0</v>
      </c>
      <c r="H103" s="102">
        <f t="shared" si="42"/>
        <v>0</v>
      </c>
      <c r="I103" s="102">
        <f t="shared" si="51"/>
        <v>0</v>
      </c>
      <c r="J103" s="102">
        <f t="shared" si="43"/>
        <v>0</v>
      </c>
      <c r="K103" s="128">
        <f t="shared" si="52"/>
        <v>18</v>
      </c>
      <c r="L103" s="102">
        <f t="shared" si="53"/>
        <v>0</v>
      </c>
      <c r="M103" s="102">
        <f t="shared" si="44"/>
        <v>0</v>
      </c>
      <c r="N103" s="102">
        <f t="shared" si="54"/>
        <v>0</v>
      </c>
      <c r="O103" s="102">
        <f t="shared" si="45"/>
        <v>0</v>
      </c>
      <c r="P103" s="128">
        <f t="shared" si="55"/>
        <v>30</v>
      </c>
      <c r="Q103" s="102">
        <f t="shared" si="56"/>
        <v>0</v>
      </c>
      <c r="R103" s="102">
        <f t="shared" si="46"/>
        <v>0</v>
      </c>
      <c r="S103" s="102">
        <f t="shared" si="57"/>
        <v>0</v>
      </c>
      <c r="T103" s="102">
        <f t="shared" si="47"/>
        <v>0</v>
      </c>
      <c r="U103" s="128">
        <f t="shared" si="58"/>
        <v>42</v>
      </c>
      <c r="V103" s="102">
        <f t="shared" si="59"/>
        <v>0</v>
      </c>
      <c r="W103" s="102">
        <f t="shared" si="48"/>
        <v>0</v>
      </c>
      <c r="X103" s="102">
        <f t="shared" si="60"/>
        <v>0</v>
      </c>
      <c r="Y103" s="102">
        <f t="shared" si="49"/>
        <v>0</v>
      </c>
      <c r="AA103" s="101"/>
      <c r="AB103" s="101"/>
      <c r="AC103" s="101"/>
      <c r="AD103" s="101"/>
      <c r="AE103" s="101"/>
      <c r="AF103" s="101"/>
      <c r="AG103" s="101"/>
      <c r="AH103" s="101"/>
      <c r="AI103" s="101"/>
      <c r="AJ103" s="101"/>
    </row>
    <row r="104" spans="1:36">
      <c r="F104" s="101">
        <v>7</v>
      </c>
      <c r="G104" s="102">
        <f t="shared" si="50"/>
        <v>0</v>
      </c>
      <c r="H104" s="102">
        <f t="shared" si="42"/>
        <v>0</v>
      </c>
      <c r="I104" s="102">
        <f t="shared" si="51"/>
        <v>0</v>
      </c>
      <c r="J104" s="102">
        <f t="shared" si="43"/>
        <v>0</v>
      </c>
      <c r="K104" s="128">
        <f t="shared" si="52"/>
        <v>19</v>
      </c>
      <c r="L104" s="102">
        <f t="shared" si="53"/>
        <v>0</v>
      </c>
      <c r="M104" s="102">
        <f t="shared" si="44"/>
        <v>0</v>
      </c>
      <c r="N104" s="102">
        <f t="shared" si="54"/>
        <v>0</v>
      </c>
      <c r="O104" s="102">
        <f t="shared" si="45"/>
        <v>0</v>
      </c>
      <c r="P104" s="128">
        <f t="shared" si="55"/>
        <v>31</v>
      </c>
      <c r="Q104" s="102">
        <f t="shared" si="56"/>
        <v>0</v>
      </c>
      <c r="R104" s="102">
        <f t="shared" si="46"/>
        <v>0</v>
      </c>
      <c r="S104" s="102">
        <f t="shared" si="57"/>
        <v>0</v>
      </c>
      <c r="T104" s="102">
        <f t="shared" si="47"/>
        <v>0</v>
      </c>
      <c r="U104" s="128">
        <f t="shared" si="58"/>
        <v>43</v>
      </c>
      <c r="V104" s="102">
        <f t="shared" si="59"/>
        <v>0</v>
      </c>
      <c r="W104" s="102">
        <f t="shared" si="48"/>
        <v>0</v>
      </c>
      <c r="X104" s="102">
        <f t="shared" si="60"/>
        <v>0</v>
      </c>
      <c r="Y104" s="102">
        <f t="shared" si="49"/>
        <v>0</v>
      </c>
      <c r="AA104" s="101"/>
      <c r="AB104" s="101"/>
      <c r="AC104" s="101"/>
      <c r="AD104" s="101"/>
      <c r="AE104" s="101"/>
      <c r="AF104" s="101"/>
      <c r="AG104" s="101"/>
      <c r="AH104" s="101"/>
      <c r="AI104" s="101"/>
      <c r="AJ104" s="101"/>
    </row>
    <row r="105" spans="1:36">
      <c r="F105" s="101">
        <v>8</v>
      </c>
      <c r="G105" s="102">
        <f t="shared" si="50"/>
        <v>0</v>
      </c>
      <c r="H105" s="102">
        <f t="shared" si="42"/>
        <v>0</v>
      </c>
      <c r="I105" s="102">
        <f t="shared" si="51"/>
        <v>0</v>
      </c>
      <c r="J105" s="102">
        <f t="shared" si="43"/>
        <v>0</v>
      </c>
      <c r="K105" s="128">
        <f t="shared" si="52"/>
        <v>20</v>
      </c>
      <c r="L105" s="102">
        <f t="shared" si="53"/>
        <v>0</v>
      </c>
      <c r="M105" s="102">
        <f t="shared" si="44"/>
        <v>0</v>
      </c>
      <c r="N105" s="102">
        <f t="shared" si="54"/>
        <v>0</v>
      </c>
      <c r="O105" s="102">
        <f t="shared" si="45"/>
        <v>0</v>
      </c>
      <c r="P105" s="128">
        <f t="shared" si="55"/>
        <v>32</v>
      </c>
      <c r="Q105" s="102">
        <f t="shared" si="56"/>
        <v>0</v>
      </c>
      <c r="R105" s="102">
        <f t="shared" si="46"/>
        <v>0</v>
      </c>
      <c r="S105" s="102">
        <f t="shared" si="57"/>
        <v>0</v>
      </c>
      <c r="T105" s="102">
        <f t="shared" si="47"/>
        <v>0</v>
      </c>
      <c r="U105" s="128">
        <f t="shared" si="58"/>
        <v>44</v>
      </c>
      <c r="V105" s="102">
        <f t="shared" si="59"/>
        <v>0</v>
      </c>
      <c r="W105" s="102">
        <f t="shared" si="48"/>
        <v>0</v>
      </c>
      <c r="X105" s="102">
        <f t="shared" si="60"/>
        <v>0</v>
      </c>
      <c r="Y105" s="102">
        <f t="shared" si="49"/>
        <v>0</v>
      </c>
      <c r="AJ105" s="101"/>
    </row>
    <row r="106" spans="1:36">
      <c r="F106" s="101">
        <v>9</v>
      </c>
      <c r="G106" s="102">
        <f t="shared" si="50"/>
        <v>0</v>
      </c>
      <c r="H106" s="102">
        <f t="shared" si="42"/>
        <v>0</v>
      </c>
      <c r="I106" s="102">
        <f t="shared" si="51"/>
        <v>0</v>
      </c>
      <c r="J106" s="102">
        <f t="shared" si="43"/>
        <v>0</v>
      </c>
      <c r="K106" s="128">
        <f t="shared" si="52"/>
        <v>21</v>
      </c>
      <c r="L106" s="102">
        <f t="shared" si="53"/>
        <v>0</v>
      </c>
      <c r="M106" s="102">
        <f t="shared" si="44"/>
        <v>0</v>
      </c>
      <c r="N106" s="102">
        <f t="shared" si="54"/>
        <v>0</v>
      </c>
      <c r="O106" s="102">
        <f t="shared" si="45"/>
        <v>0</v>
      </c>
      <c r="P106" s="128">
        <f t="shared" si="55"/>
        <v>33</v>
      </c>
      <c r="Q106" s="102">
        <f t="shared" si="56"/>
        <v>0</v>
      </c>
      <c r="R106" s="102">
        <f t="shared" si="46"/>
        <v>0</v>
      </c>
      <c r="S106" s="102">
        <f t="shared" si="57"/>
        <v>0</v>
      </c>
      <c r="T106" s="102">
        <f t="shared" si="47"/>
        <v>0</v>
      </c>
      <c r="U106" s="128">
        <f t="shared" si="58"/>
        <v>45</v>
      </c>
      <c r="V106" s="102">
        <f t="shared" si="59"/>
        <v>0</v>
      </c>
      <c r="W106" s="102">
        <f t="shared" si="48"/>
        <v>0</v>
      </c>
      <c r="X106" s="102">
        <f t="shared" si="60"/>
        <v>0</v>
      </c>
      <c r="Y106" s="102">
        <f t="shared" si="49"/>
        <v>0</v>
      </c>
      <c r="AJ106" s="101"/>
    </row>
    <row r="107" spans="1:36">
      <c r="F107" s="101">
        <v>10</v>
      </c>
      <c r="G107" s="102">
        <f t="shared" si="50"/>
        <v>0</v>
      </c>
      <c r="H107" s="102">
        <f t="shared" si="42"/>
        <v>0</v>
      </c>
      <c r="I107" s="102">
        <f t="shared" si="51"/>
        <v>0</v>
      </c>
      <c r="J107" s="102">
        <f t="shared" si="43"/>
        <v>0</v>
      </c>
      <c r="K107" s="128">
        <f t="shared" si="52"/>
        <v>22</v>
      </c>
      <c r="L107" s="102">
        <f t="shared" si="53"/>
        <v>0</v>
      </c>
      <c r="M107" s="102">
        <f t="shared" si="44"/>
        <v>0</v>
      </c>
      <c r="N107" s="102">
        <f t="shared" si="54"/>
        <v>0</v>
      </c>
      <c r="O107" s="102">
        <f t="shared" si="45"/>
        <v>0</v>
      </c>
      <c r="P107" s="128">
        <f t="shared" si="55"/>
        <v>34</v>
      </c>
      <c r="Q107" s="102">
        <f t="shared" si="56"/>
        <v>0</v>
      </c>
      <c r="R107" s="102">
        <f t="shared" si="46"/>
        <v>0</v>
      </c>
      <c r="S107" s="102">
        <f t="shared" si="57"/>
        <v>0</v>
      </c>
      <c r="T107" s="102">
        <f t="shared" si="47"/>
        <v>0</v>
      </c>
      <c r="U107" s="128">
        <f t="shared" si="58"/>
        <v>46</v>
      </c>
      <c r="V107" s="102">
        <f t="shared" si="59"/>
        <v>0</v>
      </c>
      <c r="W107" s="102">
        <f t="shared" si="48"/>
        <v>0</v>
      </c>
      <c r="X107" s="102">
        <f t="shared" si="60"/>
        <v>0</v>
      </c>
      <c r="Y107" s="102">
        <f t="shared" si="49"/>
        <v>0</v>
      </c>
      <c r="AJ107" s="101"/>
    </row>
    <row r="108" spans="1:36">
      <c r="F108" s="101">
        <v>11</v>
      </c>
      <c r="G108" s="102">
        <f t="shared" si="50"/>
        <v>0</v>
      </c>
      <c r="H108" s="102">
        <f t="shared" si="42"/>
        <v>0</v>
      </c>
      <c r="I108" s="102">
        <f t="shared" si="51"/>
        <v>0</v>
      </c>
      <c r="J108" s="102">
        <f t="shared" si="43"/>
        <v>0</v>
      </c>
      <c r="K108" s="128">
        <f t="shared" si="52"/>
        <v>23</v>
      </c>
      <c r="L108" s="102">
        <f t="shared" si="53"/>
        <v>0</v>
      </c>
      <c r="M108" s="102">
        <f t="shared" si="44"/>
        <v>0</v>
      </c>
      <c r="N108" s="102">
        <f t="shared" si="54"/>
        <v>0</v>
      </c>
      <c r="O108" s="102">
        <f t="shared" si="45"/>
        <v>0</v>
      </c>
      <c r="P108" s="128">
        <f t="shared" si="55"/>
        <v>35</v>
      </c>
      <c r="Q108" s="102">
        <f t="shared" si="56"/>
        <v>0</v>
      </c>
      <c r="R108" s="102">
        <f t="shared" si="46"/>
        <v>0</v>
      </c>
      <c r="S108" s="102">
        <f t="shared" si="57"/>
        <v>0</v>
      </c>
      <c r="T108" s="102">
        <f t="shared" si="47"/>
        <v>0</v>
      </c>
      <c r="U108" s="128">
        <f t="shared" si="58"/>
        <v>47</v>
      </c>
      <c r="V108" s="102">
        <f t="shared" si="59"/>
        <v>0</v>
      </c>
      <c r="W108" s="102">
        <f t="shared" si="48"/>
        <v>0</v>
      </c>
      <c r="X108" s="102">
        <f t="shared" si="60"/>
        <v>0</v>
      </c>
      <c r="Y108" s="102">
        <f t="shared" si="49"/>
        <v>0</v>
      </c>
      <c r="AJ108" s="101"/>
    </row>
    <row r="109" spans="1:36">
      <c r="F109" s="101">
        <v>12</v>
      </c>
      <c r="G109" s="102">
        <f t="shared" si="50"/>
        <v>0</v>
      </c>
      <c r="H109" s="102">
        <f t="shared" si="42"/>
        <v>0</v>
      </c>
      <c r="I109" s="102">
        <f t="shared" si="51"/>
        <v>0</v>
      </c>
      <c r="J109" s="102">
        <f t="shared" si="43"/>
        <v>0</v>
      </c>
      <c r="K109" s="128">
        <f t="shared" si="52"/>
        <v>24</v>
      </c>
      <c r="L109" s="102">
        <f t="shared" si="53"/>
        <v>0</v>
      </c>
      <c r="M109" s="102">
        <f t="shared" si="44"/>
        <v>0</v>
      </c>
      <c r="N109" s="102">
        <f t="shared" si="54"/>
        <v>0</v>
      </c>
      <c r="O109" s="102">
        <f t="shared" si="45"/>
        <v>0</v>
      </c>
      <c r="P109" s="128">
        <f t="shared" si="55"/>
        <v>36</v>
      </c>
      <c r="Q109" s="102">
        <f t="shared" si="56"/>
        <v>0</v>
      </c>
      <c r="R109" s="102">
        <f t="shared" si="46"/>
        <v>0</v>
      </c>
      <c r="S109" s="102">
        <f t="shared" si="57"/>
        <v>0</v>
      </c>
      <c r="T109" s="102">
        <f t="shared" si="47"/>
        <v>0</v>
      </c>
      <c r="U109" s="128">
        <f t="shared" si="58"/>
        <v>48</v>
      </c>
      <c r="V109" s="102">
        <f t="shared" si="59"/>
        <v>0</v>
      </c>
      <c r="W109" s="102">
        <f t="shared" si="48"/>
        <v>0</v>
      </c>
      <c r="X109" s="102">
        <f t="shared" si="60"/>
        <v>0</v>
      </c>
      <c r="Y109" s="102">
        <f t="shared" si="49"/>
        <v>0</v>
      </c>
      <c r="AJ109" s="101"/>
    </row>
    <row r="110" spans="1:36">
      <c r="F110" s="101"/>
      <c r="G110" s="102"/>
      <c r="H110" s="102">
        <f>SUM(H98:H109)</f>
        <v>0</v>
      </c>
      <c r="I110" s="102">
        <f>SUM(I98:I109)</f>
        <v>0</v>
      </c>
      <c r="J110" s="102">
        <f>(H110+I110)/12</f>
        <v>0</v>
      </c>
      <c r="K110" s="122"/>
      <c r="L110" s="102"/>
      <c r="M110" s="102">
        <f>SUM(M98:M109)</f>
        <v>0</v>
      </c>
      <c r="N110" s="102">
        <f>SUM(N98:N109)</f>
        <v>0</v>
      </c>
      <c r="O110" s="102">
        <f>(N110+M110)/12</f>
        <v>0</v>
      </c>
      <c r="P110" s="122"/>
      <c r="Q110" s="102"/>
      <c r="R110" s="102">
        <f>SUM(R98:R109)</f>
        <v>0</v>
      </c>
      <c r="S110" s="102">
        <f>SUM(S98:S109)</f>
        <v>0</v>
      </c>
      <c r="T110" s="102">
        <f>(S110+R110)/12</f>
        <v>0</v>
      </c>
      <c r="U110" s="122"/>
      <c r="V110" s="102"/>
      <c r="W110" s="102">
        <f>SUM(W98:W109)</f>
        <v>0</v>
      </c>
      <c r="X110" s="102">
        <f>SUM(X98:X109)</f>
        <v>0</v>
      </c>
      <c r="Y110" s="102">
        <f>(W110+X110)/12</f>
        <v>0</v>
      </c>
      <c r="AJ110" s="127"/>
    </row>
    <row r="111" spans="1:36">
      <c r="F111" s="101"/>
      <c r="G111" s="102"/>
      <c r="H111" s="102"/>
      <c r="I111" s="102"/>
      <c r="J111" s="102"/>
      <c r="K111" s="101"/>
      <c r="L111" s="102"/>
      <c r="M111" s="102"/>
      <c r="N111" s="102"/>
      <c r="O111" s="102"/>
      <c r="P111" s="101"/>
      <c r="Q111" s="102"/>
      <c r="R111" s="102"/>
      <c r="S111" s="102"/>
      <c r="T111" s="102"/>
      <c r="U111" s="101"/>
      <c r="V111" s="102"/>
      <c r="W111" s="102"/>
      <c r="X111" s="102"/>
      <c r="Y111" s="102"/>
      <c r="AJ111" s="101"/>
    </row>
    <row r="112" spans="1:36">
      <c r="A112" s="129" t="s">
        <v>64</v>
      </c>
      <c r="F112" s="101"/>
      <c r="G112" s="102"/>
      <c r="H112" s="102"/>
      <c r="I112" s="102">
        <f>IF('Inversió inicial'!M17&lt;13,B89,I110)</f>
        <v>0</v>
      </c>
      <c r="J112" s="102"/>
      <c r="K112" s="101"/>
      <c r="L112" s="102"/>
      <c r="M112" s="102"/>
      <c r="N112" s="102">
        <f>IF('Inversió inicial'!M17&lt;25,B89-I112,N110)</f>
        <v>0</v>
      </c>
      <c r="O112" s="102"/>
      <c r="P112" s="101"/>
      <c r="Q112" s="102"/>
      <c r="R112" s="102"/>
      <c r="S112" s="102">
        <f>IF('Inversió inicial'!M17&lt;37,B89-I112-N112,S110)</f>
        <v>0</v>
      </c>
      <c r="T112" s="102"/>
      <c r="U112" s="101"/>
      <c r="V112" s="102"/>
      <c r="W112" s="102"/>
      <c r="X112" s="102">
        <f>IF('Inversió inicial'!M17&gt;36,B89-I112-N112-S112,0)</f>
        <v>0</v>
      </c>
      <c r="Y112" s="102"/>
      <c r="AJ112" s="101"/>
    </row>
    <row r="113" spans="1:36">
      <c r="A113" s="101" t="s">
        <v>65</v>
      </c>
      <c r="F113" s="101"/>
      <c r="G113" s="102"/>
      <c r="H113" s="102"/>
      <c r="I113" s="133">
        <f>I112</f>
        <v>0</v>
      </c>
      <c r="J113" s="133"/>
      <c r="L113" s="133"/>
      <c r="M113" s="133"/>
      <c r="N113" s="133">
        <f>I112+N112</f>
        <v>0</v>
      </c>
      <c r="O113" s="133"/>
      <c r="Q113" s="133"/>
      <c r="R113" s="133"/>
      <c r="S113" s="133">
        <f>N113+S112</f>
        <v>0</v>
      </c>
      <c r="T113" s="133"/>
      <c r="V113" s="133"/>
      <c r="W113" s="133"/>
      <c r="X113" s="133"/>
      <c r="Y113" s="133">
        <f>X112+S112+N112+I112</f>
        <v>0</v>
      </c>
      <c r="AJ113" s="101"/>
    </row>
    <row r="114" spans="1:36">
      <c r="AJ114" s="101"/>
    </row>
    <row r="115" spans="1:36">
      <c r="A115" s="134" t="s">
        <v>69</v>
      </c>
      <c r="AJ115" s="101"/>
    </row>
    <row r="116" spans="1:36">
      <c r="A116" s="120" t="s">
        <v>5</v>
      </c>
      <c r="B116" s="133">
        <f>'Resultats a tres anys'!L15</f>
        <v>0</v>
      </c>
      <c r="O116" s="101"/>
      <c r="AJ116" s="101"/>
    </row>
    <row r="117" spans="1:36">
      <c r="A117" s="122" t="s">
        <v>24</v>
      </c>
      <c r="B117" s="135">
        <f>B63</f>
        <v>3.4000000000000002E-2</v>
      </c>
      <c r="AJ117" s="101"/>
    </row>
    <row r="118" spans="1:36">
      <c r="A118" s="120" t="s">
        <v>25</v>
      </c>
      <c r="B118" s="136">
        <f>'Inversió inicial'!M17</f>
        <v>120</v>
      </c>
      <c r="AJ118" s="101"/>
    </row>
    <row r="119" spans="1:36">
      <c r="A119" s="104" t="s">
        <v>2</v>
      </c>
      <c r="B119" s="136">
        <f>'Inversió inicial'!M15</f>
        <v>24</v>
      </c>
      <c r="AJ119" s="101"/>
    </row>
    <row r="120" spans="1:36">
      <c r="A120" s="125" t="s">
        <v>63</v>
      </c>
      <c r="B120" s="102">
        <f>IF(B118=0,0,IF(B117=0,B116/B118,(((B117/12)*B116)/(1-(1+B117/12)^-(B118-B119)))))</f>
        <v>0</v>
      </c>
      <c r="P120" s="105"/>
      <c r="U120" s="101"/>
      <c r="AJ120" s="101"/>
    </row>
    <row r="121" spans="1:36">
      <c r="P121" s="101"/>
      <c r="AJ121" s="101"/>
    </row>
    <row r="122" spans="1:36">
      <c r="P122" s="101"/>
      <c r="AJ122" s="101"/>
    </row>
    <row r="123" spans="1:36">
      <c r="C123" s="737" t="s">
        <v>46</v>
      </c>
      <c r="D123" s="737"/>
      <c r="E123" s="737"/>
      <c r="F123" s="737"/>
      <c r="G123" s="122"/>
      <c r="H123" s="737" t="s">
        <v>0</v>
      </c>
      <c r="I123" s="737"/>
      <c r="J123" s="737"/>
      <c r="K123" s="737"/>
      <c r="L123" s="122"/>
      <c r="M123" s="737" t="s">
        <v>40</v>
      </c>
      <c r="N123" s="737"/>
      <c r="O123" s="737"/>
      <c r="P123" s="737"/>
      <c r="Q123" s="101"/>
      <c r="R123" s="736" t="s">
        <v>66</v>
      </c>
      <c r="S123" s="736"/>
      <c r="T123" s="736"/>
      <c r="U123" s="736"/>
      <c r="V123" s="101"/>
      <c r="W123" s="736" t="s">
        <v>67</v>
      </c>
      <c r="X123" s="736"/>
      <c r="Y123" s="736"/>
      <c r="Z123" s="736"/>
      <c r="AJ123" s="101"/>
    </row>
    <row r="124" spans="1:36">
      <c r="L124" s="127" t="s">
        <v>27</v>
      </c>
      <c r="M124" s="127" t="s">
        <v>26</v>
      </c>
      <c r="N124" s="127" t="s">
        <v>28</v>
      </c>
      <c r="O124" s="127" t="s">
        <v>29</v>
      </c>
      <c r="P124" s="127" t="s">
        <v>30</v>
      </c>
      <c r="Q124" s="127" t="s">
        <v>27</v>
      </c>
      <c r="R124" s="127" t="s">
        <v>26</v>
      </c>
      <c r="S124" s="127" t="s">
        <v>28</v>
      </c>
      <c r="T124" s="127" t="s">
        <v>29</v>
      </c>
      <c r="U124" s="127" t="s">
        <v>30</v>
      </c>
      <c r="V124" s="127" t="s">
        <v>27</v>
      </c>
      <c r="W124" s="127" t="s">
        <v>26</v>
      </c>
      <c r="X124" s="127" t="s">
        <v>28</v>
      </c>
      <c r="Y124" s="127" t="s">
        <v>29</v>
      </c>
      <c r="Z124" s="127" t="s">
        <v>30</v>
      </c>
      <c r="AJ124" s="101"/>
    </row>
    <row r="125" spans="1:36">
      <c r="L125" s="131">
        <v>1</v>
      </c>
      <c r="M125" s="133">
        <f>B116</f>
        <v>0</v>
      </c>
      <c r="N125" s="102">
        <f t="shared" ref="N125:N136" si="61">IF(M125&lt;0,0,M125*$B$117/12)</f>
        <v>0</v>
      </c>
      <c r="O125" s="102">
        <f>IF(L125&lt;=$B$118,P125-N125,0)</f>
        <v>0</v>
      </c>
      <c r="P125" s="102">
        <f t="shared" ref="P125:P136" si="62">IF($B$92&lt;L125,$B$120,N125)</f>
        <v>0</v>
      </c>
      <c r="Q125" s="128">
        <f>+L136+1</f>
        <v>13</v>
      </c>
      <c r="R125" s="102">
        <f>M136-O136</f>
        <v>0</v>
      </c>
      <c r="S125" s="102">
        <f t="shared" ref="S125:S136" si="63">IF(R125&lt;0,0,R125*$B$117/12)</f>
        <v>0</v>
      </c>
      <c r="T125" s="102">
        <f>IF(Q125&lt;=$B$118,U125-S125,0)</f>
        <v>0</v>
      </c>
      <c r="U125" s="102">
        <f t="shared" ref="U125:U136" si="64">IF($B$92&lt;Q125,$B$120,S125)</f>
        <v>0</v>
      </c>
      <c r="V125" s="128">
        <f>+Q136+1</f>
        <v>25</v>
      </c>
      <c r="W125" s="102">
        <f>R136-T136</f>
        <v>0</v>
      </c>
      <c r="X125" s="102">
        <f t="shared" ref="X125:X136" si="65">IF(W125&lt;0,0,W125*$B$117/12)</f>
        <v>0</v>
      </c>
      <c r="Y125" s="102">
        <f>IF(V125&lt;=$B$118,Z125-X125,0)</f>
        <v>0</v>
      </c>
      <c r="Z125" s="102">
        <f t="shared" ref="Z125:Z136" si="66">IF($B$92&lt;V125,$B$120,X125)</f>
        <v>0</v>
      </c>
      <c r="AJ125" s="101"/>
    </row>
    <row r="126" spans="1:36">
      <c r="L126" s="131">
        <v>2</v>
      </c>
      <c r="M126" s="102">
        <f t="shared" ref="M126:M136" si="67">M125-O125</f>
        <v>0</v>
      </c>
      <c r="N126" s="102">
        <f t="shared" si="61"/>
        <v>0</v>
      </c>
      <c r="O126" s="102">
        <f t="shared" ref="O126:O136" si="68">IF(L126&lt;=$B$118,P126-N126,0)</f>
        <v>0</v>
      </c>
      <c r="P126" s="102">
        <f t="shared" si="62"/>
        <v>0</v>
      </c>
      <c r="Q126" s="128">
        <f t="shared" ref="Q126:Q136" si="69">+Q125+1</f>
        <v>14</v>
      </c>
      <c r="R126" s="102">
        <f t="shared" ref="R126:R136" si="70">R125-T125</f>
        <v>0</v>
      </c>
      <c r="S126" s="102">
        <f t="shared" si="63"/>
        <v>0</v>
      </c>
      <c r="T126" s="102">
        <f t="shared" ref="T126:T136" si="71">IF(Q126&lt;=$B$118,U126-S126,0)</f>
        <v>0</v>
      </c>
      <c r="U126" s="102">
        <f t="shared" si="64"/>
        <v>0</v>
      </c>
      <c r="V126" s="128">
        <f t="shared" ref="V126:V136" si="72">+V125+1</f>
        <v>26</v>
      </c>
      <c r="W126" s="102">
        <f t="shared" ref="W126:W136" si="73">W125-Y125</f>
        <v>0</v>
      </c>
      <c r="X126" s="102">
        <f t="shared" si="65"/>
        <v>0</v>
      </c>
      <c r="Y126" s="102">
        <f t="shared" ref="Y126:Y136" si="74">IF(V126&lt;=$B$118,Z126-X126,0)</f>
        <v>0</v>
      </c>
      <c r="Z126" s="102">
        <f t="shared" si="66"/>
        <v>0</v>
      </c>
      <c r="AJ126" s="101"/>
    </row>
    <row r="127" spans="1:36">
      <c r="L127" s="131">
        <v>3</v>
      </c>
      <c r="M127" s="102">
        <f t="shared" si="67"/>
        <v>0</v>
      </c>
      <c r="N127" s="102">
        <f t="shared" si="61"/>
        <v>0</v>
      </c>
      <c r="O127" s="102">
        <f t="shared" si="68"/>
        <v>0</v>
      </c>
      <c r="P127" s="102">
        <f t="shared" si="62"/>
        <v>0</v>
      </c>
      <c r="Q127" s="128">
        <f t="shared" si="69"/>
        <v>15</v>
      </c>
      <c r="R127" s="102">
        <f t="shared" si="70"/>
        <v>0</v>
      </c>
      <c r="S127" s="102">
        <f t="shared" si="63"/>
        <v>0</v>
      </c>
      <c r="T127" s="102">
        <f t="shared" si="71"/>
        <v>0</v>
      </c>
      <c r="U127" s="102">
        <f t="shared" si="64"/>
        <v>0</v>
      </c>
      <c r="V127" s="128">
        <f t="shared" si="72"/>
        <v>27</v>
      </c>
      <c r="W127" s="102">
        <f t="shared" si="73"/>
        <v>0</v>
      </c>
      <c r="X127" s="102">
        <f t="shared" si="65"/>
        <v>0</v>
      </c>
      <c r="Y127" s="102">
        <f t="shared" si="74"/>
        <v>0</v>
      </c>
      <c r="Z127" s="102">
        <f t="shared" si="66"/>
        <v>0</v>
      </c>
    </row>
    <row r="128" spans="1:36">
      <c r="L128" s="131">
        <v>4</v>
      </c>
      <c r="M128" s="102">
        <f t="shared" si="67"/>
        <v>0</v>
      </c>
      <c r="N128" s="102">
        <f t="shared" si="61"/>
        <v>0</v>
      </c>
      <c r="O128" s="102">
        <f t="shared" si="68"/>
        <v>0</v>
      </c>
      <c r="P128" s="102">
        <f t="shared" si="62"/>
        <v>0</v>
      </c>
      <c r="Q128" s="128">
        <f t="shared" si="69"/>
        <v>16</v>
      </c>
      <c r="R128" s="102">
        <f t="shared" si="70"/>
        <v>0</v>
      </c>
      <c r="S128" s="102">
        <f t="shared" si="63"/>
        <v>0</v>
      </c>
      <c r="T128" s="102">
        <f t="shared" si="71"/>
        <v>0</v>
      </c>
      <c r="U128" s="102">
        <f t="shared" si="64"/>
        <v>0</v>
      </c>
      <c r="V128" s="128">
        <f t="shared" si="72"/>
        <v>28</v>
      </c>
      <c r="W128" s="102">
        <f t="shared" si="73"/>
        <v>0</v>
      </c>
      <c r="X128" s="102">
        <f t="shared" si="65"/>
        <v>0</v>
      </c>
      <c r="Y128" s="102">
        <f t="shared" si="74"/>
        <v>0</v>
      </c>
      <c r="Z128" s="102">
        <f t="shared" si="66"/>
        <v>0</v>
      </c>
    </row>
    <row r="129" spans="1:26">
      <c r="L129" s="131">
        <v>5</v>
      </c>
      <c r="M129" s="102">
        <f t="shared" si="67"/>
        <v>0</v>
      </c>
      <c r="N129" s="102">
        <f t="shared" si="61"/>
        <v>0</v>
      </c>
      <c r="O129" s="102">
        <f t="shared" si="68"/>
        <v>0</v>
      </c>
      <c r="P129" s="102">
        <f t="shared" si="62"/>
        <v>0</v>
      </c>
      <c r="Q129" s="128">
        <f t="shared" si="69"/>
        <v>17</v>
      </c>
      <c r="R129" s="102">
        <f t="shared" si="70"/>
        <v>0</v>
      </c>
      <c r="S129" s="102">
        <f t="shared" si="63"/>
        <v>0</v>
      </c>
      <c r="T129" s="102">
        <f t="shared" si="71"/>
        <v>0</v>
      </c>
      <c r="U129" s="102">
        <f t="shared" si="64"/>
        <v>0</v>
      </c>
      <c r="V129" s="128">
        <f t="shared" si="72"/>
        <v>29</v>
      </c>
      <c r="W129" s="102">
        <f t="shared" si="73"/>
        <v>0</v>
      </c>
      <c r="X129" s="102">
        <f t="shared" si="65"/>
        <v>0</v>
      </c>
      <c r="Y129" s="102">
        <f t="shared" si="74"/>
        <v>0</v>
      </c>
      <c r="Z129" s="102">
        <f t="shared" si="66"/>
        <v>0</v>
      </c>
    </row>
    <row r="130" spans="1:26">
      <c r="L130" s="131">
        <v>6</v>
      </c>
      <c r="M130" s="102">
        <f t="shared" si="67"/>
        <v>0</v>
      </c>
      <c r="N130" s="102">
        <f t="shared" si="61"/>
        <v>0</v>
      </c>
      <c r="O130" s="102">
        <f t="shared" si="68"/>
        <v>0</v>
      </c>
      <c r="P130" s="102">
        <f t="shared" si="62"/>
        <v>0</v>
      </c>
      <c r="Q130" s="128">
        <f t="shared" si="69"/>
        <v>18</v>
      </c>
      <c r="R130" s="102">
        <f t="shared" si="70"/>
        <v>0</v>
      </c>
      <c r="S130" s="102">
        <f t="shared" si="63"/>
        <v>0</v>
      </c>
      <c r="T130" s="102">
        <f t="shared" si="71"/>
        <v>0</v>
      </c>
      <c r="U130" s="102">
        <f t="shared" si="64"/>
        <v>0</v>
      </c>
      <c r="V130" s="128">
        <f t="shared" si="72"/>
        <v>30</v>
      </c>
      <c r="W130" s="102">
        <f t="shared" si="73"/>
        <v>0</v>
      </c>
      <c r="X130" s="102">
        <f t="shared" si="65"/>
        <v>0</v>
      </c>
      <c r="Y130" s="102">
        <f t="shared" si="74"/>
        <v>0</v>
      </c>
      <c r="Z130" s="102">
        <f t="shared" si="66"/>
        <v>0</v>
      </c>
    </row>
    <row r="131" spans="1:26">
      <c r="L131" s="131">
        <v>7</v>
      </c>
      <c r="M131" s="102">
        <f t="shared" si="67"/>
        <v>0</v>
      </c>
      <c r="N131" s="102">
        <f t="shared" si="61"/>
        <v>0</v>
      </c>
      <c r="O131" s="102">
        <f t="shared" si="68"/>
        <v>0</v>
      </c>
      <c r="P131" s="102">
        <f t="shared" si="62"/>
        <v>0</v>
      </c>
      <c r="Q131" s="128">
        <f t="shared" si="69"/>
        <v>19</v>
      </c>
      <c r="R131" s="102">
        <f t="shared" si="70"/>
        <v>0</v>
      </c>
      <c r="S131" s="102">
        <f t="shared" si="63"/>
        <v>0</v>
      </c>
      <c r="T131" s="102">
        <f t="shared" si="71"/>
        <v>0</v>
      </c>
      <c r="U131" s="102">
        <f t="shared" si="64"/>
        <v>0</v>
      </c>
      <c r="V131" s="128">
        <f t="shared" si="72"/>
        <v>31</v>
      </c>
      <c r="W131" s="102">
        <f t="shared" si="73"/>
        <v>0</v>
      </c>
      <c r="X131" s="102">
        <f t="shared" si="65"/>
        <v>0</v>
      </c>
      <c r="Y131" s="102">
        <f t="shared" si="74"/>
        <v>0</v>
      </c>
      <c r="Z131" s="102">
        <f t="shared" si="66"/>
        <v>0</v>
      </c>
    </row>
    <row r="132" spans="1:26">
      <c r="L132" s="131">
        <v>8</v>
      </c>
      <c r="M132" s="102">
        <f t="shared" si="67"/>
        <v>0</v>
      </c>
      <c r="N132" s="102">
        <f t="shared" si="61"/>
        <v>0</v>
      </c>
      <c r="O132" s="102">
        <f t="shared" si="68"/>
        <v>0</v>
      </c>
      <c r="P132" s="102">
        <f t="shared" si="62"/>
        <v>0</v>
      </c>
      <c r="Q132" s="128">
        <f t="shared" si="69"/>
        <v>20</v>
      </c>
      <c r="R132" s="102">
        <f t="shared" si="70"/>
        <v>0</v>
      </c>
      <c r="S132" s="102">
        <f t="shared" si="63"/>
        <v>0</v>
      </c>
      <c r="T132" s="102">
        <f t="shared" si="71"/>
        <v>0</v>
      </c>
      <c r="U132" s="102">
        <f t="shared" si="64"/>
        <v>0</v>
      </c>
      <c r="V132" s="128">
        <f t="shared" si="72"/>
        <v>32</v>
      </c>
      <c r="W132" s="102">
        <f t="shared" si="73"/>
        <v>0</v>
      </c>
      <c r="X132" s="102">
        <f t="shared" si="65"/>
        <v>0</v>
      </c>
      <c r="Y132" s="102">
        <f t="shared" si="74"/>
        <v>0</v>
      </c>
      <c r="Z132" s="102">
        <f t="shared" si="66"/>
        <v>0</v>
      </c>
    </row>
    <row r="133" spans="1:26">
      <c r="L133" s="131">
        <v>9</v>
      </c>
      <c r="M133" s="102">
        <f t="shared" si="67"/>
        <v>0</v>
      </c>
      <c r="N133" s="102">
        <f t="shared" si="61"/>
        <v>0</v>
      </c>
      <c r="O133" s="102">
        <f t="shared" si="68"/>
        <v>0</v>
      </c>
      <c r="P133" s="102">
        <f t="shared" si="62"/>
        <v>0</v>
      </c>
      <c r="Q133" s="128">
        <f t="shared" si="69"/>
        <v>21</v>
      </c>
      <c r="R133" s="102">
        <f t="shared" si="70"/>
        <v>0</v>
      </c>
      <c r="S133" s="102">
        <f t="shared" si="63"/>
        <v>0</v>
      </c>
      <c r="T133" s="102">
        <f t="shared" si="71"/>
        <v>0</v>
      </c>
      <c r="U133" s="102">
        <f t="shared" si="64"/>
        <v>0</v>
      </c>
      <c r="V133" s="128">
        <f t="shared" si="72"/>
        <v>33</v>
      </c>
      <c r="W133" s="102">
        <f t="shared" si="73"/>
        <v>0</v>
      </c>
      <c r="X133" s="102">
        <f t="shared" si="65"/>
        <v>0</v>
      </c>
      <c r="Y133" s="102">
        <f t="shared" si="74"/>
        <v>0</v>
      </c>
      <c r="Z133" s="102">
        <f t="shared" si="66"/>
        <v>0</v>
      </c>
    </row>
    <row r="134" spans="1:26">
      <c r="L134" s="131">
        <v>10</v>
      </c>
      <c r="M134" s="102">
        <f t="shared" si="67"/>
        <v>0</v>
      </c>
      <c r="N134" s="102">
        <f t="shared" si="61"/>
        <v>0</v>
      </c>
      <c r="O134" s="102">
        <f t="shared" si="68"/>
        <v>0</v>
      </c>
      <c r="P134" s="102">
        <f t="shared" si="62"/>
        <v>0</v>
      </c>
      <c r="Q134" s="128">
        <f t="shared" si="69"/>
        <v>22</v>
      </c>
      <c r="R134" s="102">
        <f t="shared" si="70"/>
        <v>0</v>
      </c>
      <c r="S134" s="102">
        <f t="shared" si="63"/>
        <v>0</v>
      </c>
      <c r="T134" s="102">
        <f t="shared" si="71"/>
        <v>0</v>
      </c>
      <c r="U134" s="102">
        <f t="shared" si="64"/>
        <v>0</v>
      </c>
      <c r="V134" s="128">
        <f t="shared" si="72"/>
        <v>34</v>
      </c>
      <c r="W134" s="102">
        <f t="shared" si="73"/>
        <v>0</v>
      </c>
      <c r="X134" s="102">
        <f t="shared" si="65"/>
        <v>0</v>
      </c>
      <c r="Y134" s="102">
        <f t="shared" si="74"/>
        <v>0</v>
      </c>
      <c r="Z134" s="102">
        <f t="shared" si="66"/>
        <v>0</v>
      </c>
    </row>
    <row r="135" spans="1:26">
      <c r="L135" s="131">
        <v>11</v>
      </c>
      <c r="M135" s="102">
        <f t="shared" si="67"/>
        <v>0</v>
      </c>
      <c r="N135" s="102">
        <f t="shared" si="61"/>
        <v>0</v>
      </c>
      <c r="O135" s="102">
        <f t="shared" si="68"/>
        <v>0</v>
      </c>
      <c r="P135" s="102">
        <f t="shared" si="62"/>
        <v>0</v>
      </c>
      <c r="Q135" s="128">
        <f t="shared" si="69"/>
        <v>23</v>
      </c>
      <c r="R135" s="102">
        <f t="shared" si="70"/>
        <v>0</v>
      </c>
      <c r="S135" s="102">
        <f t="shared" si="63"/>
        <v>0</v>
      </c>
      <c r="T135" s="102">
        <f t="shared" si="71"/>
        <v>0</v>
      </c>
      <c r="U135" s="102">
        <f t="shared" si="64"/>
        <v>0</v>
      </c>
      <c r="V135" s="128">
        <f t="shared" si="72"/>
        <v>35</v>
      </c>
      <c r="W135" s="102">
        <f t="shared" si="73"/>
        <v>0</v>
      </c>
      <c r="X135" s="102">
        <f t="shared" si="65"/>
        <v>0</v>
      </c>
      <c r="Y135" s="102">
        <f t="shared" si="74"/>
        <v>0</v>
      </c>
      <c r="Z135" s="102">
        <f t="shared" si="66"/>
        <v>0</v>
      </c>
    </row>
    <row r="136" spans="1:26">
      <c r="L136" s="131">
        <v>12</v>
      </c>
      <c r="M136" s="102">
        <f t="shared" si="67"/>
        <v>0</v>
      </c>
      <c r="N136" s="102">
        <f t="shared" si="61"/>
        <v>0</v>
      </c>
      <c r="O136" s="102">
        <f t="shared" si="68"/>
        <v>0</v>
      </c>
      <c r="P136" s="102">
        <f t="shared" si="62"/>
        <v>0</v>
      </c>
      <c r="Q136" s="128">
        <f t="shared" si="69"/>
        <v>24</v>
      </c>
      <c r="R136" s="102">
        <f t="shared" si="70"/>
        <v>0</v>
      </c>
      <c r="S136" s="102">
        <f t="shared" si="63"/>
        <v>0</v>
      </c>
      <c r="T136" s="102">
        <f t="shared" si="71"/>
        <v>0</v>
      </c>
      <c r="U136" s="102">
        <f t="shared" si="64"/>
        <v>0</v>
      </c>
      <c r="V136" s="128">
        <f t="shared" si="72"/>
        <v>36</v>
      </c>
      <c r="W136" s="102">
        <f t="shared" si="73"/>
        <v>0</v>
      </c>
      <c r="X136" s="102">
        <f t="shared" si="65"/>
        <v>0</v>
      </c>
      <c r="Y136" s="102">
        <f t="shared" si="74"/>
        <v>0</v>
      </c>
      <c r="Z136" s="102">
        <f t="shared" si="66"/>
        <v>0</v>
      </c>
    </row>
    <row r="137" spans="1:26">
      <c r="L137" s="132"/>
      <c r="M137" s="133"/>
      <c r="N137" s="133">
        <f>SUM(N125:N136)</f>
        <v>0</v>
      </c>
      <c r="O137" s="102">
        <f>SUM(O125:O136)</f>
        <v>0</v>
      </c>
      <c r="P137" s="102">
        <f>(O137+N137)/12</f>
        <v>0</v>
      </c>
      <c r="Q137" s="120"/>
      <c r="R137" s="133"/>
      <c r="S137" s="133">
        <f>SUM(S125:S136)</f>
        <v>0</v>
      </c>
      <c r="T137" s="102">
        <f>SUM(T125:T136)</f>
        <v>0</v>
      </c>
      <c r="U137" s="102">
        <f>(T137+S137)/12</f>
        <v>0</v>
      </c>
      <c r="V137" s="120"/>
      <c r="W137" s="133"/>
      <c r="X137" s="133">
        <f>SUM(X125:X136)</f>
        <v>0</v>
      </c>
      <c r="Y137" s="102">
        <f>SUM(Y125:Y136)</f>
        <v>0</v>
      </c>
      <c r="Z137" s="102">
        <f>(Y137+X137)/12</f>
        <v>0</v>
      </c>
    </row>
    <row r="138" spans="1:26">
      <c r="M138" s="133"/>
      <c r="N138" s="133"/>
      <c r="O138" s="133"/>
      <c r="P138" s="133"/>
      <c r="R138" s="133"/>
      <c r="S138" s="133"/>
      <c r="T138" s="133"/>
      <c r="U138" s="133"/>
      <c r="W138" s="133"/>
      <c r="X138" s="133"/>
      <c r="Y138" s="133"/>
      <c r="Z138" s="133"/>
    </row>
    <row r="139" spans="1:26">
      <c r="A139" s="129" t="s">
        <v>64</v>
      </c>
      <c r="L139" s="134"/>
      <c r="M139" s="133"/>
      <c r="N139" s="133"/>
      <c r="O139" s="102">
        <f>IF('Inversió inicial'!M17&lt;13,B116,O137)</f>
        <v>0</v>
      </c>
      <c r="P139" s="102"/>
      <c r="Q139" s="101"/>
      <c r="R139" s="102"/>
      <c r="S139" s="102"/>
      <c r="T139" s="102">
        <f>IF('Inversió inicial'!M17&lt;25,B116-O139,T137)</f>
        <v>0</v>
      </c>
      <c r="U139" s="133"/>
      <c r="W139" s="133"/>
      <c r="X139" s="133"/>
      <c r="Y139" s="133">
        <f>IF('Inversió inicial'!M17&gt;24,B116-O139-T139,0)</f>
        <v>0</v>
      </c>
      <c r="Z139" s="133"/>
    </row>
    <row r="140" spans="1:26">
      <c r="A140" s="101" t="s">
        <v>65</v>
      </c>
      <c r="M140" s="133"/>
      <c r="N140" s="133"/>
      <c r="O140" s="133">
        <f>O139</f>
        <v>0</v>
      </c>
      <c r="P140" s="133"/>
      <c r="R140" s="133"/>
      <c r="S140" s="133"/>
      <c r="T140" s="133">
        <f>O139+T139</f>
        <v>0</v>
      </c>
      <c r="U140" s="133"/>
      <c r="W140" s="133"/>
      <c r="X140" s="133"/>
      <c r="Y140" s="133"/>
      <c r="Z140" s="133">
        <f>Y139+T139+O139</f>
        <v>0</v>
      </c>
    </row>
    <row r="143" spans="1:26">
      <c r="A143" s="137" t="s">
        <v>47</v>
      </c>
    </row>
    <row r="145" spans="1:22">
      <c r="A145" s="138" t="s">
        <v>41</v>
      </c>
    </row>
    <row r="146" spans="1:22">
      <c r="A146" s="104" t="s">
        <v>5</v>
      </c>
      <c r="B146" s="133">
        <f>'Inversió inicial'!Q11</f>
        <v>0</v>
      </c>
    </row>
    <row r="147" spans="1:22">
      <c r="A147" s="104" t="s">
        <v>24</v>
      </c>
      <c r="B147" s="139">
        <f>'Inversió inicial'!Q13</f>
        <v>0</v>
      </c>
    </row>
    <row r="148" spans="1:22">
      <c r="A148" s="104" t="s">
        <v>29</v>
      </c>
      <c r="B148" s="136">
        <f>'Inversió inicial'!Q15*12</f>
        <v>0</v>
      </c>
      <c r="C148" s="136"/>
    </row>
    <row r="149" spans="1:22">
      <c r="A149" s="125" t="s">
        <v>45</v>
      </c>
      <c r="B149" s="133">
        <f>IF(B148=0,0,IF(B147=0,B146/B148,(((B147/12)*B146)/(1-(1+B147/12)^-(B148)))))</f>
        <v>0</v>
      </c>
    </row>
    <row r="151" spans="1:22">
      <c r="C151" s="140">
        <v>0</v>
      </c>
      <c r="D151" s="140">
        <v>1</v>
      </c>
      <c r="E151" s="140">
        <v>2</v>
      </c>
      <c r="F151" s="140">
        <v>3</v>
      </c>
      <c r="G151" s="140">
        <v>4</v>
      </c>
      <c r="H151" s="140">
        <v>5</v>
      </c>
      <c r="I151" s="140">
        <v>6</v>
      </c>
      <c r="J151" s="140">
        <v>7</v>
      </c>
      <c r="K151" s="140">
        <v>8</v>
      </c>
      <c r="L151" s="140">
        <v>9</v>
      </c>
      <c r="M151" s="140">
        <v>10</v>
      </c>
      <c r="N151" s="133"/>
    </row>
    <row r="152" spans="1:22">
      <c r="A152" s="104" t="s">
        <v>48</v>
      </c>
      <c r="C152" s="133">
        <f>B146</f>
        <v>0</v>
      </c>
      <c r="D152" s="133">
        <f t="shared" ref="D152:M152" si="75">C152</f>
        <v>0</v>
      </c>
      <c r="E152" s="133">
        <f t="shared" si="75"/>
        <v>0</v>
      </c>
      <c r="F152" s="133">
        <f t="shared" si="75"/>
        <v>0</v>
      </c>
      <c r="G152" s="133">
        <f t="shared" si="75"/>
        <v>0</v>
      </c>
      <c r="H152" s="133">
        <f t="shared" si="75"/>
        <v>0</v>
      </c>
      <c r="I152" s="133">
        <f t="shared" si="75"/>
        <v>0</v>
      </c>
      <c r="J152" s="133">
        <f t="shared" si="75"/>
        <v>0</v>
      </c>
      <c r="K152" s="133">
        <f t="shared" si="75"/>
        <v>0</v>
      </c>
      <c r="L152" s="133">
        <f t="shared" si="75"/>
        <v>0</v>
      </c>
      <c r="M152" s="133">
        <f t="shared" si="75"/>
        <v>0</v>
      </c>
    </row>
    <row r="153" spans="1:22">
      <c r="A153" s="125" t="s">
        <v>33</v>
      </c>
      <c r="D153" s="133">
        <f>D154</f>
        <v>0</v>
      </c>
      <c r="E153" s="133">
        <f>D153+E154</f>
        <v>0</v>
      </c>
      <c r="F153" s="133">
        <f t="shared" ref="F153:M153" si="76">E153+F154</f>
        <v>0</v>
      </c>
      <c r="G153" s="133">
        <f t="shared" si="76"/>
        <v>0</v>
      </c>
      <c r="H153" s="133">
        <f t="shared" si="76"/>
        <v>0</v>
      </c>
      <c r="I153" s="133">
        <f t="shared" si="76"/>
        <v>0</v>
      </c>
      <c r="J153" s="133">
        <f t="shared" si="76"/>
        <v>0</v>
      </c>
      <c r="K153" s="133">
        <f t="shared" si="76"/>
        <v>0</v>
      </c>
      <c r="L153" s="133">
        <f t="shared" si="76"/>
        <v>0</v>
      </c>
      <c r="M153" s="133">
        <f t="shared" si="76"/>
        <v>0</v>
      </c>
      <c r="P153" s="101"/>
      <c r="R153" s="133"/>
      <c r="S153" s="133"/>
      <c r="T153" s="133"/>
      <c r="U153" s="133"/>
      <c r="V153" s="133"/>
    </row>
    <row r="154" spans="1:22">
      <c r="A154" s="104" t="s">
        <v>51</v>
      </c>
      <c r="D154" s="133">
        <f>IF(D151&lt;=($B$148/12),$B$146/($B$148/12),0)</f>
        <v>0</v>
      </c>
      <c r="E154" s="133">
        <f t="shared" ref="E154:M154" si="77">IF(E151&lt;=($B$148/12),$B$146/($B$148/12),0)</f>
        <v>0</v>
      </c>
      <c r="F154" s="133">
        <f t="shared" si="77"/>
        <v>0</v>
      </c>
      <c r="G154" s="133">
        <f t="shared" si="77"/>
        <v>0</v>
      </c>
      <c r="H154" s="133">
        <f t="shared" si="77"/>
        <v>0</v>
      </c>
      <c r="I154" s="133">
        <f t="shared" si="77"/>
        <v>0</v>
      </c>
      <c r="J154" s="133">
        <f t="shared" si="77"/>
        <v>0</v>
      </c>
      <c r="K154" s="133">
        <f t="shared" si="77"/>
        <v>0</v>
      </c>
      <c r="L154" s="133">
        <f t="shared" si="77"/>
        <v>0</v>
      </c>
      <c r="M154" s="133">
        <f t="shared" si="77"/>
        <v>0</v>
      </c>
      <c r="P154" s="101"/>
      <c r="R154" s="133"/>
      <c r="S154" s="133"/>
      <c r="T154" s="133"/>
      <c r="U154" s="133"/>
      <c r="V154" s="133"/>
    </row>
    <row r="155" spans="1:22">
      <c r="P155" s="101"/>
      <c r="R155" s="133"/>
      <c r="S155" s="133"/>
      <c r="T155" s="133"/>
      <c r="U155" s="133"/>
      <c r="V155" s="133"/>
    </row>
    <row r="156" spans="1:22">
      <c r="A156" s="104" t="s">
        <v>49</v>
      </c>
      <c r="D156" s="133">
        <f t="shared" ref="D156:M156" si="78">IF(D151&gt;($B$148/12),0,$B$149*12)</f>
        <v>0</v>
      </c>
      <c r="E156" s="133">
        <f t="shared" si="78"/>
        <v>0</v>
      </c>
      <c r="F156" s="133">
        <f t="shared" si="78"/>
        <v>0</v>
      </c>
      <c r="G156" s="133">
        <f t="shared" si="78"/>
        <v>0</v>
      </c>
      <c r="H156" s="133">
        <f t="shared" si="78"/>
        <v>0</v>
      </c>
      <c r="I156" s="133">
        <f t="shared" si="78"/>
        <v>0</v>
      </c>
      <c r="J156" s="133">
        <f t="shared" si="78"/>
        <v>0</v>
      </c>
      <c r="K156" s="133">
        <f t="shared" si="78"/>
        <v>0</v>
      </c>
      <c r="L156" s="133">
        <f t="shared" si="78"/>
        <v>0</v>
      </c>
      <c r="M156" s="133">
        <f t="shared" si="78"/>
        <v>0</v>
      </c>
    </row>
    <row r="157" spans="1:22">
      <c r="A157" s="141" t="s">
        <v>50</v>
      </c>
      <c r="D157" s="133">
        <f t="shared" ref="D157:M157" si="79">D154</f>
        <v>0</v>
      </c>
      <c r="E157" s="133">
        <f t="shared" si="79"/>
        <v>0</v>
      </c>
      <c r="F157" s="133">
        <f t="shared" si="79"/>
        <v>0</v>
      </c>
      <c r="G157" s="133">
        <f t="shared" si="79"/>
        <v>0</v>
      </c>
      <c r="H157" s="133">
        <f t="shared" si="79"/>
        <v>0</v>
      </c>
      <c r="I157" s="133">
        <f t="shared" si="79"/>
        <v>0</v>
      </c>
      <c r="J157" s="133">
        <f t="shared" si="79"/>
        <v>0</v>
      </c>
      <c r="K157" s="133">
        <f t="shared" si="79"/>
        <v>0</v>
      </c>
      <c r="L157" s="133">
        <f t="shared" si="79"/>
        <v>0</v>
      </c>
      <c r="M157" s="133">
        <f t="shared" si="79"/>
        <v>0</v>
      </c>
    </row>
    <row r="158" spans="1:22">
      <c r="A158" s="141" t="s">
        <v>28</v>
      </c>
      <c r="D158" s="133">
        <f t="shared" ref="D158:M158" si="80">D156-D157</f>
        <v>0</v>
      </c>
      <c r="E158" s="133">
        <f t="shared" si="80"/>
        <v>0</v>
      </c>
      <c r="F158" s="133">
        <f t="shared" si="80"/>
        <v>0</v>
      </c>
      <c r="G158" s="133">
        <f t="shared" si="80"/>
        <v>0</v>
      </c>
      <c r="H158" s="133">
        <f t="shared" si="80"/>
        <v>0</v>
      </c>
      <c r="I158" s="133">
        <f t="shared" si="80"/>
        <v>0</v>
      </c>
      <c r="J158" s="133">
        <f t="shared" si="80"/>
        <v>0</v>
      </c>
      <c r="K158" s="133">
        <f t="shared" si="80"/>
        <v>0</v>
      </c>
      <c r="L158" s="133">
        <f t="shared" si="80"/>
        <v>0</v>
      </c>
      <c r="M158" s="133">
        <f t="shared" si="80"/>
        <v>0</v>
      </c>
    </row>
    <row r="159" spans="1:22">
      <c r="A159" s="125" t="s">
        <v>76</v>
      </c>
      <c r="C159" s="133">
        <f>SUM(D158:M158)</f>
        <v>0</v>
      </c>
      <c r="D159" s="133">
        <f>C159-D158</f>
        <v>0</v>
      </c>
      <c r="E159" s="133">
        <f t="shared" ref="E159:M159" si="81">D159-E158</f>
        <v>0</v>
      </c>
      <c r="F159" s="133">
        <f t="shared" si="81"/>
        <v>0</v>
      </c>
      <c r="G159" s="133">
        <f t="shared" si="81"/>
        <v>0</v>
      </c>
      <c r="H159" s="133">
        <f t="shared" si="81"/>
        <v>0</v>
      </c>
      <c r="I159" s="133">
        <f t="shared" si="81"/>
        <v>0</v>
      </c>
      <c r="J159" s="133">
        <f t="shared" si="81"/>
        <v>0</v>
      </c>
      <c r="K159" s="133">
        <f t="shared" si="81"/>
        <v>0</v>
      </c>
      <c r="L159" s="133">
        <f t="shared" si="81"/>
        <v>0</v>
      </c>
      <c r="M159" s="133">
        <f t="shared" si="81"/>
        <v>0</v>
      </c>
    </row>
    <row r="160" spans="1:22"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  <c r="M160" s="133"/>
      <c r="P160" s="119"/>
      <c r="Q160" s="101"/>
      <c r="R160" s="102"/>
      <c r="S160" s="101"/>
      <c r="T160" s="101"/>
      <c r="U160" s="101"/>
      <c r="V160" s="131"/>
    </row>
    <row r="161" spans="1:22">
      <c r="A161" s="104" t="s">
        <v>53</v>
      </c>
      <c r="H161" s="133">
        <f>B146-D157-E157-F157-G157</f>
        <v>0</v>
      </c>
      <c r="I161" s="133"/>
      <c r="J161" s="133"/>
      <c r="K161" s="133"/>
      <c r="L161" s="133"/>
      <c r="M161" s="133"/>
      <c r="P161" s="101"/>
      <c r="Q161" s="101"/>
      <c r="R161" s="130"/>
      <c r="S161" s="101"/>
      <c r="T161" s="101"/>
      <c r="U161" s="101"/>
      <c r="V161" s="101"/>
    </row>
    <row r="162" spans="1:22">
      <c r="A162" s="104" t="s">
        <v>75</v>
      </c>
      <c r="H162" s="133">
        <f>C159-D158-E158-F158-G158</f>
        <v>0</v>
      </c>
      <c r="P162" s="101"/>
      <c r="Q162" s="101"/>
      <c r="R162" s="142"/>
      <c r="S162" s="101"/>
      <c r="T162" s="101"/>
      <c r="U162" s="101"/>
      <c r="V162" s="101"/>
    </row>
    <row r="163" spans="1:22">
      <c r="P163" s="132"/>
      <c r="Q163" s="101"/>
      <c r="R163" s="102"/>
      <c r="S163" s="101"/>
      <c r="T163" s="101"/>
      <c r="U163" s="101"/>
      <c r="V163" s="101"/>
    </row>
    <row r="164" spans="1:22">
      <c r="A164" s="138" t="s">
        <v>42</v>
      </c>
    </row>
    <row r="165" spans="1:22">
      <c r="A165" s="104" t="s">
        <v>5</v>
      </c>
      <c r="B165" s="133">
        <f>'Resultats a tres anys'!K34</f>
        <v>0</v>
      </c>
    </row>
    <row r="166" spans="1:22">
      <c r="A166" s="104" t="s">
        <v>24</v>
      </c>
      <c r="B166" s="139">
        <f>'Resultats a tres anys'!K35</f>
        <v>0</v>
      </c>
    </row>
    <row r="167" spans="1:22">
      <c r="A167" s="104" t="s">
        <v>29</v>
      </c>
      <c r="B167" s="136">
        <f>'Resultats a tres anys'!K36*12</f>
        <v>0</v>
      </c>
    </row>
    <row r="168" spans="1:22">
      <c r="A168" s="125" t="s">
        <v>45</v>
      </c>
      <c r="B168" s="133">
        <f>IF(B167=0,0,IF(B166=0,B165/B167,(((B166/12)*B165)/(1-(1+B166/12)^-(B167)))))</f>
        <v>0</v>
      </c>
    </row>
    <row r="170" spans="1:22">
      <c r="C170" s="140">
        <v>0</v>
      </c>
      <c r="D170" s="140">
        <v>1</v>
      </c>
      <c r="E170" s="140">
        <v>2</v>
      </c>
      <c r="F170" s="140">
        <v>3</v>
      </c>
      <c r="G170" s="140">
        <v>4</v>
      </c>
      <c r="H170" s="140">
        <v>5</v>
      </c>
      <c r="I170" s="140">
        <v>6</v>
      </c>
      <c r="J170" s="140">
        <v>7</v>
      </c>
      <c r="K170" s="140">
        <v>8</v>
      </c>
      <c r="L170" s="140">
        <v>9</v>
      </c>
      <c r="M170" s="140">
        <v>10</v>
      </c>
    </row>
    <row r="171" spans="1:22">
      <c r="A171" s="104" t="s">
        <v>48</v>
      </c>
      <c r="C171" s="133"/>
      <c r="D171" s="133"/>
      <c r="E171" s="133">
        <f>B165</f>
        <v>0</v>
      </c>
      <c r="F171" s="133">
        <f t="shared" ref="F171:M171" si="82">E171</f>
        <v>0</v>
      </c>
      <c r="G171" s="133">
        <f t="shared" si="82"/>
        <v>0</v>
      </c>
      <c r="H171" s="133">
        <f t="shared" si="82"/>
        <v>0</v>
      </c>
      <c r="I171" s="133">
        <f t="shared" si="82"/>
        <v>0</v>
      </c>
      <c r="J171" s="133">
        <f t="shared" si="82"/>
        <v>0</v>
      </c>
      <c r="K171" s="133">
        <f t="shared" si="82"/>
        <v>0</v>
      </c>
      <c r="L171" s="133">
        <f t="shared" si="82"/>
        <v>0</v>
      </c>
      <c r="M171" s="133">
        <f t="shared" si="82"/>
        <v>0</v>
      </c>
    </row>
    <row r="172" spans="1:22">
      <c r="A172" s="125" t="s">
        <v>33</v>
      </c>
      <c r="E172" s="133">
        <f>E173</f>
        <v>0</v>
      </c>
      <c r="F172" s="133">
        <f>E172+F173</f>
        <v>0</v>
      </c>
      <c r="G172" s="133">
        <f t="shared" ref="G172:M172" si="83">F172+G173</f>
        <v>0</v>
      </c>
      <c r="H172" s="133">
        <f t="shared" si="83"/>
        <v>0</v>
      </c>
      <c r="I172" s="133">
        <f t="shared" si="83"/>
        <v>0</v>
      </c>
      <c r="J172" s="133">
        <f t="shared" si="83"/>
        <v>0</v>
      </c>
      <c r="K172" s="133">
        <f t="shared" si="83"/>
        <v>0</v>
      </c>
      <c r="L172" s="133">
        <f t="shared" si="83"/>
        <v>0</v>
      </c>
      <c r="M172" s="133">
        <f t="shared" si="83"/>
        <v>0</v>
      </c>
    </row>
    <row r="173" spans="1:22">
      <c r="A173" s="104" t="s">
        <v>51</v>
      </c>
      <c r="E173" s="133">
        <f>IF(D170&lt;=($B$167/12),$B$165/($B$167/12),0)</f>
        <v>0</v>
      </c>
      <c r="F173" s="133">
        <f t="shared" ref="F173:M173" si="84">IF(E170&lt;=($B$167/12),$B$165/($B$167/12),0)</f>
        <v>0</v>
      </c>
      <c r="G173" s="133">
        <f t="shared" si="84"/>
        <v>0</v>
      </c>
      <c r="H173" s="133">
        <f t="shared" si="84"/>
        <v>0</v>
      </c>
      <c r="I173" s="133">
        <f t="shared" si="84"/>
        <v>0</v>
      </c>
      <c r="J173" s="133">
        <f t="shared" si="84"/>
        <v>0</v>
      </c>
      <c r="K173" s="133">
        <f t="shared" si="84"/>
        <v>0</v>
      </c>
      <c r="L173" s="133">
        <f t="shared" si="84"/>
        <v>0</v>
      </c>
      <c r="M173" s="133">
        <f t="shared" si="84"/>
        <v>0</v>
      </c>
    </row>
    <row r="175" spans="1:22">
      <c r="A175" s="104" t="s">
        <v>49</v>
      </c>
      <c r="E175" s="133">
        <f t="shared" ref="E175:M175" si="85">IF(D170&gt;($B$167/12),0,$B$168*12)</f>
        <v>0</v>
      </c>
      <c r="F175" s="133">
        <f t="shared" si="85"/>
        <v>0</v>
      </c>
      <c r="G175" s="133">
        <f t="shared" si="85"/>
        <v>0</v>
      </c>
      <c r="H175" s="133">
        <f t="shared" si="85"/>
        <v>0</v>
      </c>
      <c r="I175" s="133">
        <f t="shared" si="85"/>
        <v>0</v>
      </c>
      <c r="J175" s="133">
        <f t="shared" si="85"/>
        <v>0</v>
      </c>
      <c r="K175" s="133">
        <f t="shared" si="85"/>
        <v>0</v>
      </c>
      <c r="L175" s="133">
        <f t="shared" si="85"/>
        <v>0</v>
      </c>
      <c r="M175" s="133">
        <f t="shared" si="85"/>
        <v>0</v>
      </c>
    </row>
    <row r="176" spans="1:22">
      <c r="A176" s="141" t="s">
        <v>50</v>
      </c>
      <c r="E176" s="133">
        <f t="shared" ref="E176:M176" si="86">E173</f>
        <v>0</v>
      </c>
      <c r="F176" s="133">
        <f t="shared" si="86"/>
        <v>0</v>
      </c>
      <c r="G176" s="133">
        <f t="shared" si="86"/>
        <v>0</v>
      </c>
      <c r="H176" s="133">
        <f t="shared" si="86"/>
        <v>0</v>
      </c>
      <c r="I176" s="133">
        <f t="shared" si="86"/>
        <v>0</v>
      </c>
      <c r="J176" s="133">
        <f t="shared" si="86"/>
        <v>0</v>
      </c>
      <c r="K176" s="133">
        <f t="shared" si="86"/>
        <v>0</v>
      </c>
      <c r="L176" s="133">
        <f t="shared" si="86"/>
        <v>0</v>
      </c>
      <c r="M176" s="133">
        <f t="shared" si="86"/>
        <v>0</v>
      </c>
    </row>
    <row r="177" spans="1:14">
      <c r="A177" s="141" t="s">
        <v>28</v>
      </c>
      <c r="E177" s="133">
        <f t="shared" ref="E177:M177" si="87">E175-E176</f>
        <v>0</v>
      </c>
      <c r="F177" s="133">
        <f t="shared" si="87"/>
        <v>0</v>
      </c>
      <c r="G177" s="133">
        <f t="shared" si="87"/>
        <v>0</v>
      </c>
      <c r="H177" s="133">
        <f t="shared" si="87"/>
        <v>0</v>
      </c>
      <c r="I177" s="133">
        <f t="shared" si="87"/>
        <v>0</v>
      </c>
      <c r="J177" s="133">
        <f t="shared" si="87"/>
        <v>0</v>
      </c>
      <c r="K177" s="133">
        <f t="shared" si="87"/>
        <v>0</v>
      </c>
      <c r="L177" s="133">
        <f t="shared" si="87"/>
        <v>0</v>
      </c>
      <c r="M177" s="133">
        <f t="shared" si="87"/>
        <v>0</v>
      </c>
    </row>
    <row r="178" spans="1:14">
      <c r="A178" s="125" t="s">
        <v>76</v>
      </c>
      <c r="C178" s="133">
        <f>SUM(E177:M177)</f>
        <v>0</v>
      </c>
      <c r="E178" s="133">
        <f>C178-E177</f>
        <v>0</v>
      </c>
      <c r="F178" s="133">
        <f>E178-F177</f>
        <v>0</v>
      </c>
      <c r="G178" s="133">
        <f t="shared" ref="G178:M178" si="88">F178-G177</f>
        <v>0</v>
      </c>
      <c r="H178" s="133">
        <f t="shared" si="88"/>
        <v>0</v>
      </c>
      <c r="I178" s="133">
        <f t="shared" si="88"/>
        <v>0</v>
      </c>
      <c r="J178" s="133">
        <f t="shared" si="88"/>
        <v>0</v>
      </c>
      <c r="K178" s="133">
        <f t="shared" si="88"/>
        <v>0</v>
      </c>
      <c r="L178" s="133">
        <f t="shared" si="88"/>
        <v>0</v>
      </c>
      <c r="M178" s="133">
        <f t="shared" si="88"/>
        <v>0</v>
      </c>
    </row>
    <row r="179" spans="1:14">
      <c r="E179" s="133"/>
      <c r="F179" s="133"/>
      <c r="G179" s="133"/>
      <c r="H179" s="133"/>
      <c r="I179" s="133"/>
      <c r="J179" s="133"/>
      <c r="K179" s="133"/>
      <c r="L179" s="133"/>
      <c r="M179" s="133"/>
    </row>
    <row r="180" spans="1:14">
      <c r="A180" s="104" t="s">
        <v>53</v>
      </c>
      <c r="H180" s="133">
        <f>B165-E176-F176-G176</f>
        <v>0</v>
      </c>
      <c r="I180" s="133"/>
      <c r="J180" s="133"/>
      <c r="K180" s="133"/>
      <c r="L180" s="133"/>
      <c r="M180" s="133"/>
    </row>
    <row r="181" spans="1:14">
      <c r="A181" s="104" t="s">
        <v>75</v>
      </c>
      <c r="H181" s="133">
        <f>C178-E177-F177-G177</f>
        <v>0</v>
      </c>
    </row>
    <row r="183" spans="1:14">
      <c r="A183" s="143" t="s">
        <v>43</v>
      </c>
    </row>
    <row r="184" spans="1:14">
      <c r="A184" s="104" t="s">
        <v>5</v>
      </c>
      <c r="B184" s="133">
        <f>'Resultats a tres anys'!L34</f>
        <v>0</v>
      </c>
    </row>
    <row r="185" spans="1:14">
      <c r="A185" s="104" t="s">
        <v>24</v>
      </c>
      <c r="B185" s="139">
        <f>'Resultats a tres anys'!L35</f>
        <v>0</v>
      </c>
    </row>
    <row r="186" spans="1:14">
      <c r="A186" s="104" t="s">
        <v>29</v>
      </c>
      <c r="B186" s="104">
        <f>'Resultats a tres anys'!L36*12</f>
        <v>0</v>
      </c>
    </row>
    <row r="187" spans="1:14">
      <c r="A187" s="125" t="s">
        <v>45</v>
      </c>
      <c r="B187" s="133">
        <f>IF(B186=0,0,IF(B185=0,B184/B186,(((B185/12)*B184)/(1-(1+B185/12)^-(B186)))))</f>
        <v>0</v>
      </c>
      <c r="N187" s="101"/>
    </row>
    <row r="188" spans="1:14">
      <c r="N188" s="101"/>
    </row>
    <row r="189" spans="1:14">
      <c r="C189" s="140">
        <v>0</v>
      </c>
      <c r="D189" s="140">
        <v>1</v>
      </c>
      <c r="E189" s="140">
        <v>2</v>
      </c>
      <c r="F189" s="140">
        <v>3</v>
      </c>
      <c r="G189" s="140">
        <v>4</v>
      </c>
      <c r="H189" s="140">
        <v>5</v>
      </c>
      <c r="I189" s="140">
        <v>6</v>
      </c>
      <c r="J189" s="140">
        <v>7</v>
      </c>
      <c r="K189" s="140">
        <v>8</v>
      </c>
      <c r="L189" s="140">
        <v>9</v>
      </c>
      <c r="M189" s="140">
        <v>10</v>
      </c>
      <c r="N189" s="101"/>
    </row>
    <row r="190" spans="1:14">
      <c r="A190" s="104" t="s">
        <v>48</v>
      </c>
      <c r="F190" s="133">
        <f>B184</f>
        <v>0</v>
      </c>
      <c r="G190" s="133">
        <f t="shared" ref="G190:M190" si="89">F190</f>
        <v>0</v>
      </c>
      <c r="H190" s="133">
        <f t="shared" si="89"/>
        <v>0</v>
      </c>
      <c r="I190" s="133">
        <f t="shared" si="89"/>
        <v>0</v>
      </c>
      <c r="J190" s="133">
        <f t="shared" si="89"/>
        <v>0</v>
      </c>
      <c r="K190" s="133">
        <f t="shared" si="89"/>
        <v>0</v>
      </c>
      <c r="L190" s="133">
        <f t="shared" si="89"/>
        <v>0</v>
      </c>
      <c r="M190" s="133">
        <f t="shared" si="89"/>
        <v>0</v>
      </c>
      <c r="N190" s="101"/>
    </row>
    <row r="191" spans="1:14">
      <c r="A191" s="125" t="s">
        <v>33</v>
      </c>
      <c r="F191" s="133">
        <f>F192</f>
        <v>0</v>
      </c>
      <c r="G191" s="133">
        <f>F191+G192</f>
        <v>0</v>
      </c>
      <c r="H191" s="133">
        <f t="shared" ref="H191:M191" si="90">G191+H192</f>
        <v>0</v>
      </c>
      <c r="I191" s="133">
        <f t="shared" si="90"/>
        <v>0</v>
      </c>
      <c r="J191" s="133">
        <f t="shared" si="90"/>
        <v>0</v>
      </c>
      <c r="K191" s="133">
        <f t="shared" si="90"/>
        <v>0</v>
      </c>
      <c r="L191" s="133">
        <f t="shared" si="90"/>
        <v>0</v>
      </c>
      <c r="M191" s="133">
        <f t="shared" si="90"/>
        <v>0</v>
      </c>
      <c r="N191" s="101"/>
    </row>
    <row r="192" spans="1:14">
      <c r="A192" s="104" t="s">
        <v>51</v>
      </c>
      <c r="F192" s="133">
        <f>IF(D189&lt;=($B$186/12),$B$184/($B$186/12),0)</f>
        <v>0</v>
      </c>
      <c r="G192" s="133">
        <f t="shared" ref="G192:M192" si="91">IF(E189&lt;=($B$186/12),$B$184/($B$186/12),0)</f>
        <v>0</v>
      </c>
      <c r="H192" s="133">
        <f t="shared" si="91"/>
        <v>0</v>
      </c>
      <c r="I192" s="133">
        <f t="shared" si="91"/>
        <v>0</v>
      </c>
      <c r="J192" s="133">
        <f t="shared" si="91"/>
        <v>0</v>
      </c>
      <c r="K192" s="133">
        <f t="shared" si="91"/>
        <v>0</v>
      </c>
      <c r="L192" s="133">
        <f t="shared" si="91"/>
        <v>0</v>
      </c>
      <c r="M192" s="133">
        <f t="shared" si="91"/>
        <v>0</v>
      </c>
      <c r="N192" s="101"/>
    </row>
    <row r="193" spans="1:14">
      <c r="N193" s="101"/>
    </row>
    <row r="194" spans="1:14">
      <c r="A194" s="104" t="s">
        <v>49</v>
      </c>
      <c r="F194" s="133">
        <f>IF(D189&gt;($B$186/12),0,$B$187*12)</f>
        <v>0</v>
      </c>
      <c r="G194" s="133">
        <f t="shared" ref="G194:M194" si="92">IF(E189&gt;($B$186/12),0,$B$187*12)</f>
        <v>0</v>
      </c>
      <c r="H194" s="133">
        <f t="shared" si="92"/>
        <v>0</v>
      </c>
      <c r="I194" s="133">
        <f t="shared" si="92"/>
        <v>0</v>
      </c>
      <c r="J194" s="133">
        <f t="shared" si="92"/>
        <v>0</v>
      </c>
      <c r="K194" s="133">
        <f t="shared" si="92"/>
        <v>0</v>
      </c>
      <c r="L194" s="133">
        <f t="shared" si="92"/>
        <v>0</v>
      </c>
      <c r="M194" s="133">
        <f t="shared" si="92"/>
        <v>0</v>
      </c>
      <c r="N194" s="101"/>
    </row>
    <row r="195" spans="1:14">
      <c r="A195" s="141" t="s">
        <v>50</v>
      </c>
      <c r="F195" s="133">
        <f t="shared" ref="F195:M195" si="93">F192</f>
        <v>0</v>
      </c>
      <c r="G195" s="133">
        <f t="shared" si="93"/>
        <v>0</v>
      </c>
      <c r="H195" s="133">
        <f t="shared" si="93"/>
        <v>0</v>
      </c>
      <c r="I195" s="133">
        <f t="shared" si="93"/>
        <v>0</v>
      </c>
      <c r="J195" s="133">
        <f t="shared" si="93"/>
        <v>0</v>
      </c>
      <c r="K195" s="133">
        <f t="shared" si="93"/>
        <v>0</v>
      </c>
      <c r="L195" s="133">
        <f t="shared" si="93"/>
        <v>0</v>
      </c>
      <c r="M195" s="133">
        <f t="shared" si="93"/>
        <v>0</v>
      </c>
      <c r="N195" s="101"/>
    </row>
    <row r="196" spans="1:14">
      <c r="A196" s="141" t="s">
        <v>28</v>
      </c>
      <c r="F196" s="133">
        <f t="shared" ref="F196:M196" si="94">F194-F195</f>
        <v>0</v>
      </c>
      <c r="G196" s="133">
        <f t="shared" si="94"/>
        <v>0</v>
      </c>
      <c r="H196" s="133">
        <f t="shared" si="94"/>
        <v>0</v>
      </c>
      <c r="I196" s="133">
        <f t="shared" si="94"/>
        <v>0</v>
      </c>
      <c r="J196" s="133">
        <f t="shared" si="94"/>
        <v>0</v>
      </c>
      <c r="K196" s="133">
        <f t="shared" si="94"/>
        <v>0</v>
      </c>
      <c r="L196" s="133">
        <f t="shared" si="94"/>
        <v>0</v>
      </c>
      <c r="M196" s="133">
        <f t="shared" si="94"/>
        <v>0</v>
      </c>
      <c r="N196" s="101"/>
    </row>
    <row r="197" spans="1:14">
      <c r="A197" s="125" t="s">
        <v>76</v>
      </c>
      <c r="C197" s="133">
        <f>SUM(F196:M196)</f>
        <v>0</v>
      </c>
      <c r="F197" s="133">
        <f>C197-F196</f>
        <v>0</v>
      </c>
      <c r="G197" s="133">
        <f>F197-G196</f>
        <v>0</v>
      </c>
      <c r="H197" s="133">
        <f t="shared" ref="H197:M197" si="95">G197-H196</f>
        <v>0</v>
      </c>
      <c r="I197" s="133">
        <f t="shared" si="95"/>
        <v>0</v>
      </c>
      <c r="J197" s="133">
        <f t="shared" si="95"/>
        <v>0</v>
      </c>
      <c r="K197" s="133">
        <f t="shared" si="95"/>
        <v>0</v>
      </c>
      <c r="L197" s="133">
        <f t="shared" si="95"/>
        <v>0</v>
      </c>
      <c r="M197" s="133">
        <f t="shared" si="95"/>
        <v>0</v>
      </c>
      <c r="N197" s="101"/>
    </row>
    <row r="198" spans="1:14">
      <c r="F198" s="133"/>
      <c r="G198" s="133"/>
      <c r="H198" s="133"/>
      <c r="I198" s="133"/>
      <c r="J198" s="133"/>
      <c r="K198" s="133"/>
      <c r="L198" s="133"/>
      <c r="M198" s="133"/>
      <c r="N198" s="101"/>
    </row>
    <row r="199" spans="1:14">
      <c r="A199" s="104" t="s">
        <v>53</v>
      </c>
      <c r="H199" s="133">
        <f>B184-F195-G195</f>
        <v>0</v>
      </c>
      <c r="I199" s="133"/>
      <c r="J199" s="133"/>
      <c r="K199" s="133"/>
      <c r="L199" s="133"/>
      <c r="M199" s="133"/>
      <c r="N199" s="101"/>
    </row>
    <row r="200" spans="1:14">
      <c r="A200" s="104" t="s">
        <v>75</v>
      </c>
      <c r="H200" s="133">
        <f>C197-F196-G196</f>
        <v>0</v>
      </c>
      <c r="N200" s="101"/>
    </row>
    <row r="201" spans="1:14">
      <c r="N201" s="101"/>
    </row>
    <row r="202" spans="1:14">
      <c r="A202" s="143" t="s">
        <v>77</v>
      </c>
      <c r="N202" s="101"/>
    </row>
    <row r="203" spans="1:14">
      <c r="N203" s="101"/>
    </row>
    <row r="204" spans="1:14">
      <c r="C204" s="140">
        <v>0</v>
      </c>
      <c r="D204" s="140">
        <v>1</v>
      </c>
      <c r="E204" s="140">
        <v>2</v>
      </c>
      <c r="F204" s="140">
        <v>3</v>
      </c>
      <c r="G204" s="140">
        <v>4</v>
      </c>
      <c r="H204" s="140">
        <v>5</v>
      </c>
      <c r="I204" s="140">
        <v>6</v>
      </c>
      <c r="J204" s="140">
        <v>7</v>
      </c>
      <c r="K204" s="140">
        <v>8</v>
      </c>
      <c r="L204" s="140">
        <v>9</v>
      </c>
      <c r="M204" s="140">
        <v>10</v>
      </c>
      <c r="N204" s="101"/>
    </row>
    <row r="205" spans="1:14">
      <c r="A205" s="104" t="s">
        <v>48</v>
      </c>
      <c r="C205" s="133">
        <f t="shared" ref="C205:M205" si="96">C152+C171+C190</f>
        <v>0</v>
      </c>
      <c r="D205" s="133">
        <f t="shared" si="96"/>
        <v>0</v>
      </c>
      <c r="E205" s="133">
        <f t="shared" si="96"/>
        <v>0</v>
      </c>
      <c r="F205" s="133">
        <f t="shared" si="96"/>
        <v>0</v>
      </c>
      <c r="G205" s="133">
        <f t="shared" si="96"/>
        <v>0</v>
      </c>
      <c r="H205" s="133">
        <f t="shared" si="96"/>
        <v>0</v>
      </c>
      <c r="I205" s="133">
        <f t="shared" si="96"/>
        <v>0</v>
      </c>
      <c r="J205" s="133">
        <f t="shared" si="96"/>
        <v>0</v>
      </c>
      <c r="K205" s="133">
        <f t="shared" si="96"/>
        <v>0</v>
      </c>
      <c r="L205" s="133">
        <f t="shared" si="96"/>
        <v>0</v>
      </c>
      <c r="M205" s="133">
        <f t="shared" si="96"/>
        <v>0</v>
      </c>
      <c r="N205" s="101"/>
    </row>
    <row r="206" spans="1:14">
      <c r="A206" s="125" t="s">
        <v>33</v>
      </c>
      <c r="C206" s="133">
        <f t="shared" ref="C206:M206" si="97">C153+C172+C191</f>
        <v>0</v>
      </c>
      <c r="D206" s="133">
        <f t="shared" si="97"/>
        <v>0</v>
      </c>
      <c r="E206" s="133">
        <f t="shared" si="97"/>
        <v>0</v>
      </c>
      <c r="F206" s="133">
        <f t="shared" si="97"/>
        <v>0</v>
      </c>
      <c r="G206" s="133">
        <f t="shared" si="97"/>
        <v>0</v>
      </c>
      <c r="H206" s="133">
        <f t="shared" si="97"/>
        <v>0</v>
      </c>
      <c r="I206" s="133">
        <f t="shared" si="97"/>
        <v>0</v>
      </c>
      <c r="J206" s="133">
        <f t="shared" si="97"/>
        <v>0</v>
      </c>
      <c r="K206" s="133">
        <f t="shared" si="97"/>
        <v>0</v>
      </c>
      <c r="L206" s="133">
        <f t="shared" si="97"/>
        <v>0</v>
      </c>
      <c r="M206" s="133">
        <f t="shared" si="97"/>
        <v>0</v>
      </c>
      <c r="N206" s="101"/>
    </row>
    <row r="207" spans="1:14">
      <c r="A207" s="104" t="s">
        <v>51</v>
      </c>
      <c r="C207" s="133">
        <f t="shared" ref="C207:M207" si="98">C154+C173+C192</f>
        <v>0</v>
      </c>
      <c r="D207" s="133">
        <f t="shared" si="98"/>
        <v>0</v>
      </c>
      <c r="E207" s="133">
        <f t="shared" si="98"/>
        <v>0</v>
      </c>
      <c r="F207" s="133">
        <f t="shared" si="98"/>
        <v>0</v>
      </c>
      <c r="G207" s="133">
        <f t="shared" si="98"/>
        <v>0</v>
      </c>
      <c r="H207" s="133">
        <f t="shared" si="98"/>
        <v>0</v>
      </c>
      <c r="I207" s="133">
        <f t="shared" si="98"/>
        <v>0</v>
      </c>
      <c r="J207" s="133">
        <f t="shared" si="98"/>
        <v>0</v>
      </c>
      <c r="K207" s="133">
        <f t="shared" si="98"/>
        <v>0</v>
      </c>
      <c r="L207" s="133">
        <f t="shared" si="98"/>
        <v>0</v>
      </c>
      <c r="M207" s="133">
        <f t="shared" si="98"/>
        <v>0</v>
      </c>
      <c r="N207" s="101"/>
    </row>
    <row r="208" spans="1:14">
      <c r="C208" s="133"/>
      <c r="D208" s="133"/>
      <c r="E208" s="133"/>
      <c r="F208" s="133"/>
      <c r="G208" s="133"/>
      <c r="H208" s="133"/>
      <c r="I208" s="133"/>
      <c r="J208" s="133"/>
      <c r="K208" s="133"/>
      <c r="L208" s="133"/>
      <c r="M208" s="133"/>
      <c r="N208" s="101"/>
    </row>
    <row r="209" spans="1:14">
      <c r="A209" s="104" t="s">
        <v>49</v>
      </c>
      <c r="C209" s="133">
        <f t="shared" ref="C209:M209" si="99">C156+C175+C194</f>
        <v>0</v>
      </c>
      <c r="D209" s="133">
        <f t="shared" si="99"/>
        <v>0</v>
      </c>
      <c r="E209" s="133">
        <f t="shared" si="99"/>
        <v>0</v>
      </c>
      <c r="F209" s="133">
        <f t="shared" si="99"/>
        <v>0</v>
      </c>
      <c r="G209" s="133">
        <f t="shared" si="99"/>
        <v>0</v>
      </c>
      <c r="H209" s="133">
        <f t="shared" si="99"/>
        <v>0</v>
      </c>
      <c r="I209" s="133">
        <f t="shared" si="99"/>
        <v>0</v>
      </c>
      <c r="J209" s="133">
        <f t="shared" si="99"/>
        <v>0</v>
      </c>
      <c r="K209" s="133">
        <f t="shared" si="99"/>
        <v>0</v>
      </c>
      <c r="L209" s="133">
        <f t="shared" si="99"/>
        <v>0</v>
      </c>
      <c r="M209" s="133">
        <f t="shared" si="99"/>
        <v>0</v>
      </c>
      <c r="N209" s="101"/>
    </row>
    <row r="210" spans="1:14">
      <c r="A210" s="141" t="s">
        <v>50</v>
      </c>
      <c r="C210" s="133">
        <f t="shared" ref="C210:M210" si="100">C157+C176+C195</f>
        <v>0</v>
      </c>
      <c r="D210" s="133">
        <f t="shared" si="100"/>
        <v>0</v>
      </c>
      <c r="E210" s="133">
        <f t="shared" si="100"/>
        <v>0</v>
      </c>
      <c r="F210" s="133">
        <f t="shared" si="100"/>
        <v>0</v>
      </c>
      <c r="G210" s="133">
        <f t="shared" si="100"/>
        <v>0</v>
      </c>
      <c r="H210" s="133">
        <f t="shared" si="100"/>
        <v>0</v>
      </c>
      <c r="I210" s="133">
        <f t="shared" si="100"/>
        <v>0</v>
      </c>
      <c r="J210" s="133">
        <f t="shared" si="100"/>
        <v>0</v>
      </c>
      <c r="K210" s="133">
        <f t="shared" si="100"/>
        <v>0</v>
      </c>
      <c r="L210" s="133">
        <f t="shared" si="100"/>
        <v>0</v>
      </c>
      <c r="M210" s="133">
        <f t="shared" si="100"/>
        <v>0</v>
      </c>
    </row>
    <row r="211" spans="1:14">
      <c r="A211" s="141" t="s">
        <v>28</v>
      </c>
      <c r="C211" s="133">
        <f t="shared" ref="C211:M211" si="101">C158+C177+C196</f>
        <v>0</v>
      </c>
      <c r="D211" s="133">
        <f t="shared" si="101"/>
        <v>0</v>
      </c>
      <c r="E211" s="133">
        <f t="shared" si="101"/>
        <v>0</v>
      </c>
      <c r="F211" s="133">
        <f t="shared" si="101"/>
        <v>0</v>
      </c>
      <c r="G211" s="133">
        <f t="shared" si="101"/>
        <v>0</v>
      </c>
      <c r="H211" s="133">
        <f t="shared" si="101"/>
        <v>0</v>
      </c>
      <c r="I211" s="133">
        <f t="shared" si="101"/>
        <v>0</v>
      </c>
      <c r="J211" s="133">
        <f t="shared" si="101"/>
        <v>0</v>
      </c>
      <c r="K211" s="133">
        <f t="shared" si="101"/>
        <v>0</v>
      </c>
      <c r="L211" s="133">
        <f t="shared" si="101"/>
        <v>0</v>
      </c>
      <c r="M211" s="133">
        <f t="shared" si="101"/>
        <v>0</v>
      </c>
    </row>
    <row r="212" spans="1:14">
      <c r="A212" s="125" t="s">
        <v>76</v>
      </c>
      <c r="C212" s="133">
        <f>C159</f>
        <v>0</v>
      </c>
      <c r="D212" s="133">
        <f>D159+D178+D197</f>
        <v>0</v>
      </c>
      <c r="E212" s="133">
        <f t="shared" ref="E212:M212" si="102">E159+E178+E197</f>
        <v>0</v>
      </c>
      <c r="F212" s="133">
        <f t="shared" si="102"/>
        <v>0</v>
      </c>
      <c r="G212" s="133">
        <f t="shared" si="102"/>
        <v>0</v>
      </c>
      <c r="H212" s="133">
        <f t="shared" si="102"/>
        <v>0</v>
      </c>
      <c r="I212" s="133">
        <f t="shared" si="102"/>
        <v>0</v>
      </c>
      <c r="J212" s="133">
        <f t="shared" si="102"/>
        <v>0</v>
      </c>
      <c r="K212" s="133">
        <f t="shared" si="102"/>
        <v>0</v>
      </c>
      <c r="L212" s="133">
        <f t="shared" si="102"/>
        <v>0</v>
      </c>
      <c r="M212" s="133">
        <f t="shared" si="102"/>
        <v>0</v>
      </c>
    </row>
    <row r="213" spans="1:14">
      <c r="C213" s="133"/>
      <c r="D213" s="133"/>
      <c r="E213" s="133"/>
      <c r="F213" s="133"/>
      <c r="G213" s="133"/>
      <c r="H213" s="133"/>
      <c r="I213" s="133"/>
      <c r="J213" s="133"/>
      <c r="K213" s="133"/>
      <c r="L213" s="133"/>
      <c r="M213" s="133"/>
    </row>
    <row r="214" spans="1:14">
      <c r="C214" s="133"/>
      <c r="D214" s="133"/>
      <c r="E214" s="133"/>
      <c r="F214" s="133"/>
      <c r="G214" s="133"/>
      <c r="H214" s="133"/>
      <c r="I214" s="133"/>
      <c r="J214" s="133"/>
      <c r="K214" s="133"/>
      <c r="L214" s="133"/>
      <c r="M214" s="133"/>
    </row>
    <row r="218" spans="1:14">
      <c r="A218" s="134" t="s">
        <v>72</v>
      </c>
    </row>
    <row r="219" spans="1:14">
      <c r="A219" s="144"/>
      <c r="B219" s="101"/>
      <c r="C219" s="145" t="s">
        <v>8</v>
      </c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</row>
    <row r="220" spans="1:14">
      <c r="A220" s="144" t="s">
        <v>31</v>
      </c>
      <c r="B220" s="146" t="s">
        <v>5</v>
      </c>
      <c r="C220" s="101" t="s">
        <v>29</v>
      </c>
      <c r="D220" s="107">
        <v>1</v>
      </c>
      <c r="E220" s="107">
        <v>2</v>
      </c>
      <c r="F220" s="107">
        <v>3</v>
      </c>
      <c r="G220" s="107">
        <v>4</v>
      </c>
      <c r="H220" s="107">
        <v>5</v>
      </c>
      <c r="I220" s="107">
        <v>6</v>
      </c>
      <c r="J220" s="107">
        <v>7</v>
      </c>
      <c r="K220" s="107">
        <v>8</v>
      </c>
      <c r="L220" s="107">
        <v>9</v>
      </c>
      <c r="M220" s="107">
        <v>10</v>
      </c>
    </row>
    <row r="221" spans="1:14">
      <c r="A221" s="147" t="str">
        <f>+'Inversió inicial'!C10</f>
        <v>Obres i instal·lacions local</v>
      </c>
      <c r="B221" s="148">
        <f>'Inversió inicial'!D10</f>
        <v>15000</v>
      </c>
      <c r="C221" s="149">
        <f>+'Inversió inicial'!E10</f>
        <v>5</v>
      </c>
      <c r="D221" s="102">
        <f t="shared" ref="D221:D230" si="103">+IF(C221&gt;0,B221/C221,0)</f>
        <v>3000</v>
      </c>
      <c r="E221" s="102">
        <f t="shared" ref="E221:M221" si="104">+IF($C221&lt;E$220,0,D221)</f>
        <v>3000</v>
      </c>
      <c r="F221" s="102">
        <f t="shared" si="104"/>
        <v>3000</v>
      </c>
      <c r="G221" s="102">
        <f t="shared" si="104"/>
        <v>3000</v>
      </c>
      <c r="H221" s="102">
        <f t="shared" si="104"/>
        <v>3000</v>
      </c>
      <c r="I221" s="102">
        <f t="shared" si="104"/>
        <v>0</v>
      </c>
      <c r="J221" s="102">
        <f t="shared" si="104"/>
        <v>0</v>
      </c>
      <c r="K221" s="102">
        <f t="shared" si="104"/>
        <v>0</v>
      </c>
      <c r="L221" s="102">
        <f t="shared" si="104"/>
        <v>0</v>
      </c>
      <c r="M221" s="102">
        <f t="shared" si="104"/>
        <v>0</v>
      </c>
    </row>
    <row r="222" spans="1:14">
      <c r="A222" s="147" t="str">
        <f>+'Inversió inicial'!C11</f>
        <v>Mobiliari</v>
      </c>
      <c r="B222" s="148">
        <f>'Inversió inicial'!D11</f>
        <v>18000</v>
      </c>
      <c r="C222" s="149">
        <f>+'Inversió inicial'!E11</f>
        <v>5</v>
      </c>
      <c r="D222" s="102">
        <f t="shared" si="103"/>
        <v>3600</v>
      </c>
      <c r="E222" s="102">
        <f t="shared" ref="E222:M222" si="105">+IF($C222&lt;E$220,0,D222)</f>
        <v>3600</v>
      </c>
      <c r="F222" s="102">
        <f t="shared" si="105"/>
        <v>3600</v>
      </c>
      <c r="G222" s="102">
        <f t="shared" si="105"/>
        <v>3600</v>
      </c>
      <c r="H222" s="102">
        <f t="shared" si="105"/>
        <v>3600</v>
      </c>
      <c r="I222" s="102">
        <f t="shared" si="105"/>
        <v>0</v>
      </c>
      <c r="J222" s="102">
        <f t="shared" si="105"/>
        <v>0</v>
      </c>
      <c r="K222" s="102">
        <f t="shared" si="105"/>
        <v>0</v>
      </c>
      <c r="L222" s="102">
        <f t="shared" si="105"/>
        <v>0</v>
      </c>
      <c r="M222" s="102">
        <f t="shared" si="105"/>
        <v>0</v>
      </c>
    </row>
    <row r="223" spans="1:14">
      <c r="A223" s="147" t="str">
        <f>+'Inversió inicial'!C12</f>
        <v>Terminal punt de venda</v>
      </c>
      <c r="B223" s="148">
        <f>'Inversió inicial'!D12</f>
        <v>2500</v>
      </c>
      <c r="C223" s="149">
        <f>+'Inversió inicial'!E12</f>
        <v>5</v>
      </c>
      <c r="D223" s="102">
        <f t="shared" si="103"/>
        <v>500</v>
      </c>
      <c r="E223" s="102">
        <f t="shared" ref="E223:M223" si="106">+IF($C223&lt;E$220,0,D223)</f>
        <v>500</v>
      </c>
      <c r="F223" s="102">
        <f t="shared" si="106"/>
        <v>500</v>
      </c>
      <c r="G223" s="102">
        <f t="shared" si="106"/>
        <v>500</v>
      </c>
      <c r="H223" s="102">
        <f t="shared" si="106"/>
        <v>500</v>
      </c>
      <c r="I223" s="102">
        <f t="shared" si="106"/>
        <v>0</v>
      </c>
      <c r="J223" s="102">
        <f t="shared" si="106"/>
        <v>0</v>
      </c>
      <c r="K223" s="102">
        <f t="shared" si="106"/>
        <v>0</v>
      </c>
      <c r="L223" s="102">
        <f t="shared" si="106"/>
        <v>0</v>
      </c>
      <c r="M223" s="102">
        <f t="shared" si="106"/>
        <v>0</v>
      </c>
    </row>
    <row r="224" spans="1:14">
      <c r="A224" s="147" t="str">
        <f>+'Inversió inicial'!C13</f>
        <v>Informàtica</v>
      </c>
      <c r="B224" s="148">
        <f>'Inversió inicial'!D13</f>
        <v>2500</v>
      </c>
      <c r="C224" s="149">
        <f>+'Inversió inicial'!E13</f>
        <v>3</v>
      </c>
      <c r="D224" s="102">
        <f t="shared" si="103"/>
        <v>833.33333333333337</v>
      </c>
      <c r="E224" s="102">
        <f t="shared" ref="E224:M224" si="107">+IF($C224&lt;E$220,0,D224)</f>
        <v>833.33333333333337</v>
      </c>
      <c r="F224" s="102">
        <f t="shared" si="107"/>
        <v>833.33333333333337</v>
      </c>
      <c r="G224" s="102">
        <f t="shared" si="107"/>
        <v>0</v>
      </c>
      <c r="H224" s="102">
        <f t="shared" si="107"/>
        <v>0</v>
      </c>
      <c r="I224" s="102">
        <f t="shared" si="107"/>
        <v>0</v>
      </c>
      <c r="J224" s="102">
        <f t="shared" si="107"/>
        <v>0</v>
      </c>
      <c r="K224" s="102">
        <f t="shared" si="107"/>
        <v>0</v>
      </c>
      <c r="L224" s="102">
        <f t="shared" si="107"/>
        <v>0</v>
      </c>
      <c r="M224" s="102">
        <f t="shared" si="107"/>
        <v>0</v>
      </c>
    </row>
    <row r="225" spans="1:13">
      <c r="A225" s="147" t="str">
        <f>+'Inversió inicial'!C14</f>
        <v>Maquinaria</v>
      </c>
      <c r="B225" s="148">
        <f>'Inversió inicial'!D14</f>
        <v>11005</v>
      </c>
      <c r="C225" s="149">
        <f>+'Inversió inicial'!E14</f>
        <v>5</v>
      </c>
      <c r="D225" s="102">
        <f t="shared" si="103"/>
        <v>2201</v>
      </c>
      <c r="E225" s="102">
        <f t="shared" ref="E225:M225" si="108">+IF($C225&lt;E$220,0,D225)</f>
        <v>2201</v>
      </c>
      <c r="F225" s="102">
        <f t="shared" si="108"/>
        <v>2201</v>
      </c>
      <c r="G225" s="102">
        <f t="shared" si="108"/>
        <v>2201</v>
      </c>
      <c r="H225" s="102">
        <f t="shared" si="108"/>
        <v>2201</v>
      </c>
      <c r="I225" s="102">
        <f t="shared" si="108"/>
        <v>0</v>
      </c>
      <c r="J225" s="102">
        <f t="shared" si="108"/>
        <v>0</v>
      </c>
      <c r="K225" s="102">
        <f t="shared" si="108"/>
        <v>0</v>
      </c>
      <c r="L225" s="102">
        <f t="shared" si="108"/>
        <v>0</v>
      </c>
      <c r="M225" s="102">
        <f t="shared" si="108"/>
        <v>0</v>
      </c>
    </row>
    <row r="226" spans="1:13">
      <c r="A226" s="147" t="str">
        <f>+'Inversió inicial'!C15</f>
        <v>Instrumentació</v>
      </c>
      <c r="B226" s="148">
        <f>'Inversió inicial'!D15</f>
        <v>15500</v>
      </c>
      <c r="C226" s="149">
        <f>+'Inversió inicial'!E15</f>
        <v>5</v>
      </c>
      <c r="D226" s="102">
        <f t="shared" si="103"/>
        <v>3100</v>
      </c>
      <c r="E226" s="102">
        <f t="shared" ref="E226:M226" si="109">+IF($C226&lt;E$220,0,D226)</f>
        <v>3100</v>
      </c>
      <c r="F226" s="102">
        <f t="shared" si="109"/>
        <v>3100</v>
      </c>
      <c r="G226" s="102">
        <f t="shared" si="109"/>
        <v>3100</v>
      </c>
      <c r="H226" s="102">
        <f t="shared" si="109"/>
        <v>3100</v>
      </c>
      <c r="I226" s="102">
        <f t="shared" si="109"/>
        <v>0</v>
      </c>
      <c r="J226" s="102">
        <f t="shared" si="109"/>
        <v>0</v>
      </c>
      <c r="K226" s="102">
        <f t="shared" si="109"/>
        <v>0</v>
      </c>
      <c r="L226" s="102">
        <f t="shared" si="109"/>
        <v>0</v>
      </c>
      <c r="M226" s="102">
        <f t="shared" si="109"/>
        <v>0</v>
      </c>
    </row>
    <row r="227" spans="1:13">
      <c r="A227" s="147">
        <f>+'Inversió inicial'!C16</f>
        <v>0</v>
      </c>
      <c r="B227" s="148">
        <f>'Inversió inicial'!D16</f>
        <v>0</v>
      </c>
      <c r="C227" s="149">
        <f>+'Inversió inicial'!E16</f>
        <v>0</v>
      </c>
      <c r="D227" s="102">
        <f t="shared" si="103"/>
        <v>0</v>
      </c>
      <c r="E227" s="102">
        <f t="shared" ref="E227:M227" si="110">+IF($C227&lt;E$220,0,D227)</f>
        <v>0</v>
      </c>
      <c r="F227" s="102">
        <f t="shared" si="110"/>
        <v>0</v>
      </c>
      <c r="G227" s="102">
        <f t="shared" si="110"/>
        <v>0</v>
      </c>
      <c r="H227" s="102">
        <f t="shared" si="110"/>
        <v>0</v>
      </c>
      <c r="I227" s="102">
        <f t="shared" si="110"/>
        <v>0</v>
      </c>
      <c r="J227" s="102">
        <f t="shared" si="110"/>
        <v>0</v>
      </c>
      <c r="K227" s="102">
        <f t="shared" si="110"/>
        <v>0</v>
      </c>
      <c r="L227" s="102">
        <f t="shared" si="110"/>
        <v>0</v>
      </c>
      <c r="M227" s="102">
        <f t="shared" si="110"/>
        <v>0</v>
      </c>
    </row>
    <row r="228" spans="1:13">
      <c r="A228" s="147">
        <f>+'Inversió inicial'!C17</f>
        <v>0</v>
      </c>
      <c r="B228" s="148">
        <f>'Inversió inicial'!D17</f>
        <v>0</v>
      </c>
      <c r="C228" s="149">
        <f>+'Inversió inicial'!E17</f>
        <v>0</v>
      </c>
      <c r="D228" s="102">
        <f t="shared" si="103"/>
        <v>0</v>
      </c>
      <c r="E228" s="102">
        <f t="shared" ref="E228:M228" si="111">+IF($C228&lt;E$220,0,D228)</f>
        <v>0</v>
      </c>
      <c r="F228" s="102">
        <f t="shared" si="111"/>
        <v>0</v>
      </c>
      <c r="G228" s="102">
        <f t="shared" si="111"/>
        <v>0</v>
      </c>
      <c r="H228" s="102">
        <f t="shared" si="111"/>
        <v>0</v>
      </c>
      <c r="I228" s="102">
        <f t="shared" si="111"/>
        <v>0</v>
      </c>
      <c r="J228" s="102">
        <f t="shared" si="111"/>
        <v>0</v>
      </c>
      <c r="K228" s="102">
        <f t="shared" si="111"/>
        <v>0</v>
      </c>
      <c r="L228" s="102">
        <f t="shared" si="111"/>
        <v>0</v>
      </c>
      <c r="M228" s="102">
        <f t="shared" si="111"/>
        <v>0</v>
      </c>
    </row>
    <row r="229" spans="1:13">
      <c r="A229" s="147">
        <f>+'Inversió inicial'!C18</f>
        <v>0</v>
      </c>
      <c r="B229" s="148">
        <f>'Inversió inicial'!D18</f>
        <v>0</v>
      </c>
      <c r="C229" s="149">
        <f>+'Inversió inicial'!E18</f>
        <v>0</v>
      </c>
      <c r="D229" s="102">
        <f t="shared" si="103"/>
        <v>0</v>
      </c>
      <c r="E229" s="102">
        <f t="shared" ref="E229:M229" si="112">+IF($C229&lt;E$220,0,D229)</f>
        <v>0</v>
      </c>
      <c r="F229" s="102">
        <f t="shared" si="112"/>
        <v>0</v>
      </c>
      <c r="G229" s="102">
        <f t="shared" si="112"/>
        <v>0</v>
      </c>
      <c r="H229" s="102">
        <f t="shared" si="112"/>
        <v>0</v>
      </c>
      <c r="I229" s="102">
        <f t="shared" si="112"/>
        <v>0</v>
      </c>
      <c r="J229" s="102">
        <f t="shared" si="112"/>
        <v>0</v>
      </c>
      <c r="K229" s="102">
        <f t="shared" si="112"/>
        <v>0</v>
      </c>
      <c r="L229" s="102">
        <f t="shared" si="112"/>
        <v>0</v>
      </c>
      <c r="M229" s="102">
        <f t="shared" si="112"/>
        <v>0</v>
      </c>
    </row>
    <row r="230" spans="1:13">
      <c r="A230" s="150" t="s">
        <v>41</v>
      </c>
      <c r="B230" s="151">
        <f>'Resultats 1er any'!Q43-'Inversió inicial'!D19-'Inversió inicial'!H19</f>
        <v>0</v>
      </c>
      <c r="C230" s="152">
        <f>'Resultats a tres anys'!J42</f>
        <v>0</v>
      </c>
      <c r="D230" s="102">
        <f t="shared" si="103"/>
        <v>0</v>
      </c>
      <c r="E230" s="102">
        <f t="shared" ref="E230:M230" si="113">+IF($C230&lt;E$220,0,D230)</f>
        <v>0</v>
      </c>
      <c r="F230" s="102">
        <f t="shared" si="113"/>
        <v>0</v>
      </c>
      <c r="G230" s="102">
        <f t="shared" si="113"/>
        <v>0</v>
      </c>
      <c r="H230" s="102">
        <f t="shared" si="113"/>
        <v>0</v>
      </c>
      <c r="I230" s="102">
        <f t="shared" si="113"/>
        <v>0</v>
      </c>
      <c r="J230" s="102">
        <f t="shared" si="113"/>
        <v>0</v>
      </c>
      <c r="K230" s="102">
        <f t="shared" si="113"/>
        <v>0</v>
      </c>
      <c r="L230" s="102">
        <f t="shared" si="113"/>
        <v>0</v>
      </c>
      <c r="M230" s="102">
        <f t="shared" si="113"/>
        <v>0</v>
      </c>
    </row>
    <row r="231" spans="1:13">
      <c r="A231" s="153" t="s">
        <v>42</v>
      </c>
      <c r="B231" s="102">
        <f>'Resultats a tres anys'!K18</f>
        <v>0</v>
      </c>
      <c r="C231" s="149">
        <f>'Resultats a tres anys'!K42</f>
        <v>0</v>
      </c>
      <c r="D231" s="102"/>
      <c r="E231" s="102">
        <f>IF(C231&gt;0,B231/C231,0)</f>
        <v>0</v>
      </c>
      <c r="F231" s="102">
        <f t="shared" ref="F231:M231" si="114">+IF($C231&lt;E$220,0,E231)</f>
        <v>0</v>
      </c>
      <c r="G231" s="102">
        <f t="shared" si="114"/>
        <v>0</v>
      </c>
      <c r="H231" s="102">
        <f t="shared" si="114"/>
        <v>0</v>
      </c>
      <c r="I231" s="102">
        <f t="shared" si="114"/>
        <v>0</v>
      </c>
      <c r="J231" s="102">
        <f t="shared" si="114"/>
        <v>0</v>
      </c>
      <c r="K231" s="102">
        <f t="shared" si="114"/>
        <v>0</v>
      </c>
      <c r="L231" s="102">
        <f t="shared" si="114"/>
        <v>0</v>
      </c>
      <c r="M231" s="102">
        <f t="shared" si="114"/>
        <v>0</v>
      </c>
    </row>
    <row r="232" spans="1:13">
      <c r="A232" s="153" t="s">
        <v>43</v>
      </c>
      <c r="B232" s="102">
        <f>'Resultats a tres anys'!L18</f>
        <v>0</v>
      </c>
      <c r="C232" s="149">
        <f>'Resultats a tres anys'!L42</f>
        <v>0</v>
      </c>
      <c r="D232" s="102"/>
      <c r="E232" s="102"/>
      <c r="F232" s="102">
        <f>IF(C232&gt;0,B232/C232,0)</f>
        <v>0</v>
      </c>
      <c r="G232" s="102">
        <f t="shared" ref="G232:M232" si="115">+IF($C232&lt;E$220,0,F232)</f>
        <v>0</v>
      </c>
      <c r="H232" s="102">
        <f t="shared" si="115"/>
        <v>0</v>
      </c>
      <c r="I232" s="102">
        <f t="shared" si="115"/>
        <v>0</v>
      </c>
      <c r="J232" s="102">
        <f t="shared" si="115"/>
        <v>0</v>
      </c>
      <c r="K232" s="102">
        <f t="shared" si="115"/>
        <v>0</v>
      </c>
      <c r="L232" s="102">
        <f t="shared" si="115"/>
        <v>0</v>
      </c>
      <c r="M232" s="102">
        <f t="shared" si="115"/>
        <v>0</v>
      </c>
    </row>
    <row r="233" spans="1:13">
      <c r="A233" s="154" t="s">
        <v>52</v>
      </c>
      <c r="B233" s="151">
        <f>SUM(B221:B232)</f>
        <v>64505</v>
      </c>
      <c r="C233" s="146"/>
      <c r="D233" s="102">
        <f t="shared" ref="D233:M233" si="116">SUM(D221:D232)</f>
        <v>13234.333333333332</v>
      </c>
      <c r="E233" s="102">
        <f t="shared" si="116"/>
        <v>13234.333333333332</v>
      </c>
      <c r="F233" s="102">
        <f t="shared" si="116"/>
        <v>13234.333333333332</v>
      </c>
      <c r="G233" s="102">
        <f t="shared" si="116"/>
        <v>12401</v>
      </c>
      <c r="H233" s="102">
        <f t="shared" si="116"/>
        <v>12401</v>
      </c>
      <c r="I233" s="102">
        <f t="shared" si="116"/>
        <v>0</v>
      </c>
      <c r="J233" s="102">
        <f t="shared" si="116"/>
        <v>0</v>
      </c>
      <c r="K233" s="102">
        <f t="shared" si="116"/>
        <v>0</v>
      </c>
      <c r="L233" s="102">
        <f t="shared" si="116"/>
        <v>0</v>
      </c>
      <c r="M233" s="102">
        <f t="shared" si="116"/>
        <v>0</v>
      </c>
    </row>
    <row r="235" spans="1:13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</row>
    <row r="236" spans="1:13">
      <c r="A236" s="134" t="s">
        <v>73</v>
      </c>
      <c r="F236" s="101"/>
      <c r="G236" s="101"/>
      <c r="H236" s="101"/>
      <c r="I236" s="101"/>
      <c r="J236" s="101"/>
      <c r="K236" s="101"/>
      <c r="L236" s="101"/>
      <c r="M236" s="101"/>
    </row>
    <row r="237" spans="1:13">
      <c r="F237" s="101"/>
      <c r="G237" s="101"/>
      <c r="H237" s="101"/>
      <c r="I237" s="101"/>
      <c r="J237" s="101"/>
      <c r="K237" s="101"/>
      <c r="L237" s="101"/>
      <c r="M237" s="101"/>
    </row>
    <row r="238" spans="1:13">
      <c r="A238" s="101" t="s">
        <v>37</v>
      </c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</row>
    <row r="239" spans="1:13">
      <c r="A239" s="155" t="s">
        <v>1</v>
      </c>
      <c r="C239" s="102">
        <f>'Resultats a tres anys'!D22</f>
        <v>3650.6911466666515</v>
      </c>
      <c r="D239" s="102">
        <f>'Resultats a tres anys'!E22</f>
        <v>20187.982149786658</v>
      </c>
      <c r="E239" s="102">
        <f>'Resultats a tres anys'!F22</f>
        <v>21392.462549183791</v>
      </c>
      <c r="F239" s="101"/>
      <c r="G239" s="101"/>
      <c r="H239" s="101"/>
      <c r="I239" s="101"/>
      <c r="J239" s="101"/>
      <c r="K239" s="101"/>
      <c r="L239" s="101"/>
      <c r="M239" s="101"/>
    </row>
    <row r="240" spans="1:13">
      <c r="A240" s="155" t="s">
        <v>38</v>
      </c>
      <c r="C240" s="102">
        <f>C239</f>
        <v>3650.6911466666515</v>
      </c>
      <c r="D240" s="102">
        <f>IF(C241&gt;0,D239,C240+D239)</f>
        <v>20187.982149786658</v>
      </c>
      <c r="E240" s="102">
        <f>IF(D241&gt;0,E239,D240+E239)</f>
        <v>21392.462549183791</v>
      </c>
    </row>
    <row r="241" spans="1:5">
      <c r="A241" s="101" t="s">
        <v>74</v>
      </c>
      <c r="C241" s="102">
        <f>IF(C240&lt;0,0,C239*'Inversió inicial'!L43)</f>
        <v>547.60367199999769</v>
      </c>
      <c r="D241" s="102">
        <f>IF(D240&lt;0,0,IF(D239&gt;D240,D240*'Inversió inicial'!L43,Càlculs!D239*'Inversió inicial'!L43))</f>
        <v>3028.1973224679987</v>
      </c>
      <c r="E241" s="102">
        <f>IF(E240&lt;0,0,IF(E239&gt;E240,E240*'Inversió inicial'!L43,Càlculs!E239*'Inversió inicial'!L43))</f>
        <v>3208.8693823775684</v>
      </c>
    </row>
  </sheetData>
  <sheetProtection password="DC6F" sheet="1" objects="1" scenarios="1"/>
  <mergeCells count="15">
    <mergeCell ref="W123:Z123"/>
    <mergeCell ref="C123:F123"/>
    <mergeCell ref="H123:K123"/>
    <mergeCell ref="M123:P123"/>
    <mergeCell ref="R123:U123"/>
    <mergeCell ref="V96:Y96"/>
    <mergeCell ref="B69:E69"/>
    <mergeCell ref="G69:J69"/>
    <mergeCell ref="L69:O69"/>
    <mergeCell ref="Q69:T69"/>
    <mergeCell ref="V69:Y69"/>
    <mergeCell ref="B96:E96"/>
    <mergeCell ref="G96:J96"/>
    <mergeCell ref="L96:O96"/>
    <mergeCell ref="Q96:T96"/>
  </mergeCells>
  <phoneticPr fontId="14" type="noConversion"/>
  <pageMargins left="0.75" right="0.75" top="1" bottom="1" header="0" footer="0"/>
  <pageSetup paperSize="9" orientation="portrait" horizontalDpi="4294967293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9</vt:i4>
      </vt:variant>
    </vt:vector>
  </HeadingPairs>
  <TitlesOfParts>
    <vt:vector size="18" baseType="lpstr">
      <vt:lpstr>INSTRUCCIONS</vt:lpstr>
      <vt:lpstr>Inversió inicial</vt:lpstr>
      <vt:lpstr>Ingressos</vt:lpstr>
      <vt:lpstr>Despeses fixes</vt:lpstr>
      <vt:lpstr>Resultats 1er any</vt:lpstr>
      <vt:lpstr>Resultats a tres anys</vt:lpstr>
      <vt:lpstr>Balanç</vt:lpstr>
      <vt:lpstr>OiA Fons</vt:lpstr>
      <vt:lpstr>Càlculs</vt:lpstr>
      <vt:lpstr>Balanç!_1Àrea_d_impressió</vt:lpstr>
      <vt:lpstr>'Despeses fixes'!_2Àrea_d_impressió</vt:lpstr>
      <vt:lpstr>Ingressos!_3Àrea_d_impressió</vt:lpstr>
      <vt:lpstr>'Inversió inicial'!_4Àrea_d_impressió</vt:lpstr>
      <vt:lpstr>'OiA Fons'!_5Àrea_d_impressió</vt:lpstr>
      <vt:lpstr>'Resultats 1er any'!_6Àrea_d_impressió</vt:lpstr>
      <vt:lpstr>'Resultats a tres anys'!_7Àrea_d_impressió</vt:lpstr>
      <vt:lpstr>INSTRUCCIONS!Área_de_impresión</vt:lpstr>
      <vt:lpstr>'Resultats a tres anys'!Área_de_impresión</vt:lpstr>
    </vt:vector>
  </TitlesOfParts>
  <Company>T-Systems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</dc:creator>
  <cp:lastModifiedBy>Gerard Oliveira</cp:lastModifiedBy>
  <cp:lastPrinted>2020-04-12T08:22:12Z</cp:lastPrinted>
  <dcterms:created xsi:type="dcterms:W3CDTF">2002-12-04T15:37:19Z</dcterms:created>
  <dcterms:modified xsi:type="dcterms:W3CDTF">2021-04-13T12:10:42Z</dcterms:modified>
</cp:coreProperties>
</file>