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emonics-my.sharepoint.com/personal/lnaim_chemonics_com/Documents/Documents/"/>
    </mc:Choice>
  </mc:AlternateContent>
  <xr:revisionPtr revIDLastSave="0" documentId="14_{1032B6BE-07B3-4753-B139-852F9C79E79B}" xr6:coauthVersionLast="47" xr6:coauthVersionMax="47" xr10:uidLastSave="{00000000-0000-0000-0000-000000000000}"/>
  <bookViews>
    <workbookView xWindow="-110" yWindow="-110" windowWidth="19420" windowHeight="10300" xr2:uid="{9365C448-68DA-4759-A314-CB61C0FB290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" l="1"/>
  <c r="T13" i="1"/>
  <c r="U12" i="1"/>
  <c r="T12" i="1"/>
  <c r="Q12" i="1"/>
  <c r="P12" i="1"/>
  <c r="M12" i="1"/>
  <c r="L12" i="1"/>
  <c r="I12" i="1"/>
  <c r="H12" i="1"/>
  <c r="U11" i="1"/>
  <c r="T11" i="1"/>
  <c r="Q11" i="1"/>
  <c r="P11" i="1"/>
  <c r="M11" i="1"/>
  <c r="L11" i="1"/>
  <c r="I11" i="1"/>
  <c r="H11" i="1"/>
  <c r="U10" i="1"/>
  <c r="T10" i="1"/>
  <c r="Q10" i="1"/>
  <c r="P10" i="1"/>
  <c r="M10" i="1"/>
  <c r="L10" i="1"/>
  <c r="I10" i="1"/>
  <c r="H10" i="1"/>
  <c r="U8" i="1"/>
  <c r="T8" i="1"/>
  <c r="Q8" i="1"/>
  <c r="P8" i="1"/>
  <c r="M8" i="1"/>
  <c r="L8" i="1"/>
  <c r="H8" i="1"/>
  <c r="I8" i="1"/>
  <c r="U7" i="1"/>
  <c r="T7" i="1"/>
  <c r="Q7" i="1"/>
  <c r="P7" i="1"/>
  <c r="M7" i="1"/>
  <c r="L7" i="1"/>
  <c r="I7" i="1"/>
  <c r="H7" i="1"/>
  <c r="U6" i="1"/>
  <c r="T6" i="1"/>
  <c r="Q6" i="1"/>
  <c r="P6" i="1"/>
  <c r="M6" i="1"/>
  <c r="L6" i="1"/>
  <c r="I6" i="1"/>
  <c r="H6" i="1"/>
  <c r="Q5" i="1"/>
  <c r="P5" i="1"/>
  <c r="M5" i="1"/>
  <c r="L5" i="1"/>
  <c r="I5" i="1"/>
  <c r="H5" i="1"/>
  <c r="U4" i="1"/>
  <c r="T4" i="1"/>
  <c r="Q4" i="1"/>
  <c r="P4" i="1"/>
  <c r="M4" i="1"/>
  <c r="L4" i="1"/>
  <c r="K4" i="1"/>
  <c r="B4" i="1"/>
  <c r="E4" i="1" s="1"/>
  <c r="U3" i="1"/>
  <c r="T3" i="1"/>
  <c r="Q3" i="1"/>
  <c r="P3" i="1"/>
  <c r="M3" i="1"/>
  <c r="L3" i="1"/>
  <c r="I3" i="1"/>
  <c r="H9" i="1"/>
  <c r="H3" i="1"/>
  <c r="G4" i="1"/>
  <c r="F4" i="1"/>
  <c r="I4" i="1"/>
  <c r="H4" i="1"/>
  <c r="U9" i="1"/>
  <c r="T9" i="1"/>
  <c r="Q9" i="1"/>
  <c r="P9" i="1"/>
  <c r="L9" i="1"/>
  <c r="M9" i="1"/>
  <c r="I9" i="1"/>
  <c r="D14" i="1"/>
  <c r="E8" i="1"/>
  <c r="E10" i="1"/>
  <c r="E12" i="1"/>
  <c r="C11" i="1"/>
  <c r="C14" i="1" s="1"/>
  <c r="B13" i="1"/>
  <c r="E13" i="1" s="1"/>
  <c r="B9" i="1"/>
  <c r="E9" i="1" s="1"/>
  <c r="B7" i="1"/>
  <c r="E7" i="1" s="1"/>
  <c r="B6" i="1"/>
  <c r="E6" i="1" s="1"/>
  <c r="B5" i="1"/>
  <c r="E5" i="1" s="1"/>
  <c r="B3" i="1"/>
  <c r="E3" i="1" s="1"/>
  <c r="E11" i="1" l="1"/>
  <c r="E14" i="1"/>
  <c r="B14" i="1"/>
</calcChain>
</file>

<file path=xl/sharedStrings.xml><?xml version="1.0" encoding="utf-8"?>
<sst xmlns="http://schemas.openxmlformats.org/spreadsheetml/2006/main" count="69" uniqueCount="44">
  <si>
    <r>
      <rPr>
        <b/>
        <sz val="11"/>
        <color theme="1"/>
        <rFont val="Aptos Narrow"/>
        <family val="2"/>
        <scheme val="minor"/>
      </rPr>
      <t>Campaign</t>
    </r>
    <r>
      <rPr>
        <sz val="11"/>
        <color theme="1"/>
        <rFont val="Aptos Narrow"/>
        <family val="2"/>
        <scheme val="minor"/>
      </rPr>
      <t xml:space="preserve"> </t>
    </r>
  </si>
  <si>
    <t>Lomami</t>
  </si>
  <si>
    <t>Kwango</t>
  </si>
  <si>
    <t>Lualaba</t>
  </si>
  <si>
    <t>Equateur</t>
  </si>
  <si>
    <t>Kasai Central</t>
  </si>
  <si>
    <t>Kongo Central</t>
  </si>
  <si>
    <t>Mai Ndombe</t>
  </si>
  <si>
    <t>Kasai</t>
  </si>
  <si>
    <t>Kasai Oriental</t>
  </si>
  <si>
    <t>Nord Ubangi</t>
  </si>
  <si>
    <t>Lualaba 2023</t>
  </si>
  <si>
    <t xml:space="preserve">Standard Pyrethroid </t>
  </si>
  <si>
    <t xml:space="preserve">PBO Combination </t>
  </si>
  <si>
    <t xml:space="preserve">Dual Insecticide </t>
  </si>
  <si>
    <t>Royal Sentry</t>
  </si>
  <si>
    <t>DuraNet</t>
  </si>
  <si>
    <t>OlysetNet</t>
  </si>
  <si>
    <t>Olyset</t>
  </si>
  <si>
    <t>DAWA Plus 2.0</t>
  </si>
  <si>
    <t>Yorkool</t>
  </si>
  <si>
    <t>SafeNet</t>
  </si>
  <si>
    <t>DuraNet Plus</t>
  </si>
  <si>
    <t>PermaNet 3.0</t>
  </si>
  <si>
    <t>IG2 PBO</t>
  </si>
  <si>
    <t>Total ITNS Deployed</t>
  </si>
  <si>
    <t xml:space="preserve">Type Total </t>
  </si>
  <si>
    <t>2020 Morbidity percent AC</t>
  </si>
  <si>
    <t>2020 Mortality percent AC</t>
  </si>
  <si>
    <t>2021 Morbidity percent AC</t>
  </si>
  <si>
    <t>2021 Mortality percent AC</t>
  </si>
  <si>
    <t>2022 Morbidity percent AC</t>
  </si>
  <si>
    <t>2022 Mortality percent AC</t>
  </si>
  <si>
    <t>2023 Morbidity percent AC</t>
  </si>
  <si>
    <t>2023 Mortality percent AC</t>
  </si>
  <si>
    <t>2020 Morbidity U5</t>
  </si>
  <si>
    <t>2020 Mortality U5</t>
  </si>
  <si>
    <t>2021 Morbidity U5</t>
  </si>
  <si>
    <t>2021 Mortality percent U5</t>
  </si>
  <si>
    <t>2022 Morbidity percent U5</t>
  </si>
  <si>
    <t>2022 Mortality percent U5</t>
  </si>
  <si>
    <t>2023 Morbidity percent U5</t>
  </si>
  <si>
    <t>2023 Mortality percent U5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</si>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</sst>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Gill Sans MT"/>
      <family val="2"/>
    </font>
    <font>
      <b/>
      <sz val="11"/>
      <color theme="0"/>
      <name val="Gill Sans MT"/>
      <family val="2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3" fontId="0" fillId="0" borderId="0" xfId="0" applyNumberFormat="1"/>
    <xf numFmtId="0" fontId="1" fillId="0" borderId="0" xfId="0" applyFont="1"/>
    <xf numFmtId="0" fontId="2" fillId="0" borderId="3" xfId="0" applyFont="1" applyBorder="1"/>
    <xf numFmtId="164" fontId="0" fillId="0" borderId="0" xfId="0" applyNumberFormat="1"/>
    <xf numFmtId="164" fontId="3" fillId="2" borderId="2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7966-4689-47B9-A1B6-5C072147489C}">
  <dimension ref="A2:AW24"/>
  <sheetViews>
    <sheetView tabSelected="1" topLeftCell="D1" workbookViewId="0">
      <selection activeCell="U16" sqref="U16"/>
    </sheetView>
  </sheetViews>
  <sheetFormatPr defaultRowHeight="14"/>
  <cols>
    <col min="1" max="1" width="21" customWidth="1"/>
    <col min="2" max="2" width="20.1640625" customWidth="1"/>
    <col min="3" max="3" width="16.9140625" customWidth="1"/>
    <col min="4" max="4" width="18.33203125" customWidth="1"/>
    <col min="5" max="5" width="21.4140625" customWidth="1"/>
    <col min="6" max="6" width="17.33203125" customWidth="1"/>
    <col min="7" max="7" width="16.9140625" customWidth="1"/>
    <col min="8" max="8" width="16.5" customWidth="1"/>
    <col min="9" max="9" width="17.25" customWidth="1"/>
    <col min="10" max="10" width="18.9140625" customWidth="1"/>
    <col min="11" max="11" width="15.4140625" customWidth="1"/>
    <col min="12" max="12" width="15.9140625" customWidth="1"/>
    <col min="13" max="13" width="17.08203125" customWidth="1"/>
    <col min="14" max="14" width="15.25" customWidth="1"/>
    <col min="15" max="15" width="11.4140625" customWidth="1"/>
    <col min="16" max="16" width="10.6640625" customWidth="1"/>
    <col min="18" max="18" width="11.08203125" customWidth="1"/>
    <col min="19" max="19" width="12.83203125" customWidth="1"/>
    <col min="20" max="20" width="14.1640625" customWidth="1"/>
    <col min="21" max="21" width="20.9140625" customWidth="1"/>
  </cols>
  <sheetData>
    <row r="2" spans="1:49" ht="14.5">
      <c r="A2" t="s">
        <v>0</v>
      </c>
      <c r="B2" s="3" t="s">
        <v>12</v>
      </c>
      <c r="C2" s="3" t="s">
        <v>13</v>
      </c>
      <c r="D2" s="3" t="s">
        <v>14</v>
      </c>
      <c r="E2" s="3" t="s">
        <v>25</v>
      </c>
      <c r="F2" s="7" t="s">
        <v>27</v>
      </c>
      <c r="G2" s="7" t="s">
        <v>28</v>
      </c>
      <c r="H2" s="12" t="s">
        <v>35</v>
      </c>
      <c r="I2" s="12" t="s">
        <v>36</v>
      </c>
      <c r="J2" s="8" t="s">
        <v>29</v>
      </c>
      <c r="K2" s="8" t="s">
        <v>30</v>
      </c>
      <c r="L2" s="13" t="s">
        <v>37</v>
      </c>
      <c r="M2" s="13" t="s">
        <v>38</v>
      </c>
      <c r="N2" s="9" t="s">
        <v>31</v>
      </c>
      <c r="O2" s="9" t="s">
        <v>32</v>
      </c>
      <c r="P2" s="14" t="s">
        <v>39</v>
      </c>
      <c r="Q2" s="14" t="s">
        <v>40</v>
      </c>
      <c r="R2" s="10" t="s">
        <v>33</v>
      </c>
      <c r="S2" s="10" t="s">
        <v>34</v>
      </c>
      <c r="T2" s="15" t="s">
        <v>41</v>
      </c>
      <c r="U2" s="15" t="s">
        <v>42</v>
      </c>
      <c r="V2" s="11"/>
    </row>
    <row r="3" spans="1:49" ht="16.5">
      <c r="A3" s="1" t="s">
        <v>1</v>
      </c>
      <c r="B3">
        <f xml:space="preserve"> SUMPRODUCT(255545 + 457269)</f>
        <v>712814</v>
      </c>
      <c r="C3">
        <v>0</v>
      </c>
      <c r="D3">
        <v>0</v>
      </c>
      <c r="E3">
        <f t="shared" ref="E3:E13" si="0">SUMPRODUCT(B3+C3+D3)</f>
        <v>712814</v>
      </c>
      <c r="F3" s="5">
        <v>0.2</v>
      </c>
      <c r="G3" s="5">
        <v>1.3599999999999999E-2</v>
      </c>
      <c r="H3" s="5">
        <f>503806/4246014</f>
        <v>0.11865387160758302</v>
      </c>
      <c r="I3" s="5">
        <f>399/4246014</f>
        <v>9.3970486201882516E-5</v>
      </c>
      <c r="J3" s="5">
        <v>0.14000000000000001</v>
      </c>
      <c r="K3" s="5">
        <v>9.3999999999999994E-5</v>
      </c>
      <c r="L3" s="5">
        <f>362166/4397909</f>
        <v>8.2349589316195487E-2</v>
      </c>
      <c r="M3" s="5">
        <f>368/4397909</f>
        <v>8.3676128814852695E-5</v>
      </c>
      <c r="N3" s="5">
        <v>0.21</v>
      </c>
      <c r="O3" s="5">
        <v>1.2799999999999999E-4</v>
      </c>
      <c r="P3" s="5">
        <f>526135/4533224</f>
        <v>0.11606199031859003</v>
      </c>
      <c r="Q3" s="5">
        <f>534/4533224</f>
        <v>1.1779695863253172E-4</v>
      </c>
      <c r="R3" s="5">
        <v>0.19</v>
      </c>
      <c r="S3" s="5">
        <v>1.2899999999999999E-4</v>
      </c>
      <c r="T3" s="5">
        <f>489270/4671030</f>
        <v>0.10474563426053783</v>
      </c>
      <c r="U3" s="5">
        <f>519/4671030</f>
        <v>1.111103974926301E-4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ht="16.5">
      <c r="A4" s="1" t="s">
        <v>2</v>
      </c>
      <c r="B4" s="2">
        <f>SUMPRODUCT(1049700 + 400289 + 56550)</f>
        <v>1506539</v>
      </c>
      <c r="C4">
        <v>0</v>
      </c>
      <c r="D4">
        <v>0</v>
      </c>
      <c r="E4">
        <f t="shared" si="0"/>
        <v>1506539</v>
      </c>
      <c r="F4" s="5">
        <f>693126/2797900</f>
        <v>0.24773079809857393</v>
      </c>
      <c r="G4" s="5">
        <f>879/2797900</f>
        <v>3.1416419457450231E-4</v>
      </c>
      <c r="H4" s="5">
        <f>372293/2797900</f>
        <v>0.13306158190071124</v>
      </c>
      <c r="I4" s="5">
        <f>405/2797900</f>
        <v>1.4475142070838844E-4</v>
      </c>
      <c r="J4" s="5">
        <v>0.2447</v>
      </c>
      <c r="K4" s="5">
        <f>962/2799618</f>
        <v>3.4361830792629564E-4</v>
      </c>
      <c r="L4" s="5">
        <f>361159/2799618</f>
        <v>0.1290029568319678</v>
      </c>
      <c r="M4" s="5">
        <f>460/2799618</f>
        <v>1.643081306092474E-4</v>
      </c>
      <c r="N4" s="5">
        <v>0.25919999999999999</v>
      </c>
      <c r="O4" s="5">
        <v>3.4210000000000002E-4</v>
      </c>
      <c r="P4" s="5">
        <f>388551/2870544</f>
        <v>0.1353579669916225</v>
      </c>
      <c r="Q4" s="5">
        <f>577/2870544</f>
        <v>2.0100719584859177E-4</v>
      </c>
      <c r="R4" s="5">
        <v>0.24</v>
      </c>
      <c r="S4" s="5">
        <v>1.8100000000000001E-4</v>
      </c>
      <c r="T4" s="5">
        <f>374598/2967041</f>
        <v>0.12625305818153507</v>
      </c>
      <c r="U4" s="5">
        <f>355/2967041</f>
        <v>1.196478242127426E-4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ht="16.5">
      <c r="A5" s="1" t="s">
        <v>3</v>
      </c>
      <c r="B5" s="2">
        <f>SUMPRODUCT(861150 + 199650)</f>
        <v>1060800</v>
      </c>
      <c r="C5" s="2">
        <v>880950</v>
      </c>
      <c r="D5">
        <v>0</v>
      </c>
      <c r="E5">
        <f t="shared" si="0"/>
        <v>1941750</v>
      </c>
      <c r="F5" s="5">
        <v>0.2</v>
      </c>
      <c r="G5" s="5">
        <v>9.8999999999999994E-5</v>
      </c>
      <c r="H5" s="5">
        <f>306473/2889596</f>
        <v>0.10606084726030905</v>
      </c>
      <c r="I5" s="5">
        <f>178/2889596</f>
        <v>6.1600306755684879E-5</v>
      </c>
      <c r="J5" s="5">
        <v>0.19139999999999999</v>
      </c>
      <c r="K5" s="5">
        <v>1.6899999999999999E-4</v>
      </c>
      <c r="L5" s="5">
        <f>287987/2996914</f>
        <v>9.6094515892014246E-2</v>
      </c>
      <c r="M5" s="5">
        <f>275/2996914</f>
        <v>9.1761058208543852E-5</v>
      </c>
      <c r="N5" s="5">
        <v>0.1915</v>
      </c>
      <c r="O5" s="5">
        <v>1.17E-4</v>
      </c>
      <c r="P5" s="5">
        <f>297358/3087381</f>
        <v>9.6313995583959353E-2</v>
      </c>
      <c r="Q5" s="5">
        <f>237/3087381</f>
        <v>7.6764092284042684E-5</v>
      </c>
      <c r="R5" s="5" t="s">
        <v>43</v>
      </c>
      <c r="S5" s="5" t="s">
        <v>43</v>
      </c>
      <c r="T5" s="5" t="s">
        <v>43</v>
      </c>
      <c r="U5" s="5" t="s">
        <v>43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ht="16.5">
      <c r="A6" s="1" t="s">
        <v>4</v>
      </c>
      <c r="B6" s="2">
        <f>SUMPRODUCT(29250+743000)</f>
        <v>772250</v>
      </c>
      <c r="C6">
        <v>0</v>
      </c>
      <c r="D6">
        <v>0</v>
      </c>
      <c r="E6">
        <f t="shared" si="0"/>
        <v>772250</v>
      </c>
      <c r="F6" s="5">
        <v>0.23</v>
      </c>
      <c r="G6" s="5">
        <v>1.07E-4</v>
      </c>
      <c r="H6" s="5">
        <f>306053/2828190</f>
        <v>0.10821514820432857</v>
      </c>
      <c r="I6" s="5">
        <f>188/2828190</f>
        <v>6.6473610330281918E-5</v>
      </c>
      <c r="J6" s="5">
        <v>0.19</v>
      </c>
      <c r="K6" s="5">
        <v>2.05E-4</v>
      </c>
      <c r="L6" s="5">
        <f>258693/2915950</f>
        <v>8.8716541778837088E-2</v>
      </c>
      <c r="M6" s="5">
        <f>364/2915950</f>
        <v>1.248306726795727E-4</v>
      </c>
      <c r="N6" s="5">
        <v>0.26</v>
      </c>
      <c r="O6" s="5">
        <v>1.18E-4</v>
      </c>
      <c r="P6" s="5">
        <f>355618/3000629</f>
        <v>0.11851448479635436</v>
      </c>
      <c r="Q6" s="5">
        <f>226/3000629</f>
        <v>7.5317541755411945E-5</v>
      </c>
      <c r="R6" s="5">
        <v>0.27</v>
      </c>
      <c r="S6" s="5">
        <v>1.56E-4</v>
      </c>
      <c r="T6" s="5">
        <f>378293/3109600</f>
        <v>0.12165326730126061</v>
      </c>
      <c r="U6" s="5">
        <f>195/3109600</f>
        <v>6.2709030100334442E-5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ht="16.5">
      <c r="A7" s="1" t="s">
        <v>5</v>
      </c>
      <c r="B7" s="2">
        <f>SUMPRODUCT(2870379 + 139139)</f>
        <v>3009518</v>
      </c>
      <c r="C7">
        <v>0</v>
      </c>
      <c r="D7" s="2">
        <v>139139</v>
      </c>
      <c r="E7">
        <f t="shared" si="0"/>
        <v>3148657</v>
      </c>
      <c r="F7" s="5">
        <v>0.25</v>
      </c>
      <c r="G7" s="5">
        <v>1.37E-4</v>
      </c>
      <c r="H7" s="5">
        <f>731320/5372533</f>
        <v>0.1361220117214729</v>
      </c>
      <c r="I7" s="5">
        <f>529/5372533</f>
        <v>9.8463797244242149E-5</v>
      </c>
      <c r="J7" s="5">
        <v>0.25440000000000002</v>
      </c>
      <c r="K7" s="5">
        <v>2.1599999999999999E-4</v>
      </c>
      <c r="L7" s="5">
        <f>735129/5449613</f>
        <v>0.13489563387345119</v>
      </c>
      <c r="M7" s="5">
        <f>852/5449613</f>
        <v>1.5634137690144235E-4</v>
      </c>
      <c r="N7" s="5">
        <v>0.2472</v>
      </c>
      <c r="O7" s="5">
        <v>9.7E-5</v>
      </c>
      <c r="P7" s="5">
        <f>698234/5533956</f>
        <v>0.12617266924420795</v>
      </c>
      <c r="Q7" s="5">
        <f>420/5533956</f>
        <v>7.589507397601282E-5</v>
      </c>
      <c r="R7" s="5">
        <v>0.28000000000000003</v>
      </c>
      <c r="S7" s="5">
        <v>1.2899999999999999E-4</v>
      </c>
      <c r="T7" s="5">
        <f>844713/5705410</f>
        <v>0.1480547410264994</v>
      </c>
      <c r="U7" s="5">
        <f>558/5705410</f>
        <v>9.7801910817978027E-5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ht="16.5">
      <c r="A8" s="1" t="s">
        <v>6</v>
      </c>
      <c r="B8" s="2">
        <v>774000</v>
      </c>
      <c r="C8">
        <v>0</v>
      </c>
      <c r="D8" s="2">
        <v>66000</v>
      </c>
      <c r="E8">
        <f t="shared" si="0"/>
        <v>840000</v>
      </c>
      <c r="F8" s="5">
        <v>0.31</v>
      </c>
      <c r="G8" s="5">
        <v>5.1199999999999998E-4</v>
      </c>
      <c r="H8" s="5">
        <f>572386/4253469</f>
        <v>0.1345692186777428</v>
      </c>
      <c r="I8" s="5">
        <f>1530/4253469</f>
        <v>3.597063949449261E-4</v>
      </c>
      <c r="J8" s="5">
        <v>0.27800000000000002</v>
      </c>
      <c r="K8" s="5">
        <v>4.26E-4</v>
      </c>
      <c r="L8" s="5">
        <f>495179/4324653</f>
        <v>0.1145014409248557</v>
      </c>
      <c r="M8" s="5">
        <f>1307/4324653</f>
        <v>3.0222077933189092E-4</v>
      </c>
      <c r="N8" s="5">
        <v>0.32829999999999998</v>
      </c>
      <c r="O8" s="5">
        <v>4.1399999999999998E-4</v>
      </c>
      <c r="P8" s="5">
        <f>597705/4442930</f>
        <v>0.13452946591551071</v>
      </c>
      <c r="Q8" s="5">
        <f>1410/4442930</f>
        <v>3.1735813978613211E-4</v>
      </c>
      <c r="R8" s="5">
        <v>0.34</v>
      </c>
      <c r="S8" s="5">
        <v>4.6099999999999998E-4</v>
      </c>
      <c r="T8" s="5">
        <f>624820/4587360</f>
        <v>0.13620470161487216</v>
      </c>
      <c r="U8" s="5">
        <f>1583/4587360</f>
        <v>3.4507865090160791E-4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ht="16.5">
      <c r="A9" s="1" t="s">
        <v>7</v>
      </c>
      <c r="B9" s="2">
        <f>SUMPRODUCT(37532 + 313770)</f>
        <v>351302</v>
      </c>
      <c r="C9">
        <v>0</v>
      </c>
      <c r="D9" s="2">
        <v>191625</v>
      </c>
      <c r="E9">
        <f t="shared" si="0"/>
        <v>542927</v>
      </c>
      <c r="F9" s="5">
        <v>0.25</v>
      </c>
      <c r="G9" s="5">
        <v>2.0900000000000001E-4</v>
      </c>
      <c r="H9" s="5">
        <f>265431/2159605</f>
        <v>0.12290719830709783</v>
      </c>
      <c r="I9" s="5">
        <f>339/2159605</f>
        <v>1.5697315018255653E-4</v>
      </c>
      <c r="J9" s="5">
        <v>0.2</v>
      </c>
      <c r="K9" s="5">
        <v>3.2600000000000001E-4</v>
      </c>
      <c r="L9" s="5">
        <f>205896/2230743</f>
        <v>9.2299292208918735E-2</v>
      </c>
      <c r="M9" s="5">
        <f>447/2230743</f>
        <v>2.0038166655683779E-4</v>
      </c>
      <c r="N9" s="5">
        <v>0.27879999999999999</v>
      </c>
      <c r="O9" s="5">
        <v>4.37E-4</v>
      </c>
      <c r="P9" s="5">
        <f>310356/2297674</f>
        <v>0.13507399221995808</v>
      </c>
      <c r="Q9" s="5">
        <f>576/2297674</f>
        <v>2.506883047812701E-4</v>
      </c>
      <c r="R9" s="5">
        <v>0.27089999999999997</v>
      </c>
      <c r="S9" s="5">
        <v>2.1000000000000001E-4</v>
      </c>
      <c r="T9" s="5">
        <f>316660/2366588</f>
        <v>0.13380444758445492</v>
      </c>
      <c r="U9" s="5">
        <f>266/2366588</f>
        <v>1.123981022467789E-4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ht="16.5">
      <c r="A10" s="1" t="s">
        <v>8</v>
      </c>
      <c r="B10">
        <v>0</v>
      </c>
      <c r="C10" s="2">
        <v>3336470</v>
      </c>
      <c r="D10" s="2">
        <v>0</v>
      </c>
      <c r="E10">
        <f t="shared" si="0"/>
        <v>3336470</v>
      </c>
      <c r="F10" s="5">
        <v>0.18</v>
      </c>
      <c r="G10" s="5">
        <v>2.31E-4</v>
      </c>
      <c r="H10" s="5">
        <f>531604/5402554</f>
        <v>9.8398646269893836E-2</v>
      </c>
      <c r="I10" s="5">
        <f>855/5402554</f>
        <v>1.5825848293233165E-4</v>
      </c>
      <c r="J10" s="5">
        <v>0.2072</v>
      </c>
      <c r="K10" s="5">
        <v>2.5700000000000001E-4</v>
      </c>
      <c r="L10" s="5">
        <f>621685/5558609</f>
        <v>0.11184182949367369</v>
      </c>
      <c r="M10" s="5">
        <f>982/5558609</f>
        <v>1.7666290253550844E-4</v>
      </c>
      <c r="N10" s="5">
        <v>0.2127</v>
      </c>
      <c r="O10" s="5">
        <v>2.34E-4</v>
      </c>
      <c r="P10" s="5">
        <f>644916/5692703</f>
        <v>0.11328818664876773</v>
      </c>
      <c r="Q10" s="5">
        <f>780/5692703</f>
        <v>1.3701751171631474E-4</v>
      </c>
      <c r="R10" s="5">
        <v>0.23</v>
      </c>
      <c r="S10" s="5">
        <v>3.6699999999999998E-4</v>
      </c>
      <c r="T10" s="5">
        <f>704403/5866986</f>
        <v>0.12006215798026448</v>
      </c>
      <c r="U10" s="5">
        <f>1163/5866986</f>
        <v>1.9822784646153919E-4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ht="16.5">
      <c r="A11" s="1" t="s">
        <v>9</v>
      </c>
      <c r="B11">
        <v>0</v>
      </c>
      <c r="C11">
        <f>SUMPRODUCT(1327764 + 1750603)</f>
        <v>3078367</v>
      </c>
      <c r="D11" s="2">
        <v>0</v>
      </c>
      <c r="E11">
        <f t="shared" si="0"/>
        <v>3078367</v>
      </c>
      <c r="F11" s="5">
        <v>0.2</v>
      </c>
      <c r="G11" s="5">
        <v>8.5000000000000006E-5</v>
      </c>
      <c r="H11" s="5">
        <f>597643/5304865</f>
        <v>0.11265941734615301</v>
      </c>
      <c r="I11" s="5">
        <f>318/5304865</f>
        <v>5.9944975037065031E-5</v>
      </c>
      <c r="J11" s="5">
        <v>0.16</v>
      </c>
      <c r="K11" s="5">
        <v>5.8999999999999998E-5</v>
      </c>
      <c r="L11" s="5">
        <f>491028/5486472</f>
        <v>8.9497950595573986E-2</v>
      </c>
      <c r="M11" s="5">
        <f>311/5486472</f>
        <v>5.6684878734458138E-5</v>
      </c>
      <c r="N11" s="5">
        <v>0.18970000000000001</v>
      </c>
      <c r="O11" s="5">
        <v>8.7000000000000001E-5</v>
      </c>
      <c r="P11" s="5">
        <f>580974/5671888</f>
        <v>0.10243044291424655</v>
      </c>
      <c r="Q11" s="5">
        <f>438/5671888</f>
        <v>7.7222963499984482E-5</v>
      </c>
      <c r="R11" s="5">
        <v>0.19570000000000001</v>
      </c>
      <c r="S11" s="5">
        <v>6.0000000000000002E-5</v>
      </c>
      <c r="T11" s="5">
        <f>573691/5835151</f>
        <v>9.8316393183312645E-2</v>
      </c>
      <c r="U11" s="5">
        <f>297/5835151</f>
        <v>5.0898425764817397E-5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ht="16.5">
      <c r="A12" s="1" t="s">
        <v>10</v>
      </c>
      <c r="B12" s="2">
        <v>0</v>
      </c>
      <c r="C12">
        <v>0</v>
      </c>
      <c r="D12" s="2">
        <v>1086351</v>
      </c>
      <c r="E12">
        <f t="shared" si="0"/>
        <v>1086351</v>
      </c>
      <c r="F12" s="5">
        <v>0.3</v>
      </c>
      <c r="G12" s="5">
        <v>2.7900000000000001E-4</v>
      </c>
      <c r="H12" s="5">
        <f>335375/1701901</f>
        <v>0.1970590533761952</v>
      </c>
      <c r="I12" s="5">
        <f>413/1701901</f>
        <v>2.4266981451917592E-4</v>
      </c>
      <c r="J12" s="5">
        <v>0.27</v>
      </c>
      <c r="K12" s="5">
        <v>2.7399999999999999E-4</v>
      </c>
      <c r="L12" s="5">
        <f>315195/1753710</f>
        <v>0.17973040012316746</v>
      </c>
      <c r="M12" s="5">
        <f>430/1753710</f>
        <v>2.4519447343061281E-4</v>
      </c>
      <c r="N12" s="5">
        <v>0.33339999999999997</v>
      </c>
      <c r="O12" s="5">
        <v>3.3500000000000001E-4</v>
      </c>
      <c r="P12" s="5">
        <f>398830/1804188</f>
        <v>0.22105789418841051</v>
      </c>
      <c r="Q12" s="5">
        <f>517/1804188</f>
        <v>2.8655550308504435E-4</v>
      </c>
      <c r="R12" s="5">
        <v>0.2999</v>
      </c>
      <c r="S12" s="5">
        <v>2.6499999999999999E-4</v>
      </c>
      <c r="T12" s="5">
        <f>355685/1855829</f>
        <v>0.19165828317156375</v>
      </c>
      <c r="U12" s="5">
        <f>426/1855829</f>
        <v>2.2954701106621354E-4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ht="16.5">
      <c r="A13" s="1" t="s">
        <v>11</v>
      </c>
      <c r="B13">
        <f>SUMPRODUCT(91300 + 1461614 + 596245)</f>
        <v>2149159</v>
      </c>
      <c r="C13">
        <v>0</v>
      </c>
      <c r="D13" s="2">
        <v>118580</v>
      </c>
      <c r="E13">
        <f t="shared" si="0"/>
        <v>2267739</v>
      </c>
      <c r="F13" s="5" t="s">
        <v>43</v>
      </c>
      <c r="G13" s="5" t="s">
        <v>43</v>
      </c>
      <c r="H13" s="5" t="s">
        <v>43</v>
      </c>
      <c r="I13" s="5" t="s">
        <v>43</v>
      </c>
      <c r="J13" s="5" t="s">
        <v>43</v>
      </c>
      <c r="K13" s="5" t="s">
        <v>43</v>
      </c>
      <c r="L13" s="5" t="s">
        <v>43</v>
      </c>
      <c r="M13" s="5" t="s">
        <v>43</v>
      </c>
      <c r="N13" s="5" t="s">
        <v>43</v>
      </c>
      <c r="O13" s="5" t="s">
        <v>43</v>
      </c>
      <c r="P13" s="5" t="s">
        <v>43</v>
      </c>
      <c r="Q13" s="5" t="s">
        <v>43</v>
      </c>
      <c r="R13" s="5">
        <v>0.2</v>
      </c>
      <c r="S13" s="5">
        <v>1.37E-4</v>
      </c>
      <c r="T13" s="5">
        <f>322582/3171231</f>
        <v>0.10172138201222175</v>
      </c>
      <c r="U13" s="5">
        <f>313/3171231</f>
        <v>9.8699842427120573E-5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ht="16.5">
      <c r="A14" s="4" t="s">
        <v>26</v>
      </c>
      <c r="B14">
        <f>SUMPRODUCT(B3+B4+B5+B6+B7+B8+B9+B10+B11+B12+B13)</f>
        <v>10336382</v>
      </c>
      <c r="C14">
        <f>SUMPRODUCT(C3+C4+C5+C6+C7+C8+C9+C10+C11+C12+C13)</f>
        <v>7295787</v>
      </c>
      <c r="D14">
        <f>SUMPRODUCT(D3+D4+D5+D6+D7+D8+D9+D10+D11+D12+D13)</f>
        <v>1601695</v>
      </c>
      <c r="E14">
        <f>SUMPRODUCT(E3+E4+E5+E6+E7+E8+E9+E10+E11+E12+E13)</f>
        <v>19233864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6:49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6:49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6:49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6:49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6:49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6:49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6:49" ht="16.5">
      <c r="F23" s="6" t="s">
        <v>15</v>
      </c>
      <c r="G23" s="6" t="s">
        <v>16</v>
      </c>
      <c r="H23" s="6" t="s">
        <v>17</v>
      </c>
      <c r="I23" s="6" t="s">
        <v>18</v>
      </c>
      <c r="J23" s="6" t="s">
        <v>19</v>
      </c>
      <c r="K23" s="6" t="s">
        <v>20</v>
      </c>
      <c r="L23" s="6" t="s">
        <v>21</v>
      </c>
      <c r="M23" s="6" t="s">
        <v>22</v>
      </c>
      <c r="N23" s="6" t="s">
        <v>23</v>
      </c>
      <c r="O23" s="6" t="s">
        <v>24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6:49">
      <c r="F24" t="s">
        <v>12</v>
      </c>
      <c r="G24" t="s">
        <v>12</v>
      </c>
      <c r="H24" t="s">
        <v>12</v>
      </c>
      <c r="I24" t="s">
        <v>12</v>
      </c>
      <c r="J24" t="s">
        <v>13</v>
      </c>
      <c r="K24" t="s">
        <v>12</v>
      </c>
      <c r="L24" t="s">
        <v>14</v>
      </c>
      <c r="M24" t="s">
        <v>13</v>
      </c>
      <c r="N24" t="s">
        <v>13</v>
      </c>
      <c r="O24" t="s">
        <v>14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M Naim</dc:creator>
  <cp:lastModifiedBy>Leila M Naim</cp:lastModifiedBy>
  <dcterms:created xsi:type="dcterms:W3CDTF">2024-09-12T15:47:52Z</dcterms:created>
  <dcterms:modified xsi:type="dcterms:W3CDTF">2024-09-17T17:22:32Z</dcterms:modified>
</cp:coreProperties>
</file>