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7BE389E2-5430-4DC8-8DF8-E1D462DDE37D}" xr6:coauthVersionLast="47" xr6:coauthVersionMax="47" xr10:uidLastSave="{00000000-0000-0000-0000-000000000000}"/>
  <bookViews>
    <workbookView xWindow="-120" yWindow="-120" windowWidth="29040" windowHeight="15720" activeTab="1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7" i="1"/>
  <c r="N30" i="1"/>
  <c r="O26" i="1"/>
  <c r="N31" i="1"/>
  <c r="O33" i="1"/>
  <c r="N29" i="1"/>
  <c r="O30" i="1"/>
  <c r="N33" i="1"/>
  <c r="O29" i="1"/>
  <c r="O27" i="1"/>
  <c r="O31" i="1"/>
  <c r="N28" i="1"/>
  <c r="N32" i="1"/>
  <c r="N26" i="1"/>
  <c r="O32" i="1"/>
  <c r="O28"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CL15" i="38" l="1"/>
  <c r="CO15" i="38"/>
  <c r="CN15" i="38"/>
  <c r="CP15" i="38"/>
  <c r="CM15" i="38"/>
  <c r="CQ15" i="38"/>
  <c r="CK15"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17" i="1"/>
  <c r="O8" i="1"/>
  <c r="N12" i="1"/>
  <c r="N2" i="1"/>
  <c r="N9" i="1"/>
  <c r="N8" i="1"/>
  <c r="N3" i="1"/>
  <c r="O3" i="1"/>
  <c r="O23" i="1"/>
  <c r="N11" i="1"/>
  <c r="N7" i="1"/>
  <c r="O11" i="1"/>
  <c r="N13" i="1"/>
  <c r="O6" i="1"/>
  <c r="N21" i="1"/>
  <c r="N6" i="1"/>
  <c r="O15" i="1"/>
  <c r="N23" i="1"/>
  <c r="N24" i="1"/>
  <c r="O7" i="1"/>
  <c r="N18" i="1"/>
  <c r="N5" i="1"/>
  <c r="O17" i="1"/>
  <c r="O16" i="1"/>
  <c r="O9" i="1"/>
  <c r="O14" i="1"/>
  <c r="O20" i="1"/>
  <c r="N10" i="1"/>
  <c r="O10" i="1"/>
  <c r="N25" i="1"/>
  <c r="O19" i="1"/>
  <c r="N22" i="1"/>
  <c r="N16" i="1"/>
  <c r="O13" i="1"/>
  <c r="O21" i="1"/>
  <c r="O18" i="1"/>
  <c r="N19" i="1"/>
  <c r="O25" i="1"/>
  <c r="O2" i="1"/>
  <c r="N14" i="1"/>
  <c r="O4" i="1"/>
  <c r="N15" i="1"/>
  <c r="N4" i="1"/>
  <c r="O24" i="1"/>
  <c r="O5" i="1"/>
  <c r="N20" i="1"/>
  <c r="O22" i="1"/>
  <c r="O12"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AC15" i="38" l="1"/>
  <c r="E15" i="38"/>
  <c r="BA15" i="38"/>
  <c r="AF15" i="38"/>
  <c r="BD15" i="38"/>
  <c r="H15" i="38"/>
  <c r="P9" i="46"/>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CB15" i="38" s="1"/>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H12" i="33" a="1"/>
  <c r="H18" i="33" a="1"/>
  <c r="H15" i="33" a="1"/>
  <c r="N9" i="33" a="1"/>
  <c r="N18" i="33" a="1"/>
  <c r="CA3" i="38" a="1"/>
  <c r="N15" i="33" a="1"/>
  <c r="BZ3" i="38" a="1"/>
  <c r="J15" i="38" l="1"/>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BY3" i="38"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CW11" i="38"/>
  <c r="CW10" i="38"/>
  <c r="CW13" i="38"/>
  <c r="CW7" i="38"/>
  <c r="CW12" i="38"/>
  <c r="DC15" i="38"/>
  <c r="CW15" i="38"/>
  <c r="CT8" i="38"/>
  <c r="CT7" i="38"/>
  <c r="CT15" i="38"/>
  <c r="X13" i="39"/>
  <c r="AA13" i="39" s="1"/>
  <c r="AB13" i="39" s="1"/>
  <c r="CW1" i="36"/>
  <c r="DC11" i="38"/>
  <c r="X9" i="39" s="1"/>
  <c r="DC10" i="38"/>
  <c r="DC13" i="38"/>
  <c r="DC7" i="38"/>
  <c r="DC1" i="36"/>
  <c r="DC14" i="38"/>
  <c r="DC12" i="38"/>
  <c r="CW14" i="38"/>
  <c r="DC8" i="38"/>
  <c r="S15" i="33"/>
  <c r="N12" i="34" s="1"/>
  <c r="X7" i="39" l="1"/>
  <c r="X8" i="39"/>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CP14" i="38"/>
  <c r="CO9" i="38"/>
  <c r="Z7" i="39" s="1"/>
  <c r="CP7" i="38"/>
  <c r="CP11" i="38"/>
  <c r="CO7" i="38"/>
  <c r="CO8" i="38"/>
  <c r="CO12" i="38"/>
  <c r="CP8" i="38"/>
  <c r="AA12" i="39" l="1"/>
  <c r="AB12"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M11" i="40"/>
  <c r="O11" i="40" a="1"/>
  <c r="O11" i="40" s="1"/>
  <c r="C15" i="40"/>
  <c r="S11" i="40"/>
  <c r="C29" i="40"/>
  <c r="S25" i="40"/>
  <c r="S17" i="40"/>
  <c r="C21" i="40"/>
  <c r="C26" i="40"/>
  <c r="S22" i="40"/>
  <c r="S13" i="40"/>
  <c r="C17" i="40"/>
  <c r="C20" i="40"/>
  <c r="S16" i="40"/>
  <c r="I14" i="40" a="1"/>
  <c r="I14" i="40" s="1"/>
  <c r="D14" i="40"/>
  <c r="F14" i="40" a="1"/>
  <c r="F14" i="40" s="1"/>
  <c r="J14" i="40"/>
  <c r="G14" i="40"/>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4" i="40" l="1"/>
  <c r="K11" i="40"/>
  <c r="H12" i="40"/>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E18" i="40" l="1"/>
  <c r="K18" i="40"/>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<sst xmlns="http://schemas.openxmlformats.org/spreadsheetml/2006/main" count="1028" uniqueCount="346">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</sst>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9" sqref="J1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1</v>
      </c>
      <c r="AT5" s="245">
        <f>+VLOOKUP(AT7,$AD$9:$AF$15,3,0)</f>
        <v>2</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5</v>
      </c>
      <c r="X9" s="161">
        <f>+VLOOKUP($P9,$AD$9:$AK$15,8,0)</f>
        <v>0</v>
      </c>
      <c r="Y9" s="161">
        <f>+W9-X9</f>
        <v>5</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5</v>
      </c>
      <c r="AK9" s="53" cm="1">
        <f t="array" ref="AK9">SUM(($G$9:$G$22=$AD9)*($J$9:$J$22)+($K$9:$K$22=$AD9)*($H$9:$H$22))</f>
        <v>0</v>
      </c>
      <c r="AL9" s="252">
        <f>+SUMIFS($AR9:$AU9,$AR$5:$AU$5,AF9)</f>
        <v>0</v>
      </c>
      <c r="AM9" s="252">
        <f>+AJ9-AK9</f>
        <v>5</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302</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4</v>
      </c>
      <c r="T11" s="160">
        <f>+VLOOKUP($P11,$AD$9:$AK$15,4,0)</f>
        <v>1</v>
      </c>
      <c r="U11" s="160">
        <f>+VLOOKUP($P11,$AD$9:$AK$15,5,0)</f>
        <v>1</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3</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2</v>
      </c>
      <c r="AJ11" s="53" cm="1">
        <f t="array" ref="AJ11">SUM(($G$9:$G$22=$AD11)*($H$9:$H$22)+($K$9:$K$22=$AD11)*($J$9:$J$22))</f>
        <v>0</v>
      </c>
      <c r="AK11" s="53" cm="1">
        <f t="array" ref="AK11">SUM(($G$9:$G$22=$AD11)*($J$9:$J$22)+($K$9:$K$22=$AD11)*($H$9:$H$22))</f>
        <v>3</v>
      </c>
      <c r="AL11" s="252">
        <f>+SUMIFS($AR11:$AU11,$AR$5:$AU$5,AF11)</f>
        <v>0</v>
      </c>
      <c r="AM11" s="252">
        <f>+AJ11-AK11</f>
        <v>-3</v>
      </c>
      <c r="AN11" s="53">
        <f>+_xlfn.RANK.EQ(AF11,$AF$9:$AF$15)+_xlfn.RANK.EQ(AM11,$AM$9:$AM$15)/10+_xlfn.RANK.EQ(AJ11,$AJ$9:$AJ$15)/100+_xlfn.RANK.EQ(AL11,$AL$9:$AL$15)/1000+ROW()/1000000</f>
        <v>4.4310110000000007</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2</v>
      </c>
      <c r="T13" s="160">
        <f>+VLOOKUP($P13,$AD$9:$AK$15,4,0)</f>
        <v>0</v>
      </c>
      <c r="U13" s="160">
        <f>+VLOOKUP($P13,$AD$9:$AK$15,5,0)</f>
        <v>2</v>
      </c>
      <c r="V13" s="160">
        <f>+VLOOKUP($P13,$AD$9:$AK$15,6,0)</f>
        <v>1</v>
      </c>
      <c r="W13" s="161">
        <f>+VLOOKUP($P13,$AD$9:$AK$15,7,0)</f>
        <v>0</v>
      </c>
      <c r="X13" s="161">
        <f>+VLOOKUP($P13,$AD$9:$AK$15,8,0)</f>
        <v>1</v>
      </c>
      <c r="Y13" s="161">
        <f>+W13-X13</f>
        <v>-1</v>
      </c>
      <c r="Z13" s="60"/>
      <c r="AA13" s="57"/>
      <c r="AB13" s="53"/>
      <c r="AC13" s="53">
        <v>3</v>
      </c>
      <c r="AD13" s="251" t="str">
        <f>+VLOOKUP($AD$5&amp;AC13,Aux!S:T,2,0)</f>
        <v>Chile</v>
      </c>
      <c r="AE13" s="53">
        <f t="shared" si="0"/>
        <v>3</v>
      </c>
      <c r="AF13" s="53">
        <f t="shared" si="1"/>
        <v>2</v>
      </c>
      <c r="AG13" s="53" cm="1">
        <f t="array" ref="AG13">SUM(($G$9:$G$22=$AD13)*($H$9:$H$22&gt;$J$9:$J$22)+($K$9:$K$22=$AD13)*($H$9:$H$22&lt;$J$9:$J$22))</f>
        <v>0</v>
      </c>
      <c r="AH13" s="53" cm="1">
        <f t="array" ref="AH13">SUM(($G$9:$G$22=$AD13)*($H$9:$H$22=$J$9:$J$22)*($H$9:$H$22&lt;&gt;"")+($K$9:$K$22=$AD13)*($H$9:$H$22=$J$9:$J$22)*($H$9:$H$22&lt;&gt;""))</f>
        <v>2</v>
      </c>
      <c r="AI13" s="53" cm="1">
        <f t="array" ref="AI13">SUM(($G$9:$G$22=$AD13)*($H$9:$H$22&lt;$J$9:$J$22)+($K$9:$K$22=$AD13)*($H$9:$H$22&gt;$J$9:$J$22))</f>
        <v>1</v>
      </c>
      <c r="AJ13" s="53" cm="1">
        <f t="array" ref="AJ13">SUM(($G$9:$G$22=$AD13)*($H$9:$H$22)+($K$9:$K$22=$AD13)*($J$9:$J$22))</f>
        <v>0</v>
      </c>
      <c r="AK13" s="53" cm="1">
        <f t="array" ref="AK13">SUM(($G$9:$G$22=$AD13)*($J$9:$J$22)+($K$9:$K$22=$AD13)*($H$9:$H$22))</f>
        <v>1</v>
      </c>
      <c r="AL13" s="252">
        <f>+SUMIFS($AR13:$AU13,$AR$5:$AU$5,AF13)</f>
        <v>0</v>
      </c>
      <c r="AM13" s="252">
        <f>+AJ13-AK13</f>
        <v>-1</v>
      </c>
      <c r="AN13" s="53">
        <f>+_xlfn.RANK.EQ(AF13,$AF$9:$AF$15)+_xlfn.RANK.EQ(AM13,$AM$9:$AM$15)/10+_xlfn.RANK.EQ(AJ13,$AJ$9:$AJ$15)/100+_xlfn.RANK.EQ(AL13,$AL$9:$AL$15)/1000+ROW()/1000000</f>
        <v>3.2310129999999999</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0</v>
      </c>
      <c r="I15" s="257" t="s">
        <v>41</v>
      </c>
      <c r="J15" s="258">
        <v>1</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1</v>
      </c>
      <c r="T15" s="160">
        <f>+VLOOKUP($P15,$AD$9:$AK$15,4,0)</f>
        <v>0</v>
      </c>
      <c r="U15" s="160">
        <f>+VLOOKUP($P15,$AD$9:$AK$15,5,0)</f>
        <v>1</v>
      </c>
      <c r="V15" s="160">
        <f>+VLOOKUP($P15,$AD$9:$AK$15,6,0)</f>
        <v>2</v>
      </c>
      <c r="W15" s="161">
        <f>+VLOOKUP($P15,$AD$9:$AK$15,7,0)</f>
        <v>0</v>
      </c>
      <c r="X15" s="161">
        <f>+VLOOKUP($P15,$AD$9:$AK$15,8,0)</f>
        <v>3</v>
      </c>
      <c r="Y15" s="161">
        <f>+W15-X15</f>
        <v>-3</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1</v>
      </c>
      <c r="AK15" s="53" cm="1">
        <f t="array" ref="AK15">SUM(($G$9:$G$22=$AD15)*($J$9:$J$22)+($K$9:$K$22=$AD15)*($H$9:$H$22))</f>
        <v>2</v>
      </c>
      <c r="AL15" s="252">
        <f>+SUMIFS($AR15:$AU15,$AR$5:$AU$5,AF15)</f>
        <v>0</v>
      </c>
      <c r="AM15" s="252">
        <f>+AJ15-AK15</f>
        <v>-1</v>
      </c>
      <c r="AN15" s="53">
        <f>+_xlfn.RANK.EQ(AF15,$AF$9:$AF$15)+_xlfn.RANK.EQ(AM15,$AM$9:$AM$15)/10+_xlfn.RANK.EQ(AJ15,$AJ$9:$AJ$15)/100+_xlfn.RANK.EQ(AL15,$AL$9:$AL$15)/1000+ROW()/1000000</f>
        <v>2.221015</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2</v>
      </c>
      <c r="I17" s="257" t="s">
        <v>41</v>
      </c>
      <c r="J17" s="258">
        <v>0</v>
      </c>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0</v>
      </c>
      <c r="I19" s="257" t="s">
        <v>41</v>
      </c>
      <c r="J19" s="258">
        <v>0</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J15" sqref="J1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3</v>
      </c>
      <c r="AS5" s="245">
        <f>+VLOOKUP(AS7,$AD$9:$AF$15,3,0)</f>
        <v>3</v>
      </c>
      <c r="AT5" s="245">
        <f>+VLOOKUP(AT7,$AD$9:$AF$15,3,0)</f>
        <v>6</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6</v>
      </c>
      <c r="T9" s="160">
        <f>+VLOOKUP($P9,$AD$9:$AK$15,4,0)</f>
        <v>2</v>
      </c>
      <c r="U9" s="160">
        <f>+VLOOKUP($P9,$AD$9:$AK$15,5,0)</f>
        <v>0</v>
      </c>
      <c r="V9" s="160">
        <f>+VLOOKUP($P9,$AD$9:$AK$15,6,0)</f>
        <v>0</v>
      </c>
      <c r="W9" s="161">
        <f>+VLOOKUP($P9,$AD$9:$AK$15,7,0)</f>
        <v>3</v>
      </c>
      <c r="X9" s="161">
        <f>+VLOOKUP($P9,$AD$9:$AK$15,8,0)</f>
        <v>1</v>
      </c>
      <c r="Y9" s="161">
        <f>+W9-X9</f>
        <v>2</v>
      </c>
      <c r="Z9" s="60"/>
      <c r="AA9" s="57"/>
      <c r="AB9" s="53"/>
      <c r="AC9" s="53">
        <v>1</v>
      </c>
      <c r="AD9" s="251" t="str">
        <f>+VLOOKUP($AD$5&amp;AC9,Aux!S:T,2,0)</f>
        <v>México</v>
      </c>
      <c r="AE9" s="53">
        <f>+AG9+AH9+AI9</f>
        <v>2</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1</v>
      </c>
      <c r="AJ9" s="53" cm="1">
        <f t="array" ref="AJ9">SUM(($G$9:$G$22=$AD9)*($H$9:$H$22)+($K$9:$K$22=$AD9)*($J$9:$J$22))</f>
        <v>1</v>
      </c>
      <c r="AK9" s="53" cm="1">
        <f t="array" ref="AK9">SUM(($G$9:$G$22=$AD9)*($J$9:$J$22)+($K$9:$K$22=$AD9)*($H$9:$H$22))</f>
        <v>1</v>
      </c>
      <c r="AL9" s="252">
        <f>+SUMIFS($AR9:$AU9,$AR$5:$AU$5,AF9)</f>
        <v>100</v>
      </c>
      <c r="AM9" s="252">
        <f>+AJ9-AK9</f>
        <v>0</v>
      </c>
      <c r="AN9" s="53">
        <f>+_xlfn.RANK.EQ(AF9,$AF$9:$AF$15)+_xlfn.RANK.EQ(AM9,$AM$9:$AM$15)/10+_xlfn.RANK.EQ(AJ9,$AJ$9:$AJ$15)/100+_xlfn.RANK.EQ(AL9,$AL$9:$AL$15)/1000+ROW()/1000000</f>
        <v>2.3310089999999994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3</v>
      </c>
      <c r="T11" s="160">
        <f>+VLOOKUP($P11,$AD$9:$AK$15,4,0)</f>
        <v>1</v>
      </c>
      <c r="U11" s="160">
        <f>+VLOOKUP($P11,$AD$9:$AK$15,5,0)</f>
        <v>0</v>
      </c>
      <c r="V11" s="160">
        <f>+VLOOKUP($P11,$AD$9:$AK$15,6,0)</f>
        <v>1</v>
      </c>
      <c r="W11" s="161">
        <f>+VLOOKUP($P11,$AD$9:$AK$15,7,0)</f>
        <v>4</v>
      </c>
      <c r="X11" s="161">
        <f>+VLOOKUP($P11,$AD$9:$AK$15,8,0)</f>
        <v>3</v>
      </c>
      <c r="Y11" s="161">
        <f>+W11-X11</f>
        <v>1</v>
      </c>
      <c r="Z11" s="60"/>
      <c r="AA11" s="59"/>
      <c r="AB11" s="245"/>
      <c r="AC11" s="53">
        <v>2</v>
      </c>
      <c r="AD11" s="251" t="str">
        <f>+VLOOKUP($AD$5&amp;AC11,Aux!S:T,2,0)</f>
        <v>Ecuador</v>
      </c>
      <c r="AE11" s="53">
        <f t="shared" ref="AE11" si="0">+AG11+AH11+AI11</f>
        <v>2</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1</v>
      </c>
      <c r="AJ11" s="53" cm="1">
        <f t="array" ref="AJ11">SUM(($G$9:$G$22=$AD11)*($H$9:$H$22)+($K$9:$K$22=$AD11)*($J$9:$J$22))</f>
        <v>4</v>
      </c>
      <c r="AK11" s="53" cm="1">
        <f t="array" ref="AK11">SUM(($G$9:$G$22=$AD11)*($J$9:$J$22)+($K$9:$K$22=$AD11)*($H$9:$H$22))</f>
        <v>3</v>
      </c>
      <c r="AL11" s="252">
        <f>+SUMIFS($AR11:$AU11,$AR$5:$AU$5,AF11)</f>
        <v>100</v>
      </c>
      <c r="AM11" s="252">
        <f>+AJ11-AK11</f>
        <v>1</v>
      </c>
      <c r="AN11" s="53">
        <f>+_xlfn.RANK.EQ(AF11,$AF$9:$AF$15)+_xlfn.RANK.EQ(AM11,$AM$9:$AM$15)/10+_xlfn.RANK.EQ(AJ11,$AJ$9:$AJ$15)/100+_xlfn.RANK.EQ(AL11,$AL$9:$AL$15)/1000+ROW()/1000000</f>
        <v>2.2110110000000001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3</v>
      </c>
      <c r="T13" s="160">
        <f>+VLOOKUP($P13,$AD$9:$AK$15,4,0)</f>
        <v>1</v>
      </c>
      <c r="U13" s="160">
        <f>+VLOOKUP($P13,$AD$9:$AK$15,5,0)</f>
        <v>0</v>
      </c>
      <c r="V13" s="160">
        <f>+VLOOKUP($P13,$AD$9:$AK$15,6,0)</f>
        <v>1</v>
      </c>
      <c r="W13" s="161">
        <f>+VLOOKUP($P13,$AD$9:$AK$15,7,0)</f>
        <v>1</v>
      </c>
      <c r="X13" s="161">
        <f>+VLOOKUP($P13,$AD$9:$AK$15,8,0)</f>
        <v>1</v>
      </c>
      <c r="Y13" s="161">
        <f>+W13-X13</f>
        <v>0</v>
      </c>
      <c r="Z13" s="60"/>
      <c r="AA13" s="57"/>
      <c r="AB13" s="53"/>
      <c r="AC13" s="53">
        <v>3</v>
      </c>
      <c r="AD13" s="251" t="str">
        <f>+VLOOKUP($AD$5&amp;AC13,Aux!S:T,2,0)</f>
        <v>Venezuela</v>
      </c>
      <c r="AE13" s="53">
        <f t="shared" ref="AE13" si="3">+AG13+AH13+AI13</f>
        <v>2</v>
      </c>
      <c r="AF13" s="53">
        <f t="shared" ref="AF13" si="4">+AG13*3+AH13</f>
        <v>6</v>
      </c>
      <c r="AG13" s="53" cm="1">
        <f t="array" ref="AG13">SUM(($G$9:$G$22=$AD13)*($H$9:$H$22&gt;$J$9:$J$22)+($K$9:$K$22=$AD13)*($H$9:$H$22&lt;$J$9:$J$22))</f>
        <v>2</v>
      </c>
      <c r="AH13" s="53" cm="1">
        <f t="array" ref="AH13">SUM(($G$9:$G$22=$AD13)*($H$9:$H$22=$J$9:$J$22)*($H$9:$H$22&lt;&gt;"")+($K$9:$K$22=$AD13)*($H$9:$H$22=$J$9:$J$22)*($H$9:$H$22&lt;&gt;""))</f>
        <v>0</v>
      </c>
      <c r="AI13" s="53" cm="1">
        <f t="array" ref="AI13">SUM(($G$9:$G$22=$AD13)*($H$9:$H$22&lt;$J$9:$J$22)+($K$9:$K$22=$AD13)*($H$9:$H$22&gt;$J$9:$J$22))</f>
        <v>0</v>
      </c>
      <c r="AJ13" s="53" cm="1">
        <f t="array" ref="AJ13">SUM(($G$9:$G$22=$AD13)*($H$9:$H$22)+($K$9:$K$22=$AD13)*($J$9:$J$22))</f>
        <v>3</v>
      </c>
      <c r="AK13" s="53" cm="1">
        <f t="array" ref="AK13">SUM(($G$9:$G$22=$AD13)*($J$9:$J$22)+($K$9:$K$22=$AD13)*($H$9:$H$22))</f>
        <v>1</v>
      </c>
      <c r="AL13" s="252">
        <f>+SUMIFS($AR13:$AU13,$AR$5:$AU$5,AF13)</f>
        <v>0</v>
      </c>
      <c r="AM13" s="252">
        <f>+AJ13-AK13</f>
        <v>2</v>
      </c>
      <c r="AN13" s="53">
        <f>+_xlfn.RANK.EQ(AF13,$AF$9:$AF$15)+_xlfn.RANK.EQ(AM13,$AM$9:$AM$15)/10+_xlfn.RANK.EQ(AJ13,$AJ$9:$AJ$15)/100+_xlfn.RANK.EQ(AL13,$AL$9:$AL$15)/1000+ROW()/1000000</f>
        <v>1.123013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2</v>
      </c>
      <c r="W15" s="161">
        <f>+VLOOKUP($P15,$AD$9:$AK$15,7,0)</f>
        <v>1</v>
      </c>
      <c r="X15" s="161">
        <f>+VLOOKUP($P15,$AD$9:$AK$15,8,0)</f>
        <v>4</v>
      </c>
      <c r="Y15" s="161">
        <f>+W15-X15</f>
        <v>-3</v>
      </c>
      <c r="Z15" s="60"/>
      <c r="AA15" s="59"/>
      <c r="AB15" s="245"/>
      <c r="AC15" s="53">
        <v>4</v>
      </c>
      <c r="AD15" s="251" t="str">
        <f>+VLOOKUP($AD$5&amp;AC15,Aux!S:T,2,0)</f>
        <v>Jamaica</v>
      </c>
      <c r="AE15" s="53">
        <f t="shared" ref="AE15" si="6">+AG15+AH15+AI15</f>
        <v>2</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2</v>
      </c>
      <c r="AJ15" s="53" cm="1">
        <f t="array" ref="AJ15">SUM(($G$9:$G$22=$AD15)*($H$9:$H$22)+($K$9:$K$22=$AD15)*($J$9:$J$22))</f>
        <v>1</v>
      </c>
      <c r="AK15" s="53" cm="1">
        <f t="array" ref="AK15">SUM(($G$9:$G$22=$AD15)*($J$9:$J$22)+($K$9:$K$22=$AD15)*($H$9:$H$22))</f>
        <v>4</v>
      </c>
      <c r="AL15" s="252">
        <f>+SUMIFS($AR15:$AU15,$AR$5:$AU$5,AF15)</f>
        <v>0</v>
      </c>
      <c r="AM15" s="252">
        <f>+AJ15-AK15</f>
        <v>-3</v>
      </c>
      <c r="AN15" s="53">
        <f>+_xlfn.RANK.EQ(AF15,$AF$9:$AF$15)+_xlfn.RANK.EQ(AM15,$AM$9:$AM$15)/10+_xlfn.RANK.EQ(AJ15,$AJ$9:$AJ$15)/100+_xlfn.RANK.EQ(AL15,$AL$9:$AL$15)/1000+ROW()/1000000</f>
        <v>4.433015000000001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J15" sqref="J1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6</v>
      </c>
      <c r="AT5" s="245">
        <f>+VLOOKUP(AT7,$AD$9:$AF$15,3,0)</f>
        <v>3</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6</v>
      </c>
      <c r="T9" s="160">
        <f>+VLOOKUP($P9,$AD$9:$AK$15,4,0)</f>
        <v>2</v>
      </c>
      <c r="U9" s="160">
        <f>+VLOOKUP($P9,$AD$9:$AK$15,5,0)</f>
        <v>0</v>
      </c>
      <c r="V9" s="160">
        <f>+VLOOKUP($P9,$AD$9:$AK$15,6,0)</f>
        <v>0</v>
      </c>
      <c r="W9" s="161">
        <f>+VLOOKUP($P9,$AD$9:$AK$15,7,0)</f>
        <v>8</v>
      </c>
      <c r="X9" s="161">
        <f>+VLOOKUP($P9,$AD$9:$AK$15,8,0)</f>
        <v>1</v>
      </c>
      <c r="Y9" s="161">
        <f>+W9-X9</f>
        <v>7</v>
      </c>
      <c r="Z9" s="60"/>
      <c r="AA9" s="57"/>
      <c r="AB9" s="53"/>
      <c r="AC9" s="53">
        <v>1</v>
      </c>
      <c r="AD9" s="251" t="str">
        <f>+VLOOKUP($AD$5&amp;AC9,Aux!S:T,2,0)</f>
        <v>Estados Unidos</v>
      </c>
      <c r="AE9" s="53">
        <f>+AG9+AH9+AI9</f>
        <v>2</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1</v>
      </c>
      <c r="AJ9" s="53" cm="1">
        <f t="array" ref="AJ9">SUM(($G$9:$G$22=$AD9)*($H$9:$H$22)+($K$9:$K$22=$AD9)*($J$9:$J$22))</f>
        <v>3</v>
      </c>
      <c r="AK9" s="53" cm="1">
        <f t="array" ref="AK9">SUM(($G$9:$G$22=$AD9)*($J$9:$J$22)+($K$9:$K$22=$AD9)*($H$9:$H$22))</f>
        <v>2</v>
      </c>
      <c r="AL9" s="252">
        <f>+SUMIFS($AR9:$AU9,$AR$5:$AU$5,AF9)</f>
        <v>-1</v>
      </c>
      <c r="AM9" s="252">
        <f>+AJ9-AK9</f>
        <v>1</v>
      </c>
      <c r="AN9" s="53">
        <f>+_xlfn.RANK.EQ(AF9,$AF$9:$AF$15)+_xlfn.RANK.EQ(AM9,$AM$9:$AM$15)/10+_xlfn.RANK.EQ(AJ9,$AJ$9:$AJ$15)/100+_xlfn.RANK.EQ(AL9,$AL$9:$AL$15)/1000+ROW()/1000000</f>
        <v>2.2240090000000001</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3</v>
      </c>
      <c r="T11" s="160">
        <f>+VLOOKUP($P11,$AD$9:$AK$15,4,0)</f>
        <v>1</v>
      </c>
      <c r="U11" s="160">
        <f>+VLOOKUP($P11,$AD$9:$AK$15,5,0)</f>
        <v>0</v>
      </c>
      <c r="V11" s="160">
        <f>+VLOOKUP($P11,$AD$9:$AK$15,6,0)</f>
        <v>1</v>
      </c>
      <c r="W11" s="161">
        <f>+VLOOKUP($P11,$AD$9:$AK$15,7,0)</f>
        <v>3</v>
      </c>
      <c r="X11" s="161">
        <f>+VLOOKUP($P11,$AD$9:$AK$15,8,0)</f>
        <v>2</v>
      </c>
      <c r="Y11" s="161">
        <f>+W11-X11</f>
        <v>1</v>
      </c>
      <c r="Z11" s="60"/>
      <c r="AA11" s="59"/>
      <c r="AB11" s="245"/>
      <c r="AC11" s="53">
        <v>2</v>
      </c>
      <c r="AD11" s="251" t="str">
        <f>+VLOOKUP($AD$5&amp;AC11,Aux!S:T,2,0)</f>
        <v>Uruguay</v>
      </c>
      <c r="AE11" s="53">
        <f t="shared" ref="AE11" si="0">+AG11+AH11+AI11</f>
        <v>2</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0</v>
      </c>
      <c r="AJ11" s="53" cm="1">
        <f t="array" ref="AJ11">SUM(($G$9:$G$22=$AD11)*($H$9:$H$22)+($K$9:$K$22=$AD11)*($J$9:$J$22))</f>
        <v>8</v>
      </c>
      <c r="AK11" s="53" cm="1">
        <f t="array" ref="AK11">SUM(($G$9:$G$22=$AD11)*($J$9:$J$22)+($K$9:$K$22=$AD11)*($H$9:$H$22))</f>
        <v>1</v>
      </c>
      <c r="AL11" s="252">
        <f>+SUMIFS($AR11:$AU11,$AR$5:$AU$5,AF11)</f>
        <v>0</v>
      </c>
      <c r="AM11" s="252">
        <f>+AJ11-AK11</f>
        <v>7</v>
      </c>
      <c r="AN11" s="53">
        <f>+_xlfn.RANK.EQ(AF11,$AF$9:$AF$15)+_xlfn.RANK.EQ(AM11,$AM$9:$AM$15)/10+_xlfn.RANK.EQ(AJ11,$AJ$9:$AJ$15)/100+_xlfn.RANK.EQ(AL11,$AL$9:$AL$15)/1000+ROW()/1000000</f>
        <v>1.1120110000000001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305</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2</v>
      </c>
      <c r="I13" s="257" t="s">
        <v>41</v>
      </c>
      <c r="J13" s="258">
        <v>1</v>
      </c>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3</v>
      </c>
      <c r="T13" s="160">
        <f>+VLOOKUP($P13,$AD$9:$AK$15,4,0)</f>
        <v>1</v>
      </c>
      <c r="U13" s="160">
        <f>+VLOOKUP($P13,$AD$9:$AK$15,5,0)</f>
        <v>0</v>
      </c>
      <c r="V13" s="160">
        <f>+VLOOKUP($P13,$AD$9:$AK$15,6,0)</f>
        <v>1</v>
      </c>
      <c r="W13" s="161">
        <f>+VLOOKUP($P13,$AD$9:$AK$15,7,0)</f>
        <v>3</v>
      </c>
      <c r="X13" s="161">
        <f>+VLOOKUP($P13,$AD$9:$AK$15,8,0)</f>
        <v>4</v>
      </c>
      <c r="Y13" s="161">
        <f>+W13-X13</f>
        <v>-1</v>
      </c>
      <c r="Z13" s="60"/>
      <c r="AA13" s="57"/>
      <c r="AB13" s="53"/>
      <c r="AC13" s="53">
        <v>3</v>
      </c>
      <c r="AD13" s="251" t="str">
        <f>+VLOOKUP($AD$5&amp;AC13,Aux!S:T,2,0)</f>
        <v>Panamá</v>
      </c>
      <c r="AE13" s="53">
        <f t="shared" ref="AE13" si="3">+AG13+AH13+AI13</f>
        <v>2</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1</v>
      </c>
      <c r="AJ13" s="53" cm="1">
        <f t="array" ref="AJ13">SUM(($G$9:$G$22=$AD13)*($H$9:$H$22)+($K$9:$K$22=$AD13)*($J$9:$J$22))</f>
        <v>3</v>
      </c>
      <c r="AK13" s="53" cm="1">
        <f t="array" ref="AK13">SUM(($G$9:$G$22=$AD13)*($J$9:$J$22)+($K$9:$K$22=$AD13)*($H$9:$H$22))</f>
        <v>4</v>
      </c>
      <c r="AL13" s="252">
        <f>+SUMIFS($AR13:$AU13,$AR$5:$AU$5,AF13)</f>
        <v>301</v>
      </c>
      <c r="AM13" s="252">
        <f>+AJ13-AK13</f>
        <v>-1</v>
      </c>
      <c r="AN13" s="53">
        <f>+_xlfn.RANK.EQ(AF13,$AF$9:$AF$15)+_xlfn.RANK.EQ(AM13,$AM$9:$AM$15)/10+_xlfn.RANK.EQ(AJ13,$AJ$9:$AJ$15)/100+_xlfn.RANK.EQ(AL13,$AL$9:$AL$15)/1000+ROW()/1000000</f>
        <v>2.3210129999999998</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5</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2</v>
      </c>
      <c r="W15" s="161">
        <f>+VLOOKUP($P15,$AD$9:$AK$15,7,0)</f>
        <v>0</v>
      </c>
      <c r="X15" s="161">
        <f>+VLOOKUP($P15,$AD$9:$AK$15,8,0)</f>
        <v>7</v>
      </c>
      <c r="Y15" s="161">
        <f>+W15-X15</f>
        <v>-7</v>
      </c>
      <c r="Z15" s="60"/>
      <c r="AA15" s="59"/>
      <c r="AB15" s="245"/>
      <c r="AC15" s="53">
        <v>4</v>
      </c>
      <c r="AD15" s="251" t="str">
        <f>+VLOOKUP($AD$5&amp;AC15,Aux!S:T,2,0)</f>
        <v>Bolivia</v>
      </c>
      <c r="AE15" s="53">
        <f t="shared" ref="AE15" si="6">+AG15+AH15+AI15</f>
        <v>2</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2</v>
      </c>
      <c r="AJ15" s="53" cm="1">
        <f t="array" ref="AJ15">SUM(($G$9:$G$22=$AD15)*($H$9:$H$22)+($K$9:$K$22=$AD15)*($J$9:$J$22))</f>
        <v>0</v>
      </c>
      <c r="AK15" s="53" cm="1">
        <f t="array" ref="AK15">SUM(($G$9:$G$22=$AD15)*($J$9:$J$22)+($K$9:$K$22=$AD15)*($H$9:$H$22))</f>
        <v>7</v>
      </c>
      <c r="AL15" s="252">
        <f>+SUMIFS($AR15:$AU15,$AR$5:$AU$5,AF15)</f>
        <v>0</v>
      </c>
      <c r="AM15" s="252">
        <f>+AJ15-AK15</f>
        <v>-7</v>
      </c>
      <c r="AN15" s="53">
        <f>+_xlfn.RANK.EQ(AF15,$AF$9:$AF$15)+_xlfn.RANK.EQ(AM15,$AM$9:$AM$15)/10+_xlfn.RANK.EQ(AJ15,$AJ$9:$AJ$15)/100+_xlfn.RANK.EQ(AL15,$AL$9:$AL$15)/1000+ROW()/1000000</f>
        <v>4.4420150000000005</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-5</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J15" sqref="J1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4</v>
      </c>
      <c r="AS5" s="245">
        <f>+VLOOKUP(AS7,$AD$9:$AF$15,3,0)</f>
        <v>6</v>
      </c>
      <c r="AT5" s="245">
        <f>+VLOOKUP(AT7,$AD$9:$AF$15,3,0)</f>
        <v>0</v>
      </c>
      <c r="AU5" s="245">
        <f>+VLOOKUP(AU7,$AD$9:$AF$15,3,0)</f>
        <v>1</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6</v>
      </c>
      <c r="T9" s="160">
        <f>+VLOOKUP($P9,$AD$9:$AK$15,4,0)</f>
        <v>2</v>
      </c>
      <c r="U9" s="160">
        <f>+VLOOKUP($P9,$AD$9:$AK$15,5,0)</f>
        <v>0</v>
      </c>
      <c r="V9" s="160">
        <f>+VLOOKUP($P9,$AD$9:$AK$15,6,0)</f>
        <v>0</v>
      </c>
      <c r="W9" s="161">
        <f>+VLOOKUP($P9,$AD$9:$AK$15,7,0)</f>
        <v>5</v>
      </c>
      <c r="X9" s="161">
        <f>+VLOOKUP($P9,$AD$9:$AK$15,8,0)</f>
        <v>1</v>
      </c>
      <c r="Y9" s="161">
        <f>+W9-X9</f>
        <v>4</v>
      </c>
      <c r="Z9" s="60"/>
      <c r="AA9" s="57"/>
      <c r="AB9" s="53"/>
      <c r="AC9" s="53">
        <v>1</v>
      </c>
      <c r="AD9" s="251" t="str">
        <f>+VLOOKUP($AD$5&amp;AC9,Aux!S:T,2,0)</f>
        <v>Brasil</v>
      </c>
      <c r="AE9" s="53">
        <f>+AG9+AH9+AI9</f>
        <v>2</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0</v>
      </c>
      <c r="AJ9" s="53" cm="1">
        <f t="array" ref="AJ9">SUM(($G$9:$G$22=$AD9)*($H$9:$H$22)+($K$9:$K$22=$AD9)*($J$9:$J$22))</f>
        <v>4</v>
      </c>
      <c r="AK9" s="53" cm="1">
        <f t="array" ref="AK9">SUM(($G$9:$G$22=$AD9)*($J$9:$J$22)+($K$9:$K$22=$AD9)*($H$9:$H$22))</f>
        <v>1</v>
      </c>
      <c r="AL9" s="252">
        <f>+SUMIFS($AR9:$AU9,$AR$5:$AU$5,AF9)</f>
        <v>0</v>
      </c>
      <c r="AM9" s="252">
        <f>+AJ9-AK9</f>
        <v>3</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303</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4</v>
      </c>
      <c r="T11" s="160">
        <f>+VLOOKUP($P11,$AD$9:$AK$15,4,0)</f>
        <v>1</v>
      </c>
      <c r="U11" s="160">
        <f>+VLOOKUP($P11,$AD$9:$AK$15,5,0)</f>
        <v>1</v>
      </c>
      <c r="V11" s="160">
        <f>+VLOOKUP($P11,$AD$9:$AK$15,6,0)</f>
        <v>0</v>
      </c>
      <c r="W11" s="161">
        <f>+VLOOKUP($P11,$AD$9:$AK$15,7,0)</f>
        <v>4</v>
      </c>
      <c r="X11" s="161">
        <f>+VLOOKUP($P11,$AD$9:$AK$15,8,0)</f>
        <v>1</v>
      </c>
      <c r="Y11" s="161">
        <f>+W11-X11</f>
        <v>3</v>
      </c>
      <c r="Z11" s="60"/>
      <c r="AA11" s="59"/>
      <c r="AB11" s="245"/>
      <c r="AC11" s="53">
        <v>2</v>
      </c>
      <c r="AD11" s="251" t="str">
        <f>+VLOOKUP($AD$5&amp;AC11,Aux!S:T,2,0)</f>
        <v>Colombia</v>
      </c>
      <c r="AE11" s="53">
        <f t="shared" ref="AE11" si="0">+AG11+AH11+AI11</f>
        <v>2</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0</v>
      </c>
      <c r="AJ11" s="53" cm="1">
        <f t="array" ref="AJ11">SUM(($G$9:$G$22=$AD11)*($H$9:$H$22)+($K$9:$K$22=$AD11)*($J$9:$J$22))</f>
        <v>5</v>
      </c>
      <c r="AK11" s="53" cm="1">
        <f t="array" ref="AK11">SUM(($G$9:$G$22=$AD11)*($J$9:$J$22)+($K$9:$K$22=$AD11)*($H$9:$H$22))</f>
        <v>1</v>
      </c>
      <c r="AL11" s="252">
        <f>+SUMIFS($AR11:$AU11,$AR$5:$AU$5,AF11)</f>
        <v>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3</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1</v>
      </c>
      <c r="T13" s="160">
        <f>+VLOOKUP($P13,$AD$9:$AK$15,4,0)</f>
        <v>0</v>
      </c>
      <c r="U13" s="160">
        <f>+VLOOKUP($P13,$AD$9:$AK$15,5,0)</f>
        <v>1</v>
      </c>
      <c r="V13" s="160">
        <f>+VLOOKUP($P13,$AD$9:$AK$15,6,0)</f>
        <v>1</v>
      </c>
      <c r="W13" s="161">
        <f>+VLOOKUP($P13,$AD$9:$AK$15,7,0)</f>
        <v>0</v>
      </c>
      <c r="X13" s="161">
        <f>+VLOOKUP($P13,$AD$9:$AK$15,8,0)</f>
        <v>3</v>
      </c>
      <c r="Y13" s="161">
        <f>+W13-X13</f>
        <v>-3</v>
      </c>
      <c r="Z13" s="60"/>
      <c r="AA13" s="57"/>
      <c r="AB13" s="53"/>
      <c r="AC13" s="53">
        <v>3</v>
      </c>
      <c r="AD13" s="251" t="str">
        <f>+VLOOKUP($AD$5&amp;AC13,Aux!S:T,2,0)</f>
        <v>Paraguay</v>
      </c>
      <c r="AE13" s="53">
        <f t="shared" ref="AE13" si="3">+AG13+AH13+AI13</f>
        <v>2</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2</v>
      </c>
      <c r="AJ13" s="53" cm="1">
        <f t="array" ref="AJ13">SUM(($G$9:$G$22=$AD13)*($H$9:$H$22)+($K$9:$K$22=$AD13)*($J$9:$J$22))</f>
        <v>2</v>
      </c>
      <c r="AK13" s="53" cm="1">
        <f t="array" ref="AK13">SUM(($G$9:$G$22=$AD13)*($J$9:$J$22)+($K$9:$K$22=$AD13)*($H$9:$H$22))</f>
        <v>6</v>
      </c>
      <c r="AL13" s="252">
        <f>+SUMIFS($AR13:$AU13,$AR$5:$AU$5,AF13)</f>
        <v>0</v>
      </c>
      <c r="AM13" s="252">
        <f>+AJ13-AK13</f>
        <v>-4</v>
      </c>
      <c r="AN13" s="53">
        <f>+_xlfn.RANK.EQ(AF13,$AF$9:$AF$15)+_xlfn.RANK.EQ(AM13,$AM$9:$AM$15)/10+_xlfn.RANK.EQ(AJ13,$AJ$9:$AJ$15)/100+_xlfn.RANK.EQ(AL13,$AL$9:$AL$15)/1000+ROW()/1000000</f>
        <v>4.431013000000001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4</v>
      </c>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2</v>
      </c>
      <c r="W15" s="161">
        <f>+VLOOKUP($P15,$AD$9:$AK$15,7,0)</f>
        <v>2</v>
      </c>
      <c r="X15" s="161">
        <f>+VLOOKUP($P15,$AD$9:$AK$15,8,0)</f>
        <v>6</v>
      </c>
      <c r="Y15" s="161">
        <f>+W15-X15</f>
        <v>-4</v>
      </c>
      <c r="Z15" s="60"/>
      <c r="AA15" s="59"/>
      <c r="AB15" s="245"/>
      <c r="AC15" s="53">
        <v>4</v>
      </c>
      <c r="AD15" s="251" t="str">
        <f>+VLOOKUP($AD$5&amp;AC15,Aux!S:T,2,0)</f>
        <v>Costa Rica</v>
      </c>
      <c r="AE15" s="53">
        <f t="shared" ref="AE15" si="6">+AG15+AH15+AI15</f>
        <v>2</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1</v>
      </c>
      <c r="AJ15" s="53" cm="1">
        <f t="array" ref="AJ15">SUM(($G$9:$G$22=$AD15)*($H$9:$H$22)+($K$9:$K$22=$AD15)*($J$9:$J$22))</f>
        <v>0</v>
      </c>
      <c r="AK15" s="53" cm="1">
        <f t="array" ref="AK15">SUM(($G$9:$G$22=$AD15)*($J$9:$J$22)+($K$9:$K$22=$AD15)*($H$9:$H$22))</f>
        <v>3</v>
      </c>
      <c r="AL15" s="252">
        <f>+SUMIFS($AR15:$AU15,$AR$5:$AU$5,AF15)</f>
        <v>0</v>
      </c>
      <c r="AM15" s="252">
        <f>+AJ15-AK15</f>
        <v>-3</v>
      </c>
      <c r="AN15" s="53">
        <f>+_xlfn.RANK.EQ(AF15,$AF$9:$AF$15)+_xlfn.RANK.EQ(AM15,$AM$9:$AM$15)/10+_xlfn.RANK.EQ(AJ15,$AJ$9:$AJ$15)/100+_xlfn.RANK.EQ(AL15,$AL$9:$AL$15)/1000+ROW()/1000000</f>
        <v>3.3410149999999996</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Ecuador</v>
      </c>
      <c r="O9" s="180" t="e" vm="5">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c r="K12" s="8" t="s">
        <v>41</v>
      </c>
      <c r="L12" s="16"/>
      <c r="M12" s="6"/>
      <c r="N12" s="17" t="str" cm="1">
        <f t="array" aca="1" ref="N12" ca="1">INDIRECT(RIGHT(B12,1)&amp;"!P"&amp;7+LEFT(B12,1)*2)</f>
        <v>Canadá</v>
      </c>
      <c r="O12" s="180" t="e" vm="2">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c r="K15" s="8" t="s">
        <v>41</v>
      </c>
      <c r="L15" s="16"/>
      <c r="M15" s="6"/>
      <c r="N15" s="17" t="str" cm="1">
        <f t="array" aca="1" ref="N15" ca="1">INDIRECT(RIGHT(B15,1)&amp;"!P"&amp;7+LEFT(B15,1)*2)</f>
        <v>Estados Unidos</v>
      </c>
      <c r="O15" s="180" t="e" vm="9">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c r="K18" s="8" t="s">
        <v>41</v>
      </c>
      <c r="L18" s="16"/>
      <c r="M18" s="6"/>
      <c r="N18" s="17" t="str" cm="1">
        <f t="array" aca="1" ref="N18" ca="1">INDIRECT(RIGHT(B18,1)&amp;"!P"&amp;7+LEFT(B18,1)*2)</f>
        <v>Brasil</v>
      </c>
      <c r="O18" s="180" t="e" vm="15">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1</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2</v>
      </c>
      <c r="O14" s="68">
        <f t="shared" ca="1" si="3"/>
        <v>1</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5</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3</v>
      </c>
      <c r="O16" s="68">
        <f t="shared" ca="1" si="3"/>
        <v>0</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4</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2</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0</v>
      </c>
      <c r="O19" s="68">
        <f t="shared" ca="1" si="3"/>
        <v>0</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opLeftCell="A3" zoomScaleNormal="100" workbookViewId="0">
      <selection activeCell="V10" sqref="V10"/>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Leiner</v>
      </c>
      <c r="E5" s="197">
        <f ca="1">+IF($D5=0,"",VLOOKUP($C5,$Q:$AB,COLUMNS($C$4:E4),0))</f>
        <v>50</v>
      </c>
      <c r="F5" s="198">
        <f ca="1">+IF($D5=0,"",VLOOKUP($C5,$Q:$AB,COLUMNS($C$4:F4),0))</f>
        <v>30</v>
      </c>
      <c r="G5" s="198">
        <f ca="1">+IF($D5=0,"",VLOOKUP($C5,$Q:$AB,COLUMNS($C$4:G4),0))</f>
        <v>15</v>
      </c>
      <c r="H5" s="198">
        <f ca="1">+IF($D5=0,"",VLOOKUP($C5,$Q:$AB,COLUMNS($C$4:H4),0))</f>
        <v>15</v>
      </c>
      <c r="I5" s="199">
        <f ca="1">+IF($D5=0,"",VLOOKUP($C5,$Q:$AB,COLUMNS($C$4:I4),0))</f>
        <v>110</v>
      </c>
      <c r="J5" s="127">
        <f ca="1">+IF($D5=0,"",VLOOKUP($C5,$Q:$AB,COLUMNS($C$4:J4),0))</f>
        <v>0</v>
      </c>
      <c r="K5" s="127">
        <f ca="1">+IF($D5=0,"",VLOOKUP($C5,$Q:$AB,COLUMNS($C$4:K4),0))</f>
        <v>0</v>
      </c>
      <c r="L5" s="127">
        <f ca="1">+IF($D5=0,"",VLOOKUP($C5,$Q:$AB,COLUMNS($C$4:L4),0))</f>
        <v>0</v>
      </c>
      <c r="M5" s="128">
        <f ca="1">+IF($D5=0,"",VLOOKUP($C5,$Q:$AB,COLUMNS($C$4:M4),0))</f>
        <v>0</v>
      </c>
      <c r="N5" s="129">
        <f ca="1">+IF($D5=0,"",VLOOKUP($C5,$Q:$AB,COLUMNS($C$4:N4),0))</f>
        <v>110.011</v>
      </c>
      <c r="P5" s="196">
        <f ca="1">IFERROR(M5-ROW()/10000,"")</f>
        <v>-5.0000000000000001E-4</v>
      </c>
      <c r="Q5" s="119">
        <f t="shared" ref="Q5:Q26" ca="1" si="0">+_xlfn.RANK.EQ(AB5,$AB$5:$AB$26)</f>
        <v>9</v>
      </c>
      <c r="R5" s="126" t="str">
        <f>Resultado!B7</f>
        <v>Carlos Hurtado</v>
      </c>
      <c r="S5" s="120">
        <f ca="1">+SUMIFS(Resultado!7:7,Resultado!$1:$1,ClasificaciónPorra!S$4)</f>
        <v>35</v>
      </c>
      <c r="T5" s="120">
        <f ca="1">+SUMIFS(Resultado!7:7,Resultado!$1:$1,ClasificaciónPorra!T$4)</f>
        <v>15</v>
      </c>
      <c r="U5" s="120">
        <f ca="1">+SUMIFS(Resultado!7:7,Resultado!$1:$1,ClasificaciónPorra!U$4)</f>
        <v>20</v>
      </c>
      <c r="V5" s="120">
        <f ca="1">+SUMIFS(Resultado!7:7,Resultado!$1:$1,ClasificaciónPorra!V$4)</f>
        <v>10</v>
      </c>
      <c r="W5" s="120">
        <f t="shared" ref="W5:W26" ca="1" si="1">+SUM(S5:V5)</f>
        <v>80</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80.004999999999995</v>
      </c>
    </row>
    <row r="6" spans="3:28" ht="13.5" customHeight="1" x14ac:dyDescent="0.25">
      <c r="C6" s="150">
        <f t="shared" ref="C6:C26" si="4">+C5+1</f>
        <v>2</v>
      </c>
      <c r="D6" s="151" t="str">
        <f ca="1">+VLOOKUP($C6,$Q:$AB,COLUMNS($C$4:D5),0)</f>
        <v xml:space="preserve">Luis Rondón </v>
      </c>
      <c r="E6" s="197">
        <f ca="1">+IF($D6=0,"",VLOOKUP($C6,$Q:$AB,COLUMNS($C$4:E5),0))</f>
        <v>30</v>
      </c>
      <c r="F6" s="198">
        <f ca="1">+IF($D6=0,"",VLOOKUP($C6,$Q:$AB,COLUMNS($C$4:F5),0))</f>
        <v>30</v>
      </c>
      <c r="G6" s="198">
        <f ca="1">+IF($D6=0,"",VLOOKUP($C6,$Q:$AB,COLUMNS($C$4:G5),0))</f>
        <v>25</v>
      </c>
      <c r="H6" s="198">
        <f ca="1">+IF($D6=0,"",VLOOKUP($C6,$Q:$AB,COLUMNS($C$4:H5),0))</f>
        <v>15</v>
      </c>
      <c r="I6" s="200">
        <f ca="1">+IF($D6=0,"",VLOOKUP($C6,$Q:$AB,COLUMNS($C$4:I5),0))</f>
        <v>100</v>
      </c>
      <c r="J6" s="127">
        <f ca="1">+IF($D6=0,"",VLOOKUP($C6,$Q:$AB,COLUMNS($C$4:J5),0))</f>
        <v>0</v>
      </c>
      <c r="K6" s="127">
        <f ca="1">+IF($D6=0,"",VLOOKUP($C6,$Q:$AB,COLUMNS($C$4:K5),0))</f>
        <v>0</v>
      </c>
      <c r="L6" s="127">
        <f ca="1">+IF($D6=0,"",VLOOKUP($C6,$Q:$AB,COLUMNS($C$4:L5),0))</f>
        <v>0</v>
      </c>
      <c r="M6" s="128">
        <f ca="1">+IF($D6=0,"",VLOOKUP($C6,$Q:$AB,COLUMNS($C$4:M5),0))</f>
        <v>0</v>
      </c>
      <c r="N6" s="129">
        <f ca="1">+IF($D6=0,"",VLOOKUP($C6,$Q:$AB,COLUMNS($C$4:N5),0))</f>
        <v>100.012</v>
      </c>
      <c r="P6" s="196">
        <f t="shared" ref="P6:P26" ca="1" si="5">IFERROR(M6-ROW()/10000,"")</f>
        <v>-5.9999999999999995E-4</v>
      </c>
      <c r="Q6" s="119">
        <f t="shared" ca="1" si="0"/>
        <v>8</v>
      </c>
      <c r="R6" s="126" t="str">
        <f>Resultado!B8</f>
        <v>Cazaputas69</v>
      </c>
      <c r="S6" s="120">
        <f ca="1">+SUMIFS(Resultado!8:8,Resultado!$1:$1,ClasificaciónPorra!S$4)</f>
        <v>40</v>
      </c>
      <c r="T6" s="120">
        <f ca="1">+SUMIFS(Resultado!8:8,Resultado!$1:$1,ClasificaciónPorra!T$4)</f>
        <v>10</v>
      </c>
      <c r="U6" s="120">
        <f ca="1">+SUMIFS(Resultado!8:8,Resultado!$1:$1,ClasificaciónPorra!U$4)</f>
        <v>20</v>
      </c>
      <c r="V6" s="120">
        <f ca="1">+SUMIFS(Resultado!8:8,Resultado!$1:$1,ClasificaciónPorra!V$4)</f>
        <v>15</v>
      </c>
      <c r="W6" s="120">
        <f t="shared" ca="1" si="1"/>
        <v>85</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85.006</v>
      </c>
    </row>
    <row r="7" spans="3:28" x14ac:dyDescent="0.25">
      <c r="C7" s="150">
        <f t="shared" si="4"/>
        <v>3</v>
      </c>
      <c r="D7" s="151" t="str">
        <f ca="1">+VLOOKUP($C7,$Q:$AB,COLUMNS($C$4:D6),0)</f>
        <v>YUTA</v>
      </c>
      <c r="E7" s="197">
        <f ca="1">+IF($D7=0,"",VLOOKUP($C7,$Q:$AB,COLUMNS($C$4:E6),0))</f>
        <v>45</v>
      </c>
      <c r="F7" s="198">
        <f ca="1">+IF($D7=0,"",VLOOKUP($C7,$Q:$AB,COLUMNS($C$4:F6),0))</f>
        <v>25</v>
      </c>
      <c r="G7" s="198">
        <f ca="1">+IF($D7=0,"",VLOOKUP($C7,$Q:$AB,COLUMNS($C$4:G6),0))</f>
        <v>15</v>
      </c>
      <c r="H7" s="198">
        <f ca="1">+IF($D7=0,"",VLOOKUP($C7,$Q:$AB,COLUMNS($C$4:H6),0))</f>
        <v>15</v>
      </c>
      <c r="I7" s="200">
        <f ca="1">+IF($D7=0,"",VLOOKUP($C7,$Q:$AB,COLUMNS($C$4:I6),0))</f>
        <v>100</v>
      </c>
      <c r="J7" s="127">
        <f ca="1">+IF($D7=0,"",VLOOKUP($C7,$Q:$AB,COLUMNS($C$4:J6),0))</f>
        <v>0</v>
      </c>
      <c r="K7" s="127">
        <f ca="1">+IF($D7=0,"",VLOOKUP($C7,$Q:$AB,COLUMNS($C$4:K6),0))</f>
        <v>0</v>
      </c>
      <c r="L7" s="127">
        <f ca="1">+IF($D7=0,"",VLOOKUP($C7,$Q:$AB,COLUMNS($C$4:L6),0))</f>
        <v>0</v>
      </c>
      <c r="M7" s="128">
        <f ca="1">+IF($D7=0,"",VLOOKUP($C7,$Q:$AB,COLUMNS($C$4:M6),0))</f>
        <v>0</v>
      </c>
      <c r="N7" s="129">
        <f ca="1">+IF($D7=0,"",VLOOKUP($C7,$Q:$AB,COLUMNS($C$4:N6),0))</f>
        <v>100.009</v>
      </c>
      <c r="P7" s="196">
        <f t="shared" ca="1" si="5"/>
        <v>-6.9999999999999999E-4</v>
      </c>
      <c r="Q7" s="119">
        <f t="shared" ca="1" si="0"/>
        <v>4</v>
      </c>
      <c r="R7" s="126" t="str">
        <f>Resultado!B9</f>
        <v xml:space="preserve">  German Rodriguez</v>
      </c>
      <c r="S7" s="120">
        <f ca="1">+SUMIFS(Resultado!9:9,Resultado!$1:$1,ClasificaciónPorra!S$4)</f>
        <v>45</v>
      </c>
      <c r="T7" s="120">
        <f ca="1">+SUMIFS(Resultado!9:9,Resultado!$1:$1,ClasificaciónPorra!T$4)</f>
        <v>15</v>
      </c>
      <c r="U7" s="120">
        <f ca="1">+SUMIFS(Resultado!9:9,Resultado!$1:$1,ClasificaciónPorra!U$4)</f>
        <v>15</v>
      </c>
      <c r="V7" s="120">
        <f ca="1">+SUMIFS(Resultado!9:9,Resultado!$1:$1,ClasificaciónPorra!V$4)</f>
        <v>25</v>
      </c>
      <c r="W7" s="120">
        <f t="shared" ca="1" si="1"/>
        <v>100</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100.00700000000001</v>
      </c>
    </row>
    <row r="8" spans="3:28" x14ac:dyDescent="0.25">
      <c r="C8" s="150">
        <f t="shared" si="4"/>
        <v>4</v>
      </c>
      <c r="D8" s="152" t="str">
        <f ca="1">+VLOOKUP($C8,$Q:$AB,COLUMNS($C$4:D7),0)</f>
        <v xml:space="preserve">  German Rodriguez</v>
      </c>
      <c r="E8" s="201">
        <f ca="1">+IF($D8=0,"",VLOOKUP($C8,$Q:$AB,COLUMNS($C$4:E7),0))</f>
        <v>45</v>
      </c>
      <c r="F8" s="202">
        <f ca="1">+IF($D8=0,"",VLOOKUP($C8,$Q:$AB,COLUMNS($C$4:F7),0))</f>
        <v>15</v>
      </c>
      <c r="G8" s="202">
        <f ca="1">+IF($D8=0,"",VLOOKUP($C8,$Q:$AB,COLUMNS($C$4:G7),0))</f>
        <v>15</v>
      </c>
      <c r="H8" s="202">
        <f ca="1">+IF($D8=0,"",VLOOKUP($C8,$Q:$AB,COLUMNS($C$4:H7),0))</f>
        <v>25</v>
      </c>
      <c r="I8" s="203">
        <f ca="1">+IF($D8=0,"",VLOOKUP($C8,$Q:$AB,COLUMNS($C$4:I7),0))</f>
        <v>100</v>
      </c>
      <c r="J8" s="130">
        <f ca="1">+IF($D8=0,"",VLOOKUP($C8,$Q:$AB,COLUMNS($C$4:J7),0))</f>
        <v>0</v>
      </c>
      <c r="K8" s="130">
        <f ca="1">+IF($D8=0,"",VLOOKUP($C8,$Q:$AB,COLUMNS($C$4:K7),0))</f>
        <v>0</v>
      </c>
      <c r="L8" s="130">
        <f ca="1">+IF($D8=0,"",VLOOKUP($C8,$Q:$AB,COLUMNS($C$4:L7),0))</f>
        <v>0</v>
      </c>
      <c r="M8" s="131">
        <f ca="1">+IF($D8=0,"",VLOOKUP($C8,$Q:$AB,COLUMNS($C$4:M7),0))</f>
        <v>0</v>
      </c>
      <c r="N8" s="132">
        <f ca="1">+IF($D8=0,"",VLOOKUP($C8,$Q:$AB,COLUMNS($C$4:N7),0))</f>
        <v>100.00700000000001</v>
      </c>
      <c r="P8" s="196">
        <f t="shared" ca="1" si="5"/>
        <v>-8.0000000000000004E-4</v>
      </c>
      <c r="Q8" s="119">
        <f t="shared" ca="1" si="0"/>
        <v>7</v>
      </c>
      <c r="R8" s="126" t="str">
        <f>Resultado!B10</f>
        <v>ISAAC BERMUDEZ</v>
      </c>
      <c r="S8" s="120">
        <f ca="1">+SUMIFS(Resultado!10:10,Resultado!$1:$1,ClasificaciónPorra!S$4)</f>
        <v>35</v>
      </c>
      <c r="T8" s="120">
        <f ca="1">+SUMIFS(Resultado!10:10,Resultado!$1:$1,ClasificaciónPorra!T$4)</f>
        <v>20</v>
      </c>
      <c r="U8" s="120">
        <f ca="1">+SUMIFS(Resultado!10:10,Resultado!$1:$1,ClasificaciónPorra!U$4)</f>
        <v>15</v>
      </c>
      <c r="V8" s="120">
        <f ca="1">+SUMIFS(Resultado!10:10,Resultado!$1:$1,ClasificaciónPorra!V$4)</f>
        <v>15</v>
      </c>
      <c r="W8" s="120">
        <f t="shared" ca="1" si="1"/>
        <v>85</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85.007999999999996</v>
      </c>
    </row>
    <row r="9" spans="3:28" x14ac:dyDescent="0.25">
      <c r="C9" s="150">
        <f t="shared" si="4"/>
        <v>5</v>
      </c>
      <c r="D9" s="153" t="str">
        <f ca="1">+VLOOKUP($C9,$Q:$AB,COLUMNS($C$4:D8),0)</f>
        <v>Moises</v>
      </c>
      <c r="E9" s="204">
        <f ca="1">+IF($D9=0,"",VLOOKUP($C9,$Q:$AB,COLUMNS($C$4:E8),0))</f>
        <v>35</v>
      </c>
      <c r="F9" s="205">
        <f ca="1">+IF($D9=0,"",VLOOKUP($C9,$Q:$AB,COLUMNS($C$4:F8),0))</f>
        <v>20</v>
      </c>
      <c r="G9" s="205">
        <f ca="1">+IF($D9=0,"",VLOOKUP($C9,$Q:$AB,COLUMNS($C$4:G8),0))</f>
        <v>15</v>
      </c>
      <c r="H9" s="205">
        <f ca="1">+IF($D9=0,"",VLOOKUP($C9,$Q:$AB,COLUMNS($C$4:H8),0))</f>
        <v>20</v>
      </c>
      <c r="I9" s="206">
        <f ca="1">+IF($D9=0,"",VLOOKUP($C9,$Q:$AB,COLUMNS($C$4:I8),0))</f>
        <v>90</v>
      </c>
      <c r="J9" s="133">
        <f ca="1">+IF($D9=0,"",VLOOKUP($C9,$Q:$AB,COLUMNS($C$4:J8),0))</f>
        <v>0</v>
      </c>
      <c r="K9" s="133">
        <f ca="1">+IF($D9=0,"",VLOOKUP($C9,$Q:$AB,COLUMNS($C$4:K8),0))</f>
        <v>0</v>
      </c>
      <c r="L9" s="133">
        <f ca="1">+IF($D9=0,"",VLOOKUP($C9,$Q:$AB,COLUMNS($C$4:L8),0))</f>
        <v>0</v>
      </c>
      <c r="M9" s="134">
        <f ca="1">+IF($D9=0,"",VLOOKUP($C9,$Q:$AB,COLUMNS($C$4:M8),0))</f>
        <v>0</v>
      </c>
      <c r="N9" s="135">
        <f ca="1">+IF($D9=0,"",VLOOKUP($C9,$Q:$AB,COLUMNS($C$4:N8),0))</f>
        <v>90.013000000000005</v>
      </c>
      <c r="P9" s="196">
        <f t="shared" ca="1" si="5"/>
        <v>-8.9999999999999998E-4</v>
      </c>
      <c r="Q9" s="119">
        <f t="shared" ca="1" si="0"/>
        <v>3</v>
      </c>
      <c r="R9" s="126" t="str">
        <f>Resultado!B11</f>
        <v>YUTA</v>
      </c>
      <c r="S9" s="120">
        <f ca="1">+SUMIFS(Resultado!11:11,Resultado!$1:$1,ClasificaciónPorra!S$4)</f>
        <v>45</v>
      </c>
      <c r="T9" s="120">
        <f ca="1">+SUMIFS(Resultado!11:11,Resultado!$1:$1,ClasificaciónPorra!T$4)</f>
        <v>25</v>
      </c>
      <c r="U9" s="120">
        <f ca="1">+SUMIFS(Resultado!11:11,Resultado!$1:$1,ClasificaciónPorra!U$4)</f>
        <v>15</v>
      </c>
      <c r="V9" s="120">
        <f ca="1">+SUMIFS(Resultado!11:11,Resultado!$1:$1,ClasificaciónPorra!V$4)</f>
        <v>15</v>
      </c>
      <c r="W9" s="120">
        <f t="shared" ca="1" si="1"/>
        <v>100</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100.009</v>
      </c>
    </row>
    <row r="10" spans="3:28" x14ac:dyDescent="0.25">
      <c r="C10" s="150">
        <f t="shared" si="4"/>
        <v>6</v>
      </c>
      <c r="D10" s="151" t="str">
        <f ca="1">+VLOOKUP($C10,$Q:$AB,COLUMNS($C$4:D9),0)</f>
        <v>Juan Diego De Abreu</v>
      </c>
      <c r="E10" s="197">
        <f ca="1">+IF($D10=0,"",VLOOKUP($C10,$Q:$AB,COLUMNS($C$4:E9),0))</f>
        <v>55</v>
      </c>
      <c r="F10" s="198">
        <f ca="1">+IF($D10=0,"",VLOOKUP($C10,$Q:$AB,COLUMNS($C$4:F9),0))</f>
        <v>5</v>
      </c>
      <c r="G10" s="198">
        <f ca="1">+IF($D10=0,"",VLOOKUP($C10,$Q:$AB,COLUMNS($C$4:G9),0))</f>
        <v>20</v>
      </c>
      <c r="H10" s="198">
        <f ca="1">+IF($D10=0,"",VLOOKUP($C10,$Q:$AB,COLUMNS($C$4:H9),0))</f>
        <v>10</v>
      </c>
      <c r="I10" s="200">
        <f ca="1">+IF($D10=0,"",VLOOKUP($C10,$Q:$AB,COLUMNS($C$4:I9),0))</f>
        <v>90</v>
      </c>
      <c r="J10" s="127">
        <f ca="1">+IF($D10=0,"",VLOOKUP($C10,$Q:$AB,COLUMNS($C$4:J9),0))</f>
        <v>0</v>
      </c>
      <c r="K10" s="127">
        <f ca="1">+IF($D10=0,"",VLOOKUP($C10,$Q:$AB,COLUMNS($C$4:K9),0))</f>
        <v>0</v>
      </c>
      <c r="L10" s="127">
        <f ca="1">+IF($D10=0,"",VLOOKUP($C10,$Q:$AB,COLUMNS($C$4:L9),0))</f>
        <v>0</v>
      </c>
      <c r="M10" s="128">
        <f ca="1">+IF($D10=0,"",VLOOKUP($C10,$Q:$AB,COLUMNS($C$4:M9),0))</f>
        <v>0</v>
      </c>
      <c r="N10" s="129">
        <f ca="1">+IF($D10=0,"",VLOOKUP($C10,$Q:$AB,COLUMNS($C$4:N9),0))</f>
        <v>90.01</v>
      </c>
      <c r="P10" s="196">
        <f t="shared" ca="1" si="5"/>
        <v>-1E-3</v>
      </c>
      <c r="Q10" s="119">
        <f t="shared" ca="1" si="0"/>
        <v>6</v>
      </c>
      <c r="R10" s="126" t="str">
        <f>Resultado!B12</f>
        <v>Juan Diego De Abreu</v>
      </c>
      <c r="S10" s="120">
        <f ca="1">+SUMIFS(Resultado!12:12,Resultado!$1:$1,ClasificaciónPorra!S$4)</f>
        <v>55</v>
      </c>
      <c r="T10" s="120">
        <f ca="1">+SUMIFS(Resultado!12:12,Resultado!$1:$1,ClasificaciónPorra!T$4)</f>
        <v>5</v>
      </c>
      <c r="U10" s="120">
        <f ca="1">+SUMIFS(Resultado!12:12,Resultado!$1:$1,ClasificaciónPorra!U$4)</f>
        <v>20</v>
      </c>
      <c r="V10" s="120">
        <f ca="1">+SUMIFS(Resultado!12:12,Resultado!$1:$1,ClasificaciónPorra!V$4)</f>
        <v>10</v>
      </c>
      <c r="W10" s="120">
        <f t="shared" ca="1" si="1"/>
        <v>90</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90.01</v>
      </c>
    </row>
    <row r="11" spans="3:28" x14ac:dyDescent="0.25">
      <c r="C11" s="150">
        <f t="shared" si="4"/>
        <v>7</v>
      </c>
      <c r="D11" s="151" t="str">
        <f ca="1">+VLOOKUP($C11,$Q:$AB,COLUMNS($C$4:D10),0)</f>
        <v>ISAAC BERMUDEZ</v>
      </c>
      <c r="E11" s="197">
        <f ca="1">+IF($D11=0,"",VLOOKUP($C11,$Q:$AB,COLUMNS($C$4:E10),0))</f>
        <v>35</v>
      </c>
      <c r="F11" s="198">
        <f ca="1">+IF($D11=0,"",VLOOKUP($C11,$Q:$AB,COLUMNS($C$4:F10),0))</f>
        <v>20</v>
      </c>
      <c r="G11" s="198">
        <f ca="1">+IF($D11=0,"",VLOOKUP($C11,$Q:$AB,COLUMNS($C$4:G10),0))</f>
        <v>15</v>
      </c>
      <c r="H11" s="198">
        <f ca="1">+IF($D11=0,"",VLOOKUP($C11,$Q:$AB,COLUMNS($C$4:H10),0))</f>
        <v>15</v>
      </c>
      <c r="I11" s="200">
        <f ca="1">+IF($D11=0,"",VLOOKUP($C11,$Q:$AB,COLUMNS($C$4:I10),0))</f>
        <v>85</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85.007999999999996</v>
      </c>
      <c r="P11" s="196">
        <f t="shared" ca="1" si="5"/>
        <v>-1.1000000000000001E-3</v>
      </c>
      <c r="Q11" s="119">
        <f t="shared" ca="1" si="0"/>
        <v>1</v>
      </c>
      <c r="R11" s="126" t="str">
        <f>Resultado!B13</f>
        <v>Leiner</v>
      </c>
      <c r="S11" s="120">
        <f ca="1">+SUMIFS(Resultado!13:13,Resultado!$1:$1,ClasificaciónPorra!S$4)</f>
        <v>50</v>
      </c>
      <c r="T11" s="120">
        <f ca="1">+SUMIFS(Resultado!13:13,Resultado!$1:$1,ClasificaciónPorra!T$4)</f>
        <v>30</v>
      </c>
      <c r="U11" s="120">
        <f ca="1">+SUMIFS(Resultado!13:13,Resultado!$1:$1,ClasificaciónPorra!U$4)</f>
        <v>15</v>
      </c>
      <c r="V11" s="120">
        <f ca="1">+SUMIFS(Resultado!13:13,Resultado!$1:$1,ClasificaciónPorra!V$4)</f>
        <v>15</v>
      </c>
      <c r="W11" s="120">
        <f t="shared" ca="1" si="1"/>
        <v>110</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110.011</v>
      </c>
    </row>
    <row r="12" spans="3:28" x14ac:dyDescent="0.25">
      <c r="C12" s="150">
        <f t="shared" si="4"/>
        <v>8</v>
      </c>
      <c r="D12" s="151" t="str">
        <f ca="1">+VLOOKUP($C12,$Q:$AB,COLUMNS($C$4:D11),0)</f>
        <v>Cazaputas69</v>
      </c>
      <c r="E12" s="197">
        <f ca="1">+IF($D12=0,"",VLOOKUP($C12,$Q:$AB,COLUMNS($C$4:E11),0))</f>
        <v>40</v>
      </c>
      <c r="F12" s="198">
        <f ca="1">+IF($D12=0,"",VLOOKUP($C12,$Q:$AB,COLUMNS($C$4:F11),0))</f>
        <v>10</v>
      </c>
      <c r="G12" s="198">
        <f ca="1">+IF($D12=0,"",VLOOKUP($C12,$Q:$AB,COLUMNS($C$4:G11),0))</f>
        <v>20</v>
      </c>
      <c r="H12" s="198">
        <f ca="1">+IF($D12=0,"",VLOOKUP($C12,$Q:$AB,COLUMNS($C$4:H11),0))</f>
        <v>15</v>
      </c>
      <c r="I12" s="200">
        <f ca="1">+IF($D12=0,"",VLOOKUP($C12,$Q:$AB,COLUMNS($C$4:I11),0))</f>
        <v>85</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85.006</v>
      </c>
      <c r="P12" s="196">
        <f t="shared" ca="1" si="5"/>
        <v>-1.1999999999999999E-3</v>
      </c>
      <c r="Q12" s="119">
        <f t="shared" ca="1" si="0"/>
        <v>2</v>
      </c>
      <c r="R12" s="126" t="str">
        <f>Resultado!B14</f>
        <v xml:space="preserve">Luis Rondón </v>
      </c>
      <c r="S12" s="120">
        <f ca="1">+SUMIFS(Resultado!14:14,Resultado!$1:$1,ClasificaciónPorra!S$4)</f>
        <v>30</v>
      </c>
      <c r="T12" s="120">
        <f ca="1">+SUMIFS(Resultado!14:14,Resultado!$1:$1,ClasificaciónPorra!T$4)</f>
        <v>30</v>
      </c>
      <c r="U12" s="120">
        <f ca="1">+SUMIFS(Resultado!14:14,Resultado!$1:$1,ClasificaciónPorra!U$4)</f>
        <v>25</v>
      </c>
      <c r="V12" s="120">
        <f ca="1">+SUMIFS(Resultado!14:14,Resultado!$1:$1,ClasificaciónPorra!V$4)</f>
        <v>15</v>
      </c>
      <c r="W12" s="120">
        <f t="shared" ca="1" si="1"/>
        <v>100</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100.012</v>
      </c>
    </row>
    <row r="13" spans="3:28" x14ac:dyDescent="0.25">
      <c r="C13" s="150">
        <f t="shared" si="4"/>
        <v>9</v>
      </c>
      <c r="D13" s="152" t="str">
        <f ca="1">+VLOOKUP($C13,$Q:$AB,COLUMNS($C$4:D12),0)</f>
        <v>Carlos Hurtado</v>
      </c>
      <c r="E13" s="201">
        <f ca="1">+IF($D13=0,"",VLOOKUP($C13,$Q:$AB,COLUMNS($C$4:E12),0))</f>
        <v>35</v>
      </c>
      <c r="F13" s="202">
        <f ca="1">+IF($D13=0,"",VLOOKUP($C13,$Q:$AB,COLUMNS($C$4:F12),0))</f>
        <v>15</v>
      </c>
      <c r="G13" s="202">
        <f ca="1">+IF($D13=0,"",VLOOKUP($C13,$Q:$AB,COLUMNS($C$4:G12),0))</f>
        <v>20</v>
      </c>
      <c r="H13" s="202">
        <f ca="1">+IF($D13=0,"",VLOOKUP($C13,$Q:$AB,COLUMNS($C$4:H12),0))</f>
        <v>10</v>
      </c>
      <c r="I13" s="203">
        <f ca="1">+IF($D13=0,"",VLOOKUP($C13,$Q:$AB,COLUMNS($C$4:I12),0))</f>
        <v>80</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80.004999999999995</v>
      </c>
      <c r="P13" s="196">
        <f t="shared" ca="1" si="5"/>
        <v>-1.2999999999999999E-3</v>
      </c>
      <c r="Q13" s="119">
        <f t="shared" ca="1" si="0"/>
        <v>5</v>
      </c>
      <c r="R13" s="126" t="str">
        <f>Resultado!B15</f>
        <v>Moises</v>
      </c>
      <c r="S13" s="120">
        <f ca="1">+SUMIFS(Resultado!15:15,Resultado!$1:$1,ClasificaciónPorra!S$4)</f>
        <v>35</v>
      </c>
      <c r="T13" s="120">
        <f ca="1">+SUMIFS(Resultado!15:15,Resultado!$1:$1,ClasificaciónPorra!T$4)</f>
        <v>20</v>
      </c>
      <c r="U13" s="120">
        <f ca="1">+SUMIFS(Resultado!15:15,Resultado!$1:$1,ClasificaciónPorra!U$4)</f>
        <v>15</v>
      </c>
      <c r="V13" s="120">
        <f ca="1">+SUMIFS(Resultado!15:15,Resultado!$1:$1,ClasificaciónPorra!V$4)</f>
        <v>20</v>
      </c>
      <c r="W13" s="120">
        <f t="shared" ca="1" si="1"/>
        <v>90</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90.013000000000005</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tabSelected="1" zoomScale="85" zoomScaleNormal="85" workbookViewId="0">
      <selection activeCell="A2" sqref="A2"/>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17</v>
      </c>
      <c r="C1" s="207"/>
      <c r="D1" s="207">
        <f>+A1</f>
        <v>17</v>
      </c>
      <c r="E1" s="207"/>
      <c r="F1" s="207"/>
      <c r="G1" s="207">
        <f>+D1+1</f>
        <v>18</v>
      </c>
      <c r="H1" s="207"/>
      <c r="I1" s="207"/>
      <c r="J1" s="207">
        <f t="shared" ref="J1" si="0">+G1+1</f>
        <v>19</v>
      </c>
      <c r="K1" s="207"/>
      <c r="L1" s="207"/>
      <c r="M1" s="207">
        <f t="shared" ref="M1" si="1">+J1+1</f>
        <v>20</v>
      </c>
      <c r="S1" s="176" t="s">
        <v>174</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W5">S1&amp;_xlfn.SEQUENCE(1,VLOOKUP(S1,$AD$1:$AE$5,2,0))</f>
        <v>CampeonG1</v>
      </c>
      <c r="U5" s="216" t="str">
        <v>CampeonG2</v>
      </c>
      <c r="V5" s="216" t="str">
        <v>CampeonG3</v>
      </c>
      <c r="W5" s="216" t="str">
        <v>CampeonG4</v>
      </c>
      <c r="X5" s="216"/>
      <c r="Y5" s="216"/>
      <c r="Z5" s="216"/>
      <c r="AA5" s="216"/>
      <c r="AB5" s="123"/>
      <c r="AD5" s="207" t="s">
        <v>94</v>
      </c>
      <c r="AE5" s="207">
        <v>1</v>
      </c>
    </row>
    <row r="6" spans="1:31" ht="20.100000000000001" customHeight="1" x14ac:dyDescent="0.25">
      <c r="B6" s="214"/>
      <c r="C6" s="146"/>
      <c r="D6" s="299" t="str">
        <f>VLOOKUP(D1,Aux!$F:$O,5,0)</f>
        <v>Argentina</v>
      </c>
      <c r="E6" s="217">
        <f>VLOOKUP(D1,Aux!$F:$O,3,0)</f>
        <v>45472.833333333336</v>
      </c>
      <c r="F6" s="299" t="str">
        <f>VLOOKUP(D1,Aux!$F:$O,6,0)</f>
        <v>Perú</v>
      </c>
      <c r="G6" s="299" t="str">
        <f>VLOOKUP(G1,Aux!$F:$O,5,0)</f>
        <v>Canadá</v>
      </c>
      <c r="H6" s="217">
        <f>VLOOKUP(G1,Aux!$F:$O,3,0)</f>
        <v>45472.833333333336</v>
      </c>
      <c r="I6" s="299" t="str">
        <f>VLOOKUP(G1,Aux!$F:$O,6,0)</f>
        <v>Chile</v>
      </c>
      <c r="J6" s="299" t="str">
        <f>VLOOKUP(J1,Aux!$F:$O,5,0)</f>
        <v>México</v>
      </c>
      <c r="K6" s="217">
        <f>VLOOKUP(J1,Aux!$F:$O,3,0)</f>
        <v>45473.708333333336</v>
      </c>
      <c r="L6" s="299" t="str">
        <f>VLOOKUP(J1,Aux!$F:$O,6,0)</f>
        <v>Ecuador</v>
      </c>
      <c r="M6" s="299" t="str">
        <f>VLOOKUP(M1,Aux!$F:$O,5,0)</f>
        <v>Jamaica</v>
      </c>
      <c r="N6" s="217">
        <f>VLOOKUP(M1,Aux!$F:$O,3,0)</f>
        <v>45473.791666666664</v>
      </c>
      <c r="O6" s="299" t="str">
        <f>VLOOKUP(M1,Aux!$F:$O,6,0)</f>
        <v>Venezuela</v>
      </c>
      <c r="P6" s="123"/>
      <c r="R6" s="214"/>
      <c r="S6" s="218" t="str">
        <f ca="1">IF(ClasificaciónPorra!D5=0,"",ClasificaciónPorra!D5)</f>
        <v>Leiner</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Venezuela</v>
      </c>
      <c r="V6" s="171" t="str" cm="1">
        <f t="array" aca="1" ref="V6" ca="1">IF(OR(V$5="",$S6=""),"",IFERROR(INDEX(TotalApuestas!$A$1:$GL$50000,MATCH(Seguimiento!$S6,TotalApuestas!$B$1:$B$50000,0),MATCH("Equipos"&amp;Seguimiento!$S$1,Resultado!$4:$4,0)+COLUMNS($T$1:V$1)-1),0))</f>
        <v>Uruguay</v>
      </c>
      <c r="W6" s="171" t="str" cm="1">
        <f t="array" aca="1" ref="W6" ca="1">IF(OR(W$5="",$S6=""),"",IFERROR(INDEX(TotalApuestas!$A$1:$GL$50000,MATCH(Seguimiento!$S6,TotalApuestas!$B$1:$B$50000,0),MATCH("Equipos"&amp;Seguimiento!$S$1,Resultado!$4:$4,0)+COLUMNS($T$1:W$1)-1),0))</f>
        <v>Colombia</v>
      </c>
      <c r="X6" s="171" t="str" cm="1">
        <f t="array" aca="1" ref="X6" ca="1">IF(OR(X$5="",$S6=""),"",IFERROR(INDEX(TotalApuestas!$A$1:$GL$50000,MATCH(Seguimiento!$S6,TotalApuestas!$B$1:$B$50000,0),MATCH("Equipos"&amp;Seguimiento!$S$1,Resultado!$4:$4,0)+COLUMNS($T$1:X$1)-1),0))</f>
        <v/>
      </c>
      <c r="Y6" s="171" t="str" cm="1">
        <f t="array" aca="1" ref="Y6" ca="1">IF(OR(Y$5="",$S6=""),"",IFERROR(INDEX(TotalApuestas!$A$1:$GL$50000,MATCH(Seguimiento!$S6,TotalApuestas!$B$1:$B$50000,0),MATCH("Equipos"&amp;Seguimiento!$S$1,Resultado!$4:$4,0)+COLUMNS($T$1:Y$1)-1),0))</f>
        <v/>
      </c>
      <c r="Z6" s="171" t="str" cm="1">
        <f t="array" aca="1" ref="Z6" ca="1">IF(OR(Z$5="",$S6=""),"",IFERROR(INDEX(TotalApuestas!$A$1:$GL$50000,MATCH(Seguimiento!$S6,TotalApuestas!$B$1:$B$50000,0),MATCH("Equipos"&amp;Seguimiento!$S$1,Resultado!$4:$4,0)+COLUMNS($T$1:Z$1)-1),0))</f>
        <v/>
      </c>
      <c r="AA6" s="219" t="str" cm="1">
        <f t="array" aca="1" ref="AA6" ca="1">IF(OR(AA$5="",$S6=""),"",IFERROR(INDEX(TotalApuestas!$A$1:$GL$50000,MATCH(Seguimiento!$S6,TotalApuestas!$B$1:$B$50000,0),MATCH("Equipos"&amp;Seguimiento!$S$1,Resultado!$4:$4,0)+COLUMNS($T$1:AA$1)-1),0))</f>
        <v/>
      </c>
      <c r="AB6" s="123"/>
      <c r="AD6"/>
      <c r="AE6"/>
    </row>
    <row r="7" spans="1:31" ht="20.100000000000001" customHeight="1" x14ac:dyDescent="0.25">
      <c r="B7" s="214"/>
      <c r="C7" s="146"/>
      <c r="D7" s="299"/>
      <c r="E7" s="220">
        <f>+E6</f>
        <v>45472.833333333336</v>
      </c>
      <c r="F7" s="299"/>
      <c r="G7" s="299"/>
      <c r="H7" s="220">
        <f>+H6</f>
        <v>45472.833333333336</v>
      </c>
      <c r="I7" s="299"/>
      <c r="J7" s="299"/>
      <c r="K7" s="220">
        <f>+K6</f>
        <v>45473.708333333336</v>
      </c>
      <c r="L7" s="299"/>
      <c r="M7" s="299"/>
      <c r="N7" s="220">
        <f>+N6</f>
        <v>45473.791666666664</v>
      </c>
      <c r="O7" s="299"/>
      <c r="P7" s="123"/>
      <c r="R7" s="214"/>
      <c r="S7" s="218" t="str">
        <f ca="1">IF(ClasificaciónPorra!D6=0,"",ClasificaciónPorra!D6)</f>
        <v xml:space="preserve">Luis Rondón </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Venezuela</v>
      </c>
      <c r="V7" s="171" t="str" cm="1">
        <f t="array" aca="1" ref="V7" ca="1">IF(OR(V$5="",$S7=""),"",IFERROR(INDEX(TotalApuestas!$A$1:$GL$50000,MATCH(Seguimiento!$S7,TotalApuestas!$B$1:$B$50000,0),MATCH("Equipos"&amp;Seguimiento!$S$1,Resultado!$4:$4,0)+COLUMNS($T$1:V$1)-1),0))</f>
        <v>Uruguay</v>
      </c>
      <c r="W7" s="171" t="str" cm="1">
        <f t="array" aca="1" ref="W7" ca="1">IF(OR(W$5="",$S7=""),"",IFERROR(INDEX(TotalApuestas!$A$1:$GL$50000,MATCH(Seguimiento!$S7,TotalApuestas!$B$1:$B$50000,0),MATCH("Equipos"&amp;Seguimiento!$S$1,Resultado!$4:$4,0)+COLUMNS($T$1:W$1)-1),0))</f>
        <v>Brasil</v>
      </c>
      <c r="X7" s="171" t="str" cm="1">
        <f t="array" aca="1" ref="X7" ca="1">IF(OR(X$5="",$S7=""),"",IFERROR(INDEX(TotalApuestas!$A$1:$GL$50000,MATCH(Seguimiento!$S7,TotalApuestas!$B$1:$B$50000,0),MATCH("Equipos"&amp;Seguimiento!$S$1,Resultado!$4:$4,0)+COLUMNS($T$1:X$1)-1),0))</f>
        <v/>
      </c>
      <c r="Y7" s="171" t="str" cm="1">
        <f t="array" aca="1" ref="Y7" ca="1">IF(OR(Y$5="",$S7=""),"",IFERROR(INDEX(TotalApuestas!$A$1:$GL$50000,MATCH(Seguimiento!$S7,TotalApuestas!$B$1:$B$50000,0),MATCH("Equipos"&amp;Seguimiento!$S$1,Resultado!$4:$4,0)+COLUMNS($T$1:Y$1)-1),0))</f>
        <v/>
      </c>
      <c r="Z7" s="171" t="str" cm="1">
        <f t="array" aca="1" ref="Z7" ca="1">IF(OR(Z$5="",$S7=""),"",IFERROR(INDEX(TotalApuestas!$A$1:$GL$50000,MATCH(Seguimiento!$S7,TotalApuestas!$B$1:$B$50000,0),MATCH("Equipos"&amp;Seguimiento!$S$1,Resultado!$4:$4,0)+COLUMNS($T$1:Z$1)-1),0))</f>
        <v/>
      </c>
      <c r="AA7" s="219" t="str" cm="1">
        <f t="array" aca="1" ref="AA7" ca="1">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0</v>
      </c>
      <c r="H8" s="222" t="str">
        <f ca="1">+IF(G8="","",IF(G8&gt;I8,1,IF(G8=I8,"X",2)))</f>
        <v>X</v>
      </c>
      <c r="I8" s="223">
        <f ca="1">VLOOKUP(G1,Aux!$F:$O,10,0)</f>
        <v>0</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 ca="1">IF(ClasificaciónPorra!D7=0,"",ClasificaciónPorra!D7)</f>
        <v>YUTA</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Ecuador</v>
      </c>
      <c r="V8" s="171" t="str" cm="1">
        <f t="array" aca="1" ref="V8" ca="1">IF(OR(V$5="",$S8=""),"",IFERROR(INDEX(TotalApuestas!$A$1:$GL$50000,MATCH(Seguimiento!$S8,TotalApuestas!$B$1:$B$50000,0),MATCH("Equipos"&amp;Seguimiento!$S$1,Resultado!$4:$4,0)+COLUMNS($T$1:V$1)-1),0))</f>
        <v>Uruguay</v>
      </c>
      <c r="W8" s="171" t="str" cm="1">
        <f t="array" aca="1" ref="W8" ca="1">IF(OR(W$5="",$S8=""),"",IFERROR(INDEX(TotalApuestas!$A$1:$GL$50000,MATCH(Seguimiento!$S8,TotalApuestas!$B$1:$B$50000,0),MATCH("Equipos"&amp;Seguimiento!$S$1,Resultado!$4:$4,0)+COLUMNS($T$1:W$1)-1),0))</f>
        <v>Brasil</v>
      </c>
      <c r="X8" s="171" t="str" cm="1">
        <f t="array" aca="1" ref="X8" ca="1">IF(OR(X$5="",$S8=""),"",IFERROR(INDEX(TotalApuestas!$A$1:$GL$50000,MATCH(Seguimiento!$S8,TotalApuestas!$B$1:$B$50000,0),MATCH("Equipos"&amp;Seguimiento!$S$1,Resultado!$4:$4,0)+COLUMNS($T$1:X$1)-1),0))</f>
        <v/>
      </c>
      <c r="Y8" s="171" t="str" cm="1">
        <f t="array" aca="1" ref="Y8" ca="1">IF(OR(Y$5="",$S8=""),"",IFERROR(INDEX(TotalApuestas!$A$1:$GL$50000,MATCH(Seguimiento!$S8,TotalApuestas!$B$1:$B$50000,0),MATCH("Equipos"&amp;Seguimiento!$S$1,Resultado!$4:$4,0)+COLUMNS($T$1:Y$1)-1),0))</f>
        <v/>
      </c>
      <c r="Z8" s="171" t="str" cm="1">
        <f t="array" aca="1" ref="Z8" ca="1">IF(OR(Z$5="",$S8=""),"",IFERROR(INDEX(TotalApuestas!$A$1:$GL$50000,MATCH(Seguimiento!$S8,TotalApuestas!$B$1:$B$50000,0),MATCH("Equipos"&amp;Seguimiento!$S$1,Resultado!$4:$4,0)+COLUMNS($T$1:Z$1)-1),0))</f>
        <v/>
      </c>
      <c r="AA8" s="219" t="str" cm="1">
        <f t="array" aca="1" ref="AA8" ca="1">IF(OR(AA$5="",$S8=""),"",IFERROR(INDEX(TotalApuestas!$A$1:$GL$50000,MATCH(Seguimiento!$S8,TotalApuestas!$B$1:$B$50000,0),MATCH("Equipos"&amp;Seguimiento!$S$1,Resultado!$4:$4,0)+COLUMNS($T$1:AA$1)-1),0))</f>
        <v/>
      </c>
      <c r="AB8" s="123"/>
      <c r="AD8"/>
      <c r="AE8"/>
    </row>
    <row r="9" spans="1:31" ht="15" customHeight="1" x14ac:dyDescent="0.25">
      <c r="B9" s="214"/>
      <c r="P9" s="123"/>
      <c r="R9" s="214"/>
      <c r="S9" s="218" t="str">
        <f ca="1">IF(ClasificaciónPorra!D8=0,"",ClasificaciónPorra!D8)</f>
        <v xml:space="preserve">  German Rodriguez</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Ecuador</v>
      </c>
      <c r="V9" s="171" t="str" cm="1">
        <f t="array" aca="1" ref="V9" ca="1">IF(OR(V$5="",$S9=""),"",IFERROR(INDEX(TotalApuestas!$A$1:$GL$50000,MATCH(Seguimiento!$S9,TotalApuestas!$B$1:$B$50000,0),MATCH("Equipos"&amp;Seguimiento!$S$1,Resultado!$4:$4,0)+COLUMNS($T$1:V$1)-1),0))</f>
        <v>Uruguay</v>
      </c>
      <c r="W9" s="171" t="str" cm="1">
        <f t="array" aca="1" ref="W9" ca="1">IF(OR(W$5="",$S9=""),"",IFERROR(INDEX(TotalApuestas!$A$1:$GL$50000,MATCH(Seguimiento!$S9,TotalApuestas!$B$1:$B$50000,0),MATCH("Equipos"&amp;Seguimiento!$S$1,Resultado!$4:$4,0)+COLUMNS($T$1:W$1)-1),0))</f>
        <v>Colombia</v>
      </c>
      <c r="X9" s="171" t="str" cm="1">
        <f t="array" aca="1" ref="X9" ca="1">IF(OR(X$5="",$S9=""),"",IFERROR(INDEX(TotalApuestas!$A$1:$GL$50000,MATCH(Seguimiento!$S9,TotalApuestas!$B$1:$B$50000,0),MATCH("Equipos"&amp;Seguimiento!$S$1,Resultado!$4:$4,0)+COLUMNS($T$1:X$1)-1),0))</f>
        <v/>
      </c>
      <c r="Y9" s="171" t="str" cm="1">
        <f t="array" aca="1" ref="Y9" ca="1">IF(OR(Y$5="",$S9=""),"",IFERROR(INDEX(TotalApuestas!$A$1:$GL$50000,MATCH(Seguimiento!$S9,TotalApuestas!$B$1:$B$50000,0),MATCH("Equipos"&amp;Seguimiento!$S$1,Resultado!$4:$4,0)+COLUMNS($T$1:Y$1)-1),0))</f>
        <v/>
      </c>
      <c r="Z9" s="171" t="str" cm="1">
        <f t="array" aca="1" ref="Z9" ca="1">IF(OR(Z$5="",$S9=""),"",IFERROR(INDEX(TotalApuestas!$A$1:$GL$50000,MATCH(Seguimiento!$S9,TotalApuestas!$B$1:$B$50000,0),MATCH("Equipos"&amp;Seguimiento!$S$1,Resultado!$4:$4,0)+COLUMNS($T$1:Z$1)-1),0))</f>
        <v/>
      </c>
      <c r="AA9" s="219" t="str" cm="1">
        <f t="array" aca="1" ref="AA9" ca="1">IF(OR(AA$5="",$S9=""),"",IFERROR(INDEX(TotalApuestas!$A$1:$GL$50000,MATCH(Seguimiento!$S9,TotalApuestas!$B$1:$B$50000,0),MATCH("Equipos"&amp;Seguimiento!$S$1,Resultado!$4:$4,0)+COLUMNS($T$1:AA$1)-1),0))</f>
        <v/>
      </c>
      <c r="AB9" s="123"/>
      <c r="AD9"/>
      <c r="AE9"/>
    </row>
    <row r="10" spans="1:31" ht="15" customHeight="1" x14ac:dyDescent="0.25">
      <c r="B10" s="214"/>
      <c r="C10" s="224" t="str">
        <f ca="1">IF(ClasificaciónPorra!D5=0,"",ClasificaciónPorra!D5)</f>
        <v>Leiner</v>
      </c>
      <c r="D10" s="225">
        <f ca="1">IF($C10="","",INDEX(TotalApuestas!$A$1:$GL$50000,MATCH(Seguimiento!$C10,TotalApuestas!$B$1:$B$50000,0),MATCH(Seguimiento!D$1,Resultado!$2:$2,0)))</f>
        <v>3</v>
      </c>
      <c r="E10" s="226">
        <f t="shared" ref="E10" ca="1" si="2">+IF(D10="","",IF(D10&gt;F10,1,IF(D10=F10,"X",2)))</f>
        <v>1</v>
      </c>
      <c r="F10" s="225" cm="1">
        <f t="array" aca="1" ref="F10" ca="1">IF($C10="","",INDEX(TotalApuestas!$A$1:$GL$50000,MATCH(Seguimiento!$C10,TotalApuestas!$B$1:$B$50000,0),MATCH(Seguimiento!D$1,Resultado!$2:$2,0)+1))</f>
        <v>0</v>
      </c>
      <c r="G10" s="227">
        <f ca="1">IF($C10="","",INDEX(TotalApuestas!$A$1:$GL$50000,MATCH(Seguimiento!$C10,TotalApuestas!$B$1:$B$50000,0),MATCH(Seguimiento!G$1,Resultado!$2:$2,0)))</f>
        <v>1</v>
      </c>
      <c r="H10" s="226" t="str">
        <f t="shared" ref="H10" ca="1" si="3">+IF(G10="","",IF(G10&gt;I10,1,IF(G10=I10,"X",2)))</f>
        <v>X</v>
      </c>
      <c r="I10" s="228" cm="1">
        <f t="array" aca="1" ref="I10" ca="1">IF($C10="","",INDEX(TotalApuestas!$A$1:$GL$50000,MATCH(Seguimiento!$C10,TotalApuestas!$B$1:$B$50000,0),MATCH(Seguimiento!G$1,Resultado!$2:$2,0)+1))</f>
        <v>1</v>
      </c>
      <c r="J10" s="225">
        <f ca="1">IF($C10="","",INDEX(TotalApuestas!$A$1:$GL$50000,MATCH(Seguimiento!$C10,TotalApuestas!$B$1:$B$50000,0),MATCH(Seguimiento!J$1,Resultado!$2:$2,0)))</f>
        <v>0</v>
      </c>
      <c r="K10" s="226">
        <f t="shared" ref="K10" ca="1" si="4">+IF(J10="","",IF(J10&gt;L10,1,IF(J10=L10,"X",2)))</f>
        <v>2</v>
      </c>
      <c r="L10" s="225" cm="1">
        <f t="array" aca="1" ref="L10" ca="1">IF($C10="","",INDEX(TotalApuestas!$A$1:$GL$50000,MATCH(Seguimiento!$C10,TotalApuestas!$B$1:$B$50000,0),MATCH(Seguimiento!J$1,Resultado!$2:$2,0)+1))</f>
        <v>2</v>
      </c>
      <c r="M10" s="227">
        <f ca="1">IF($C10="","",INDEX(TotalApuestas!$A$1:$GL$50000,MATCH(Seguimiento!$C10,TotalApuestas!$B$1:$B$50000,0),MATCH(Seguimiento!M$1,Resultado!$2:$2,0)))</f>
        <v>0</v>
      </c>
      <c r="N10" s="226">
        <f t="shared" ref="N10" ca="1" si="5">+IF(M10="","",IF(M10&gt;O10,1,IF(M10=O10,"X",2)))</f>
        <v>2</v>
      </c>
      <c r="O10" s="228" cm="1">
        <f t="array" aca="1" ref="O10" ca="1">IF($C10="","",INDEX(TotalApuestas!$A$1:$GL$50000,MATCH(Seguimiento!$C10,TotalApuestas!$B$1:$B$50000,0),MATCH(Seguimiento!M$1,Resultado!$2:$2,0)+1))</f>
        <v>1</v>
      </c>
      <c r="P10" s="123"/>
      <c r="R10" s="214"/>
      <c r="S10" s="218" t="str">
        <f ca="1">IF(ClasificaciónPorra!D9=0,"",ClasificaciónPorra!D9)</f>
        <v>Moises</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Ecuador</v>
      </c>
      <c r="V10" s="171" t="str" cm="1">
        <f t="array" aca="1" ref="V10" ca="1">IF(OR(V$5="",$S10=""),"",IFERROR(INDEX(TotalApuestas!$A$1:$GL$50000,MATCH(Seguimiento!$S10,TotalApuestas!$B$1:$B$50000,0),MATCH("Equipos"&amp;Seguimiento!$S$1,Resultado!$4:$4,0)+COLUMNS($T$1:V$1)-1),0))</f>
        <v>Uruguay</v>
      </c>
      <c r="W10" s="171" t="str" cm="1">
        <f t="array" aca="1" ref="W10" ca="1">IF(OR(W$5="",$S10=""),"",IFERROR(INDEX(TotalApuestas!$A$1:$GL$50000,MATCH(Seguimiento!$S10,TotalApuestas!$B$1:$B$50000,0),MATCH("Equipos"&amp;Seguimiento!$S$1,Resultado!$4:$4,0)+COLUMNS($T$1:W$1)-1),0))</f>
        <v>Brasil</v>
      </c>
      <c r="X10" s="171" t="str" cm="1">
        <f t="array" aca="1" ref="X10" ca="1">IF(OR(X$5="",$S10=""),"",IFERROR(INDEX(TotalApuestas!$A$1:$GL$50000,MATCH(Seguimiento!$S10,TotalApuestas!$B$1:$B$50000,0),MATCH("Equipos"&amp;Seguimiento!$S$1,Resultado!$4:$4,0)+COLUMNS($T$1:X$1)-1),0))</f>
        <v/>
      </c>
      <c r="Y10" s="171" t="str" cm="1">
        <f t="array" aca="1" ref="Y10" ca="1">IF(OR(Y$5="",$S10=""),"",IFERROR(INDEX(TotalApuestas!$A$1:$GL$50000,MATCH(Seguimiento!$S10,TotalApuestas!$B$1:$B$50000,0),MATCH("Equipos"&amp;Seguimiento!$S$1,Resultado!$4:$4,0)+COLUMNS($T$1:Y$1)-1),0))</f>
        <v/>
      </c>
      <c r="Z10" s="171" t="str" cm="1">
        <f t="array" aca="1" ref="Z10" ca="1">IF(OR(Z$5="",$S10=""),"",IFERROR(INDEX(TotalApuestas!$A$1:$GL$50000,MATCH(Seguimiento!$S10,TotalApuestas!$B$1:$B$50000,0),MATCH("Equipos"&amp;Seguimiento!$S$1,Resultado!$4:$4,0)+COLUMNS($T$1:Z$1)-1),0))</f>
        <v/>
      </c>
      <c r="AA10" s="219" t="str" cm="1">
        <f t="array" aca="1" ref="AA10" ca="1">IF(OR(AA$5="",$S10=""),"",IFERROR(INDEX(TotalApuestas!$A$1:$GL$50000,MATCH(Seguimiento!$S10,TotalApuestas!$B$1:$B$50000,0),MATCH("Equipos"&amp;Seguimiento!$S$1,Resultado!$4:$4,0)+COLUMNS($T$1:AA$1)-1),0))</f>
        <v/>
      </c>
      <c r="AB10" s="123"/>
      <c r="AD10"/>
      <c r="AE10"/>
    </row>
    <row r="11" spans="1:31" ht="15" customHeight="1" x14ac:dyDescent="0.25">
      <c r="B11" s="214"/>
      <c r="C11" s="229" t="str">
        <f ca="1">IF(ClasificaciónPorra!D6=0,"",ClasificaciónPorra!D6)</f>
        <v xml:space="preserve">Luis Rondón </v>
      </c>
      <c r="D11" s="230">
        <f ca="1">IF($C11="","",INDEX(TotalApuestas!$A$1:$GL$50000,MATCH(Seguimiento!$C11,TotalApuestas!$B$1:$B$50000,0),MATCH(Seguimiento!D$1,Resultado!$2:$2,0)))</f>
        <v>1</v>
      </c>
      <c r="E11" s="231" t="str">
        <f t="shared" ref="E11:E29" ca="1" si="6">+IF(D11="","",IF(D11&gt;F11,1,IF(D11=F11,"X",2)))</f>
        <v>X</v>
      </c>
      <c r="F11" s="230" cm="1">
        <f t="array" aca="1" ref="F11" ca="1">IF($C11="","",INDEX(TotalApuestas!$A$1:$GL$50000,MATCH(Seguimiento!$C11,TotalApuestas!$B$1:$B$50000,0),MATCH(Seguimiento!D$1,Resultado!$2:$2,0)+1))</f>
        <v>1</v>
      </c>
      <c r="G11" s="232">
        <f ca="1">IF($C11="","",INDEX(TotalApuestas!$A$1:$GL$50000,MATCH(Seguimiento!$C11,TotalApuestas!$B$1:$B$50000,0),MATCH(Seguimiento!G$1,Resultado!$2:$2,0)))</f>
        <v>3</v>
      </c>
      <c r="H11" s="231">
        <f t="shared" ref="H11:H29" ca="1" si="7">+IF(G11="","",IF(G11&gt;I11,1,IF(G11=I11,"X",2)))</f>
        <v>1</v>
      </c>
      <c r="I11" s="233" cm="1">
        <f t="array" aca="1" ref="I11" ca="1">IF($C11="","",INDEX(TotalApuestas!$A$1:$GL$50000,MATCH(Seguimiento!$C11,TotalApuestas!$B$1:$B$50000,0),MATCH(Seguimiento!G$1,Resultado!$2:$2,0)+1))</f>
        <v>2</v>
      </c>
      <c r="J11" s="230">
        <f ca="1">IF($C11="","",INDEX(TotalApuestas!$A$1:$GL$50000,MATCH(Seguimiento!$C11,TotalApuestas!$B$1:$B$50000,0),MATCH(Seguimiento!J$1,Resultado!$2:$2,0)))</f>
        <v>1</v>
      </c>
      <c r="K11" s="231">
        <f t="shared" ref="K11:K29" ca="1" si="8">+IF(J11="","",IF(J11&gt;L11,1,IF(J11=L11,"X",2)))</f>
        <v>2</v>
      </c>
      <c r="L11" s="230" cm="1">
        <f t="array" aca="1" ref="L11" ca="1">IF($C11="","",INDEX(TotalApuestas!$A$1:$GL$50000,MATCH(Seguimiento!$C11,TotalApuestas!$B$1:$B$50000,0),MATCH(Seguimiento!J$1,Resultado!$2:$2,0)+1))</f>
        <v>3</v>
      </c>
      <c r="M11" s="232">
        <f ca="1">IF($C11="","",INDEX(TotalApuestas!$A$1:$GL$50000,MATCH(Seguimiento!$C11,TotalApuestas!$B$1:$B$50000,0),MATCH(Seguimiento!M$1,Resultado!$2:$2,0)))</f>
        <v>1</v>
      </c>
      <c r="N11" s="231">
        <f t="shared" ref="N11:N29" ca="1" si="9">+IF(M11="","",IF(M11&gt;O11,1,IF(M11=O11,"X",2)))</f>
        <v>2</v>
      </c>
      <c r="O11" s="233" cm="1">
        <f t="array" aca="1" ref="O11" ca="1">IF($C11="","",INDEX(TotalApuestas!$A$1:$GL$50000,MATCH(Seguimiento!$C11,TotalApuestas!$B$1:$B$50000,0),MATCH(Seguimiento!M$1,Resultado!$2:$2,0)+1))</f>
        <v>2</v>
      </c>
      <c r="P11" s="123"/>
      <c r="R11" s="214"/>
      <c r="S11" s="218" t="str">
        <f ca="1">IF(ClasificaciónPorra!D10=0,"",ClasificaciónPorra!D10)</f>
        <v>Juan Diego De Abreu</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Ecuador</v>
      </c>
      <c r="V11" s="171" t="str" cm="1">
        <f t="array" aca="1" ref="V11" ca="1">IF(OR(V$5="",$S11=""),"",IFERROR(INDEX(TotalApuestas!$A$1:$GL$50000,MATCH(Seguimiento!$S11,TotalApuestas!$B$1:$B$50000,0),MATCH("Equipos"&amp;Seguimiento!$S$1,Resultado!$4:$4,0)+COLUMNS($T$1:V$1)-1),0))</f>
        <v>Uruguay</v>
      </c>
      <c r="W11" s="171" t="str" cm="1">
        <f t="array" aca="1" ref="W11" ca="1">IF(OR(W$5="",$S11=""),"",IFERROR(INDEX(TotalApuestas!$A$1:$GL$50000,MATCH(Seguimiento!$S11,TotalApuestas!$B$1:$B$50000,0),MATCH("Equipos"&amp;Seguimiento!$S$1,Resultado!$4:$4,0)+COLUMNS($T$1:W$1)-1),0))</f>
        <v>Brasil</v>
      </c>
      <c r="X11" s="171" t="str" cm="1">
        <f t="array" aca="1" ref="X11" ca="1">IF(OR(X$5="",$S11=""),"",IFERROR(INDEX(TotalApuestas!$A$1:$GL$50000,MATCH(Seguimiento!$S11,TotalApuestas!$B$1:$B$50000,0),MATCH("Equipos"&amp;Seguimiento!$S$1,Resultado!$4:$4,0)+COLUMNS($T$1:X$1)-1),0))</f>
        <v/>
      </c>
      <c r="Y11" s="171" t="str" cm="1">
        <f t="array" aca="1" ref="Y11" ca="1">IF(OR(Y$5="",$S11=""),"",IFERROR(INDEX(TotalApuestas!$A$1:$GL$50000,MATCH(Seguimiento!$S11,TotalApuestas!$B$1:$B$50000,0),MATCH("Equipos"&amp;Seguimiento!$S$1,Resultado!$4:$4,0)+COLUMNS($T$1:Y$1)-1),0))</f>
        <v/>
      </c>
      <c r="Z11" s="171" t="str" cm="1">
        <f t="array" aca="1" ref="Z11" ca="1">IF(OR(Z$5="",$S11=""),"",IFERROR(INDEX(TotalApuestas!$A$1:$GL$50000,MATCH(Seguimiento!$S11,TotalApuestas!$B$1:$B$50000,0),MATCH("Equipos"&amp;Seguimiento!$S$1,Resultado!$4:$4,0)+COLUMNS($T$1:Z$1)-1),0))</f>
        <v/>
      </c>
      <c r="AA11" s="219" t="str" cm="1">
        <f t="array" aca="1" ref="AA11" ca="1">IF(OR(AA$5="",$S11=""),"",IFERROR(INDEX(TotalApuestas!$A$1:$GL$50000,MATCH(Seguimiento!$S11,TotalApuestas!$B$1:$B$50000,0),MATCH("Equipos"&amp;Seguimiento!$S$1,Resultado!$4:$4,0)+COLUMNS($T$1:AA$1)-1),0))</f>
        <v/>
      </c>
      <c r="AB11" s="123"/>
      <c r="AD11"/>
      <c r="AE11"/>
    </row>
    <row r="12" spans="1:31" ht="15" customHeight="1" x14ac:dyDescent="0.25">
      <c r="B12" s="214"/>
      <c r="C12" s="229" t="str">
        <f ca="1">IF(ClasificaciónPorra!D7=0,"",ClasificaciónPorra!D7)</f>
        <v>YUTA</v>
      </c>
      <c r="D12" s="230">
        <f ca="1">IF($C12="","",INDEX(TotalApuestas!$A$1:$GL$50000,MATCH(Seguimiento!$C12,TotalApuestas!$B$1:$B$50000,0),MATCH(Seguimiento!D$1,Resultado!$2:$2,0)))</f>
        <v>2</v>
      </c>
      <c r="E12" s="231">
        <f t="shared" ca="1" si="6"/>
        <v>1</v>
      </c>
      <c r="F12" s="230" cm="1">
        <f t="array" aca="1" ref="F12" ca="1">IF($C12="","",INDEX(TotalApuestas!$A$1:$GL$50000,MATCH(Seguimiento!$C12,TotalApuestas!$B$1:$B$50000,0),MATCH(Seguimiento!D$1,Resultado!$2:$2,0)+1))</f>
        <v>0</v>
      </c>
      <c r="G12" s="232">
        <f ca="1">IF($C12="","",INDEX(TotalApuestas!$A$1:$GL$50000,MATCH(Seguimiento!$C12,TotalApuestas!$B$1:$B$50000,0),MATCH(Seguimiento!G$1,Resultado!$2:$2,0)))</f>
        <v>2</v>
      </c>
      <c r="H12" s="231">
        <f t="shared" ca="1" si="7"/>
        <v>2</v>
      </c>
      <c r="I12" s="233" cm="1">
        <f t="array" aca="1" ref="I12" ca="1">IF($C12="","",INDEX(TotalApuestas!$A$1:$GL$50000,MATCH(Seguimiento!$C12,TotalApuestas!$B$1:$B$50000,0),MATCH(Seguimiento!G$1,Resultado!$2:$2,0)+1))</f>
        <v>3</v>
      </c>
      <c r="J12" s="230">
        <f ca="1">IF($C12="","",INDEX(TotalApuestas!$A$1:$GL$50000,MATCH(Seguimiento!$C12,TotalApuestas!$B$1:$B$50000,0),MATCH(Seguimiento!J$1,Resultado!$2:$2,0)))</f>
        <v>1</v>
      </c>
      <c r="K12" s="231" t="str">
        <f t="shared" ca="1" si="8"/>
        <v>X</v>
      </c>
      <c r="L12" s="230" cm="1">
        <f t="array" aca="1" ref="L12" ca="1">IF($C12="","",INDEX(TotalApuestas!$A$1:$GL$50000,MATCH(Seguimiento!$C12,TotalApuestas!$B$1:$B$50000,0),MATCH(Seguimiento!J$1,Resultado!$2:$2,0)+1))</f>
        <v>1</v>
      </c>
      <c r="M12" s="232">
        <f ca="1">IF($C12="","",INDEX(TotalApuestas!$A$1:$GL$50000,MATCH(Seguimiento!$C12,TotalApuestas!$B$1:$B$50000,0),MATCH(Seguimiento!M$1,Resultado!$2:$2,0)))</f>
        <v>0</v>
      </c>
      <c r="N12" s="231">
        <f t="shared" ca="1" si="9"/>
        <v>2</v>
      </c>
      <c r="O12" s="233" cm="1">
        <f t="array" aca="1" ref="O12" ca="1">IF($C12="","",INDEX(TotalApuestas!$A$1:$GL$50000,MATCH(Seguimiento!$C12,TotalApuestas!$B$1:$B$50000,0),MATCH(Seguimiento!M$1,Resultado!$2:$2,0)+1))</f>
        <v>1</v>
      </c>
      <c r="P12" s="123"/>
      <c r="R12" s="214"/>
      <c r="S12" s="218" t="str">
        <f ca="1">IF(ClasificaciónPorra!D11=0,"",ClasificaciónPorra!D11)</f>
        <v>ISAAC BERMUDEZ</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Venezuela</v>
      </c>
      <c r="V12" s="171" t="str" cm="1">
        <f t="array" aca="1" ref="V12" ca="1">IF(OR(V$5="",$S12=""),"",IFERROR(INDEX(TotalApuestas!$A$1:$GL$50000,MATCH(Seguimiento!$S12,TotalApuestas!$B$1:$B$50000,0),MATCH("Equipos"&amp;Seguimiento!$S$1,Resultado!$4:$4,0)+COLUMNS($T$1:V$1)-1),0))</f>
        <v>Uruguay</v>
      </c>
      <c r="W12" s="171" t="str" cm="1">
        <f t="array" aca="1" ref="W12" ca="1">IF(OR(W$5="",$S12=""),"",IFERROR(INDEX(TotalApuestas!$A$1:$GL$50000,MATCH(Seguimiento!$S12,TotalApuestas!$B$1:$B$50000,0),MATCH("Equipos"&amp;Seguimiento!$S$1,Resultado!$4:$4,0)+COLUMNS($T$1:W$1)-1),0))</f>
        <v>Brasil</v>
      </c>
      <c r="X12" s="171" t="str" cm="1">
        <f t="array" aca="1" ref="X12" ca="1">IF(OR(X$5="",$S12=""),"",IFERROR(INDEX(TotalApuestas!$A$1:$GL$50000,MATCH(Seguimiento!$S12,TotalApuestas!$B$1:$B$50000,0),MATCH("Equipos"&amp;Seguimiento!$S$1,Resultado!$4:$4,0)+COLUMNS($T$1:X$1)-1),0))</f>
        <v/>
      </c>
      <c r="Y12" s="171" t="str" cm="1">
        <f t="array" aca="1" ref="Y12" ca="1">IF(OR(Y$5="",$S12=""),"",IFERROR(INDEX(TotalApuestas!$A$1:$GL$50000,MATCH(Seguimiento!$S12,TotalApuestas!$B$1:$B$50000,0),MATCH("Equipos"&amp;Seguimiento!$S$1,Resultado!$4:$4,0)+COLUMNS($T$1:Y$1)-1),0))</f>
        <v/>
      </c>
      <c r="Z12" s="171" t="str" cm="1">
        <f t="array" aca="1" ref="Z12" ca="1">IF(OR(Z$5="",$S12=""),"",IFERROR(INDEX(TotalApuestas!$A$1:$GL$50000,MATCH(Seguimiento!$S12,TotalApuestas!$B$1:$B$50000,0),MATCH("Equipos"&amp;Seguimiento!$S$1,Resultado!$4:$4,0)+COLUMNS($T$1:Z$1)-1),0))</f>
        <v/>
      </c>
      <c r="AA12" s="219" t="str" cm="1">
        <f t="array" aca="1" ref="AA12" ca="1">IF(OR(AA$5="",$S12=""),"",IFERROR(INDEX(TotalApuestas!$A$1:$GL$50000,MATCH(Seguimiento!$S12,TotalApuestas!$B$1:$B$50000,0),MATCH("Equipos"&amp;Seguimiento!$S$1,Resultado!$4:$4,0)+COLUMNS($T$1:AA$1)-1),0))</f>
        <v/>
      </c>
      <c r="AB12" s="123"/>
      <c r="AD12"/>
      <c r="AE12"/>
    </row>
    <row r="13" spans="1:31" ht="15" customHeight="1" x14ac:dyDescent="0.25">
      <c r="B13" s="214"/>
      <c r="C13" s="229" t="str">
        <f ca="1">IF(ClasificaciónPorra!D8=0,"",ClasificaciónPorra!D8)</f>
        <v xml:space="preserve">  German Rodriguez</v>
      </c>
      <c r="D13" s="230">
        <f ca="1">IF($C13="","",INDEX(TotalApuestas!$A$1:$GL$50000,MATCH(Seguimiento!$C13,TotalApuestas!$B$1:$B$50000,0),MATCH(Seguimiento!D$1,Resultado!$2:$2,0)))</f>
        <v>3</v>
      </c>
      <c r="E13" s="231">
        <f t="shared" ca="1" si="6"/>
        <v>1</v>
      </c>
      <c r="F13" s="230" cm="1">
        <f t="array" aca="1" ref="F13" ca="1">IF($C13="","",INDEX(TotalApuestas!$A$1:$GL$50000,MATCH(Seguimiento!$C13,TotalApuestas!$B$1:$B$50000,0),MATCH(Seguimiento!D$1,Resultado!$2:$2,0)+1))</f>
        <v>0</v>
      </c>
      <c r="G13" s="232">
        <f ca="1">IF($C13="","",INDEX(TotalApuestas!$A$1:$GL$50000,MATCH(Seguimiento!$C13,TotalApuestas!$B$1:$B$50000,0),MATCH(Seguimiento!G$1,Resultado!$2:$2,0)))</f>
        <v>2</v>
      </c>
      <c r="H13" s="231" t="str">
        <f t="shared" ca="1" si="7"/>
        <v>X</v>
      </c>
      <c r="I13" s="233" cm="1">
        <f t="array" aca="1" ref="I13" ca="1">IF($C13="","",INDEX(TotalApuestas!$A$1:$GL$50000,MATCH(Seguimiento!$C13,TotalApuestas!$B$1:$B$50000,0),MATCH(Seguimiento!G$1,Resultado!$2:$2,0)+1))</f>
        <v>2</v>
      </c>
      <c r="J13" s="230">
        <f ca="1">IF($C13="","",INDEX(TotalApuestas!$A$1:$GL$50000,MATCH(Seguimiento!$C13,TotalApuestas!$B$1:$B$50000,0),MATCH(Seguimiento!J$1,Resultado!$2:$2,0)))</f>
        <v>0</v>
      </c>
      <c r="K13" s="231">
        <f t="shared" ca="1" si="8"/>
        <v>2</v>
      </c>
      <c r="L13" s="230" cm="1">
        <f t="array" aca="1" ref="L13" ca="1">IF($C13="","",INDEX(TotalApuestas!$A$1:$GL$50000,MATCH(Seguimiento!$C13,TotalApuestas!$B$1:$B$50000,0),MATCH(Seguimiento!J$1,Resultado!$2:$2,0)+1))</f>
        <v>2</v>
      </c>
      <c r="M13" s="232">
        <f ca="1">IF($C13="","",INDEX(TotalApuestas!$A$1:$GL$50000,MATCH(Seguimiento!$C13,TotalApuestas!$B$1:$B$50000,0),MATCH(Seguimiento!M$1,Resultado!$2:$2,0)))</f>
        <v>0</v>
      </c>
      <c r="N13" s="231">
        <f t="shared" ca="1" si="9"/>
        <v>2</v>
      </c>
      <c r="O13" s="233" cm="1">
        <f t="array" aca="1" ref="O13" ca="1">IF($C13="","",INDEX(TotalApuestas!$A$1:$GL$50000,MATCH(Seguimiento!$C13,TotalApuestas!$B$1:$B$50000,0),MATCH(Seguimiento!M$1,Resultado!$2:$2,0)+1))</f>
        <v>2</v>
      </c>
      <c r="P13" s="123"/>
      <c r="R13" s="214"/>
      <c r="S13" s="218" t="str">
        <f ca="1">IF(ClasificaciónPorra!D12=0,"",ClasificaciónPorra!D12)</f>
        <v>Cazaputas69</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Ecuador</v>
      </c>
      <c r="V13" s="171" t="str" cm="1">
        <f t="array" aca="1" ref="V13" ca="1">IF(OR(V$5="",$S13=""),"",IFERROR(INDEX(TotalApuestas!$A$1:$GL$50000,MATCH(Seguimiento!$S13,TotalApuestas!$B$1:$B$50000,0),MATCH("Equipos"&amp;Seguimiento!$S$1,Resultado!$4:$4,0)+COLUMNS($T$1:V$1)-1),0))</f>
        <v>Uruguay</v>
      </c>
      <c r="W13" s="171" t="str" cm="1">
        <f t="array" aca="1" ref="W13" ca="1">IF(OR(W$5="",$S13=""),"",IFERROR(INDEX(TotalApuestas!$A$1:$GL$50000,MATCH(Seguimiento!$S13,TotalApuestas!$B$1:$B$50000,0),MATCH("Equipos"&amp;Seguimiento!$S$1,Resultado!$4:$4,0)+COLUMNS($T$1:W$1)-1),0))</f>
        <v>Brasil</v>
      </c>
      <c r="X13" s="171" t="str" cm="1">
        <f t="array" aca="1" ref="X13" ca="1">IF(OR(X$5="",$S13=""),"",IFERROR(INDEX(TotalApuestas!$A$1:$GL$50000,MATCH(Seguimiento!$S13,TotalApuestas!$B$1:$B$50000,0),MATCH("Equipos"&amp;Seguimiento!$S$1,Resultado!$4:$4,0)+COLUMNS($T$1:X$1)-1),0))</f>
        <v/>
      </c>
      <c r="Y13" s="171" t="str" cm="1">
        <f t="array" aca="1" ref="Y13" ca="1">IF(OR(Y$5="",$S13=""),"",IFERROR(INDEX(TotalApuestas!$A$1:$GL$50000,MATCH(Seguimiento!$S13,TotalApuestas!$B$1:$B$50000,0),MATCH("Equipos"&amp;Seguimiento!$S$1,Resultado!$4:$4,0)+COLUMNS($T$1:Y$1)-1),0))</f>
        <v/>
      </c>
      <c r="Z13" s="171" t="str" cm="1">
        <f t="array" aca="1" ref="Z13" ca="1">IF(OR(Z$5="",$S13=""),"",IFERROR(INDEX(TotalApuestas!$A$1:$GL$50000,MATCH(Seguimiento!$S13,TotalApuestas!$B$1:$B$50000,0),MATCH("Equipos"&amp;Seguimiento!$S$1,Resultado!$4:$4,0)+COLUMNS($T$1:Z$1)-1),0))</f>
        <v/>
      </c>
      <c r="AA13" s="219" t="str" cm="1">
        <f t="array" aca="1" ref="AA13" ca="1">IF(OR(AA$5="",$S13=""),"",IFERROR(INDEX(TotalApuestas!$A$1:$GL$50000,MATCH(Seguimiento!$S13,TotalApuestas!$B$1:$B$50000,0),MATCH("Equipos"&amp;Seguimiento!$S$1,Resultado!$4:$4,0)+COLUMNS($T$1:AA$1)-1),0))</f>
        <v/>
      </c>
      <c r="AB13" s="123"/>
      <c r="AD13"/>
      <c r="AE13"/>
    </row>
    <row r="14" spans="1:31" ht="15" customHeight="1" x14ac:dyDescent="0.25">
      <c r="B14" s="214"/>
      <c r="C14" s="229" t="str">
        <f ca="1">IF(ClasificaciónPorra!D9=0,"",ClasificaciónPorra!D9)</f>
        <v>Moises</v>
      </c>
      <c r="D14" s="230">
        <f ca="1">IF($C14="","",INDEX(TotalApuestas!$A$1:$GL$50000,MATCH(Seguimiento!$C14,TotalApuestas!$B$1:$B$50000,0),MATCH(Seguimiento!D$1,Resultado!$2:$2,0)))</f>
        <v>1</v>
      </c>
      <c r="E14" s="231" t="str">
        <f t="shared" ca="1" si="6"/>
        <v>X</v>
      </c>
      <c r="F14" s="230" cm="1">
        <f t="array" aca="1" ref="F14" ca="1">IF($C14="","",INDEX(TotalApuestas!$A$1:$GL$50000,MATCH(Seguimiento!$C14,TotalApuestas!$B$1:$B$50000,0),MATCH(Seguimiento!D$1,Resultado!$2:$2,0)+1))</f>
        <v>1</v>
      </c>
      <c r="G14" s="232">
        <f ca="1">IF($C14="","",INDEX(TotalApuestas!$A$1:$GL$50000,MATCH(Seguimiento!$C14,TotalApuestas!$B$1:$B$50000,0),MATCH(Seguimiento!G$1,Resultado!$2:$2,0)))</f>
        <v>1</v>
      </c>
      <c r="H14" s="231">
        <f t="shared" ca="1" si="7"/>
        <v>1</v>
      </c>
      <c r="I14" s="233" cm="1">
        <f t="array" aca="1" ref="I14" ca="1">IF($C14="","",INDEX(TotalApuestas!$A$1:$GL$50000,MATCH(Seguimiento!$C14,TotalApuestas!$B$1:$B$50000,0),MATCH(Seguimiento!G$1,Resultado!$2:$2,0)+1))</f>
        <v>0</v>
      </c>
      <c r="J14" s="230">
        <f ca="1">IF($C14="","",INDEX(TotalApuestas!$A$1:$GL$50000,MATCH(Seguimiento!$C14,TotalApuestas!$B$1:$B$50000,0),MATCH(Seguimiento!J$1,Resultado!$2:$2,0)))</f>
        <v>0</v>
      </c>
      <c r="K14" s="231">
        <f t="shared" ca="1" si="8"/>
        <v>2</v>
      </c>
      <c r="L14" s="230" cm="1">
        <f t="array" aca="1" ref="L14" ca="1">IF($C14="","",INDEX(TotalApuestas!$A$1:$GL$50000,MATCH(Seguimiento!$C14,TotalApuestas!$B$1:$B$50000,0),MATCH(Seguimiento!J$1,Resultado!$2:$2,0)+1))</f>
        <v>3</v>
      </c>
      <c r="M14" s="232">
        <f ca="1">IF($C14="","",INDEX(TotalApuestas!$A$1:$GL$50000,MATCH(Seguimiento!$C14,TotalApuestas!$B$1:$B$50000,0),MATCH(Seguimiento!M$1,Resultado!$2:$2,0)))</f>
        <v>1</v>
      </c>
      <c r="N14" s="231">
        <f t="shared" ca="1" si="9"/>
        <v>2</v>
      </c>
      <c r="O14" s="233" cm="1">
        <f t="array" aca="1" ref="O14" ca="1">IF($C14="","",INDEX(TotalApuestas!$A$1:$GL$50000,MATCH(Seguimiento!$C14,TotalApuestas!$B$1:$B$50000,0),MATCH(Seguimiento!M$1,Resultado!$2:$2,0)+1))</f>
        <v>2</v>
      </c>
      <c r="P14" s="123"/>
      <c r="R14" s="214"/>
      <c r="S14" s="218" t="str">
        <f ca="1">IF(ClasificaciónPorra!D13=0,"",ClasificaciónPorra!D13)</f>
        <v>Carlos Hurtado</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Ecuador</v>
      </c>
      <c r="V14" s="171" t="str" cm="1">
        <f t="array" aca="1" ref="V14" ca="1">IF(OR(V$5="",$S14=""),"",IFERROR(INDEX(TotalApuestas!$A$1:$GL$50000,MATCH(Seguimiento!$S14,TotalApuestas!$B$1:$B$50000,0),MATCH("Equipos"&amp;Seguimiento!$S$1,Resultado!$4:$4,0)+COLUMNS($T$1:V$1)-1),0))</f>
        <v>Uruguay</v>
      </c>
      <c r="W14" s="171" t="str" cm="1">
        <f t="array" aca="1" ref="W14" ca="1">IF(OR(W$5="",$S14=""),"",IFERROR(INDEX(TotalApuestas!$A$1:$GL$50000,MATCH(Seguimiento!$S14,TotalApuestas!$B$1:$B$50000,0),MATCH("Equipos"&amp;Seguimiento!$S$1,Resultado!$4:$4,0)+COLUMNS($T$1:W$1)-1),0))</f>
        <v>Brasil</v>
      </c>
      <c r="X14" s="171" t="str" cm="1">
        <f t="array" aca="1" ref="X14" ca="1">IF(OR(X$5="",$S14=""),"",IFERROR(INDEX(TotalApuestas!$A$1:$GL$50000,MATCH(Seguimiento!$S14,TotalApuestas!$B$1:$B$50000,0),MATCH("Equipos"&amp;Seguimiento!$S$1,Resultado!$4:$4,0)+COLUMNS($T$1:X$1)-1),0))</f>
        <v/>
      </c>
      <c r="Y14" s="171" t="str" cm="1">
        <f t="array" aca="1" ref="Y14" ca="1">IF(OR(Y$5="",$S14=""),"",IFERROR(INDEX(TotalApuestas!$A$1:$GL$50000,MATCH(Seguimiento!$S14,TotalApuestas!$B$1:$B$50000,0),MATCH("Equipos"&amp;Seguimiento!$S$1,Resultado!$4:$4,0)+COLUMNS($T$1:Y$1)-1),0))</f>
        <v/>
      </c>
      <c r="Z14" s="171" t="str" cm="1">
        <f t="array" aca="1" ref="Z14" ca="1">IF(OR(Z$5="",$S14=""),"",IFERROR(INDEX(TotalApuestas!$A$1:$GL$50000,MATCH(Seguimiento!$S14,TotalApuestas!$B$1:$B$50000,0),MATCH("Equipos"&amp;Seguimiento!$S$1,Resultado!$4:$4,0)+COLUMNS($T$1:Z$1)-1),0))</f>
        <v/>
      </c>
      <c r="AA14" s="219" t="str" cm="1">
        <f t="array" aca="1" ref="AA14" ca="1">IF(OR(AA$5="",$S14=""),"",IFERROR(INDEX(TotalApuestas!$A$1:$GL$50000,MATCH(Seguimiento!$S14,TotalApuestas!$B$1:$B$50000,0),MATCH("Equipos"&amp;Seguimiento!$S$1,Resultado!$4:$4,0)+COLUMNS($T$1:AA$1)-1),0))</f>
        <v/>
      </c>
      <c r="AB14" s="123"/>
      <c r="AD14"/>
      <c r="AE14"/>
    </row>
    <row r="15" spans="1:31" ht="15" customHeight="1" x14ac:dyDescent="0.25">
      <c r="B15" s="214"/>
      <c r="C15" s="229" t="str">
        <f ca="1">IF(ClasificaciónPorra!D10=0,"",ClasificaciónPorra!D10)</f>
        <v>Juan Diego De Abreu</v>
      </c>
      <c r="D15" s="230">
        <f ca="1">IF($C15="","",INDEX(TotalApuestas!$A$1:$GL$50000,MATCH(Seguimiento!$C15,TotalApuestas!$B$1:$B$50000,0),MATCH(Seguimiento!D$1,Resultado!$2:$2,0)))</f>
        <v>2</v>
      </c>
      <c r="E15" s="231">
        <f t="shared" ca="1" si="6"/>
        <v>1</v>
      </c>
      <c r="F15" s="230" cm="1">
        <f t="array" aca="1" ref="F15" ca="1">IF($C15="","",INDEX(TotalApuestas!$A$1:$GL$50000,MATCH(Seguimiento!$C15,TotalApuestas!$B$1:$B$50000,0),MATCH(Seguimiento!D$1,Resultado!$2:$2,0)+1))</f>
        <v>0</v>
      </c>
      <c r="G15" s="232">
        <f ca="1">IF($C15="","",INDEX(TotalApuestas!$A$1:$GL$50000,MATCH(Seguimiento!$C15,TotalApuestas!$B$1:$B$50000,0),MATCH(Seguimiento!G$1,Resultado!$2:$2,0)))</f>
        <v>0</v>
      </c>
      <c r="H15" s="231" t="str">
        <f t="shared" ca="1" si="7"/>
        <v>X</v>
      </c>
      <c r="I15" s="233" cm="1">
        <f t="array" aca="1" ref="I15" ca="1">IF($C15="","",INDEX(TotalApuestas!$A$1:$GL$50000,MATCH(Seguimiento!$C15,TotalApuestas!$B$1:$B$50000,0),MATCH(Seguimiento!G$1,Resultado!$2:$2,0)+1))</f>
        <v>0</v>
      </c>
      <c r="J15" s="230">
        <f ca="1">IF($C15="","",INDEX(TotalApuestas!$A$1:$GL$50000,MATCH(Seguimiento!$C15,TotalApuestas!$B$1:$B$50000,0),MATCH(Seguimiento!J$1,Resultado!$2:$2,0)))</f>
        <v>0</v>
      </c>
      <c r="K15" s="231">
        <f t="shared" ca="1" si="8"/>
        <v>2</v>
      </c>
      <c r="L15" s="230" cm="1">
        <f t="array" aca="1" ref="L15" ca="1">IF($C15="","",INDEX(TotalApuestas!$A$1:$GL$50000,MATCH(Seguimiento!$C15,TotalApuestas!$B$1:$B$50000,0),MATCH(Seguimiento!J$1,Resultado!$2:$2,0)+1))</f>
        <v>2</v>
      </c>
      <c r="M15" s="232">
        <f ca="1">IF($C15="","",INDEX(TotalApuestas!$A$1:$GL$50000,MATCH(Seguimiento!$C15,TotalApuestas!$B$1:$B$50000,0),MATCH(Seguimiento!M$1,Resultado!$2:$2,0)))</f>
        <v>1</v>
      </c>
      <c r="N15" s="231">
        <f t="shared" ca="1" si="9"/>
        <v>2</v>
      </c>
      <c r="O15" s="233" cm="1">
        <f t="array" aca="1" ref="O15" ca="1">IF($C15="","",INDEX(TotalApuestas!$A$1:$GL$50000,MATCH(Seguimiento!$C15,TotalApuestas!$B$1:$B$50000,0),MATCH(Seguimiento!M$1,Resultado!$2:$2,0)+1))</f>
        <v>2</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ISAAC BERMUDEZ</v>
      </c>
      <c r="D16" s="230">
        <f ca="1">IF($C16="","",INDEX(TotalApuestas!$A$1:$GL$50000,MATCH(Seguimiento!$C16,TotalApuestas!$B$1:$B$50000,0),MATCH(Seguimiento!D$1,Resultado!$2:$2,0)))</f>
        <v>1</v>
      </c>
      <c r="E16" s="231">
        <f t="shared" ca="1" si="6"/>
        <v>1</v>
      </c>
      <c r="F16" s="230" cm="1">
        <f t="array" aca="1" ref="F16" ca="1">IF($C16="","",INDEX(TotalApuestas!$A$1:$GL$50000,MATCH(Seguimiento!$C16,TotalApuestas!$B$1:$B$50000,0),MATCH(Seguimiento!D$1,Resultado!$2:$2,0)+1))</f>
        <v>0</v>
      </c>
      <c r="G16" s="232">
        <f ca="1">IF($C16="","",INDEX(TotalApuestas!$A$1:$GL$50000,MATCH(Seguimiento!$C16,TotalApuestas!$B$1:$B$50000,0),MATCH(Seguimiento!G$1,Resultado!$2:$2,0)))</f>
        <v>2</v>
      </c>
      <c r="H16" s="231">
        <f t="shared" ca="1" si="7"/>
        <v>1</v>
      </c>
      <c r="I16" s="233" cm="1">
        <f t="array" aca="1" ref="I16" ca="1">IF($C16="","",INDEX(TotalApuestas!$A$1:$GL$50000,MATCH(Seguimiento!$C16,TotalApuestas!$B$1:$B$50000,0),MATCH(Seguimiento!G$1,Resultado!$2:$2,0)+1))</f>
        <v>1</v>
      </c>
      <c r="J16" s="230">
        <f ca="1">IF($C16="","",INDEX(TotalApuestas!$A$1:$GL$50000,MATCH(Seguimiento!$C16,TotalApuestas!$B$1:$B$50000,0),MATCH(Seguimiento!J$1,Resultado!$2:$2,0)))</f>
        <v>1</v>
      </c>
      <c r="K16" s="231">
        <f t="shared" ca="1" si="8"/>
        <v>2</v>
      </c>
      <c r="L16" s="230" cm="1">
        <f t="array" aca="1" ref="L16" ca="1">IF($C16="","",INDEX(TotalApuestas!$A$1:$GL$50000,MATCH(Seguimiento!$C16,TotalApuestas!$B$1:$B$50000,0),MATCH(Seguimiento!J$1,Resultado!$2:$2,0)+1))</f>
        <v>2</v>
      </c>
      <c r="M16" s="232">
        <f ca="1">IF($C16="","",INDEX(TotalApuestas!$A$1:$GL$50000,MATCH(Seguimiento!$C16,TotalApuestas!$B$1:$B$50000,0),MATCH(Seguimiento!M$1,Resultado!$2:$2,0)))</f>
        <v>0</v>
      </c>
      <c r="N16" s="231">
        <f t="shared" ca="1" si="9"/>
        <v>2</v>
      </c>
      <c r="O16" s="233" cm="1">
        <f t="array" aca="1" ref="O16" ca="1">IF($C16="","",INDEX(TotalApuestas!$A$1:$GL$50000,MATCH(Seguimiento!$C16,TotalApuestas!$B$1:$B$50000,0),MATCH(Seguimiento!M$1,Resultado!$2:$2,0)+1))</f>
        <v>2</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Cazaputas69</v>
      </c>
      <c r="D17" s="230">
        <f ca="1">IF($C17="","",INDEX(TotalApuestas!$A$1:$GL$50000,MATCH(Seguimiento!$C17,TotalApuestas!$B$1:$B$50000,0),MATCH(Seguimiento!D$1,Resultado!$2:$2,0)))</f>
        <v>3</v>
      </c>
      <c r="E17" s="231">
        <f t="shared" ca="1" si="6"/>
        <v>1</v>
      </c>
      <c r="F17" s="230" cm="1">
        <f t="array" aca="1" ref="F17" ca="1">IF($C17="","",INDEX(TotalApuestas!$A$1:$GL$50000,MATCH(Seguimiento!$C17,TotalApuestas!$B$1:$B$50000,0),MATCH(Seguimiento!D$1,Resultado!$2:$2,0)+1))</f>
        <v>0</v>
      </c>
      <c r="G17" s="232">
        <f ca="1">IF($C17="","",INDEX(TotalApuestas!$A$1:$GL$50000,MATCH(Seguimiento!$C17,TotalApuestas!$B$1:$B$50000,0),MATCH(Seguimiento!G$1,Resultado!$2:$2,0)))</f>
        <v>2</v>
      </c>
      <c r="H17" s="231" t="str">
        <f t="shared" ca="1" si="7"/>
        <v>X</v>
      </c>
      <c r="I17" s="233" cm="1">
        <f t="array" aca="1" ref="I17" ca="1">IF($C17="","",INDEX(TotalApuestas!$A$1:$GL$50000,MATCH(Seguimiento!$C17,TotalApuestas!$B$1:$B$50000,0),MATCH(Seguimiento!G$1,Resultado!$2:$2,0)+1))</f>
        <v>2</v>
      </c>
      <c r="J17" s="230">
        <f ca="1">IF($C17="","",INDEX(TotalApuestas!$A$1:$GL$50000,MATCH(Seguimiento!$C17,TotalApuestas!$B$1:$B$50000,0),MATCH(Seguimiento!J$1,Resultado!$2:$2,0)))</f>
        <v>0</v>
      </c>
      <c r="K17" s="231">
        <f t="shared" ca="1" si="8"/>
        <v>2</v>
      </c>
      <c r="L17" s="230" cm="1">
        <f t="array" aca="1" ref="L17" ca="1">IF($C17="","",INDEX(TotalApuestas!$A$1:$GL$50000,MATCH(Seguimiento!$C17,TotalApuestas!$B$1:$B$50000,0),MATCH(Seguimiento!J$1,Resultado!$2:$2,0)+1))</f>
        <v>2</v>
      </c>
      <c r="M17" s="232">
        <f ca="1">IF($C17="","",INDEX(TotalApuestas!$A$1:$GL$50000,MATCH(Seguimiento!$C17,TotalApuestas!$B$1:$B$50000,0),MATCH(Seguimiento!M$1,Resultado!$2:$2,0)))</f>
        <v>0</v>
      </c>
      <c r="N17" s="231">
        <f t="shared" ca="1" si="9"/>
        <v>2</v>
      </c>
      <c r="O17" s="233" cm="1">
        <f t="array" aca="1" ref="O17" ca="1">IF($C17="","",INDEX(TotalApuestas!$A$1:$GL$50000,MATCH(Seguimiento!$C17,TotalApuestas!$B$1:$B$50000,0),MATCH(Seguimiento!M$1,Resultado!$2:$2,0)+1))</f>
        <v>2</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Carlos Hurtado</v>
      </c>
      <c r="D18" s="230">
        <f ca="1">IF($C18="","",INDEX(TotalApuestas!$A$1:$GL$50000,MATCH(Seguimiento!$C18,TotalApuestas!$B$1:$B$50000,0),MATCH(Seguimiento!D$1,Resultado!$2:$2,0)))</f>
        <v>3</v>
      </c>
      <c r="E18" s="231">
        <f t="shared" ca="1" si="6"/>
        <v>1</v>
      </c>
      <c r="F18" s="230" cm="1">
        <f t="array" aca="1" ref="F18" ca="1">IF($C18="","",INDEX(TotalApuestas!$A$1:$GL$50000,MATCH(Seguimiento!$C18,TotalApuestas!$B$1:$B$50000,0),MATCH(Seguimiento!D$1,Resultado!$2:$2,0)+1))</f>
        <v>0</v>
      </c>
      <c r="G18" s="232">
        <f ca="1">IF($C18="","",INDEX(TotalApuestas!$A$1:$GL$50000,MATCH(Seguimiento!$C18,TotalApuestas!$B$1:$B$50000,0),MATCH(Seguimiento!G$1,Resultado!$2:$2,0)))</f>
        <v>0</v>
      </c>
      <c r="H18" s="231">
        <f t="shared" ca="1" si="7"/>
        <v>2</v>
      </c>
      <c r="I18" s="233" cm="1">
        <f t="array" aca="1" ref="I18" ca="1">IF($C18="","",INDEX(TotalApuestas!$A$1:$GL$50000,MATCH(Seguimiento!$C18,TotalApuestas!$B$1:$B$50000,0),MATCH(Seguimiento!G$1,Resultado!$2:$2,0)+1))</f>
        <v>2</v>
      </c>
      <c r="J18" s="230">
        <f ca="1">IF($C18="","",INDEX(TotalApuestas!$A$1:$GL$50000,MATCH(Seguimiento!$C18,TotalApuestas!$B$1:$B$50000,0),MATCH(Seguimiento!J$1,Resultado!$2:$2,0)))</f>
        <v>2</v>
      </c>
      <c r="K18" s="231">
        <f t="shared" ca="1" si="8"/>
        <v>2</v>
      </c>
      <c r="L18" s="230" cm="1">
        <f t="array" aca="1" ref="L18" ca="1">IF($C18="","",INDEX(TotalApuestas!$A$1:$GL$50000,MATCH(Seguimiento!$C18,TotalApuestas!$B$1:$B$50000,0),MATCH(Seguimiento!J$1,Resultado!$2:$2,0)+1))</f>
        <v>3</v>
      </c>
      <c r="M18" s="232">
        <f ca="1">IF($C18="","",INDEX(TotalApuestas!$A$1:$GL$50000,MATCH(Seguimiento!$C18,TotalApuestas!$B$1:$B$50000,0),MATCH(Seguimiento!M$1,Resultado!$2:$2,0)))</f>
        <v>1</v>
      </c>
      <c r="N18" s="231">
        <f t="shared" ca="1" si="9"/>
        <v>2</v>
      </c>
      <c r="O18" s="233" cm="1">
        <f t="array" aca="1" ref="O18" ca="1">IF($C18="","",INDEX(TotalApuestas!$A$1:$GL$50000,MATCH(Seguimiento!$C18,TotalApuestas!$B$1:$B$50000,0),MATCH(Seguimiento!M$1,Resultado!$2:$2,0)+1))</f>
        <v>2</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f ca="1">VLOOKUP(AF2,Aux!$F:$O,9,0)</f>
        <v>0</v>
      </c>
      <c r="AG3" s="191">
        <f ca="1">VLOOKUP(AF2,Aux!$F:$O,10,0)</f>
        <v>1</v>
      </c>
      <c r="AH3" s="191">
        <f t="shared" ref="AH3" ca="1" si="8">IF(OR(AF3="",AG3=""),"",IF(AF3&gt;AG3,1,IF(AF3=AG3,"x",2)))</f>
        <v>2</v>
      </c>
      <c r="AI3" s="191">
        <f ca="1">VLOOKUP(AI2,Aux!$F:$O,9,0)</f>
        <v>3</v>
      </c>
      <c r="AJ3" s="191">
        <f ca="1">VLOOKUP(AI2,Aux!$F:$O,10,0)</f>
        <v>1</v>
      </c>
      <c r="AK3" s="191">
        <f t="shared" ref="AK3" ca="1" si="9">IF(OR(AI3="",AJ3=""),"",IF(AI3&gt;AJ3,1,IF(AI3=AJ3,"x",2)))</f>
        <v>1</v>
      </c>
      <c r="AL3" s="191">
        <f ca="1">VLOOKUP(AL2,Aux!$F:$O,9,0)</f>
        <v>1</v>
      </c>
      <c r="AM3" s="191">
        <f ca="1">VLOOKUP(AL2,Aux!$F:$O,10,0)</f>
        <v>0</v>
      </c>
      <c r="AN3" s="191">
        <f t="shared" ref="AN3" ca="1" si="10">IF(OR(AL3="",AM3=""),"",IF(AL3&gt;AM3,1,IF(AL3=AM3,"x",2)))</f>
        <v>1</v>
      </c>
      <c r="AO3" s="191">
        <f ca="1">VLOOKUP(AO2,Aux!$F:$O,9,0)</f>
        <v>2</v>
      </c>
      <c r="AP3" s="191">
        <f ca="1">VLOOKUP(AO2,Aux!$F:$O,10,0)</f>
        <v>1</v>
      </c>
      <c r="AQ3" s="191">
        <f t="shared" ref="AQ3" ca="1" si="11">IF(OR(AO3="",AP3=""),"",IF(AO3&gt;AP3,1,IF(AO3=AP3,"x",2)))</f>
        <v>1</v>
      </c>
      <c r="AR3" s="191">
        <f ca="1">VLOOKUP(AR2,Aux!$F:$O,9,0)</f>
        <v>5</v>
      </c>
      <c r="AS3" s="191">
        <f ca="1">VLOOKUP(AR2,Aux!$F:$O,10,0)</f>
        <v>0</v>
      </c>
      <c r="AT3" s="191">
        <f t="shared" ref="AT3" ca="1" si="12">IF(OR(AR3="",AS3=""),"",IF(AR3&gt;AS3,1,IF(AR3=AS3,"x",2)))</f>
        <v>1</v>
      </c>
      <c r="AU3" s="191">
        <f ca="1">VLOOKUP(AU2,Aux!$F:$O,9,0)</f>
        <v>3</v>
      </c>
      <c r="AV3" s="191">
        <f ca="1">VLOOKUP(AU2,Aux!$F:$O,10,0)</f>
        <v>0</v>
      </c>
      <c r="AW3" s="191">
        <f t="shared" ref="AW3" ca="1" si="13">IF(OR(AU3="",AV3=""),"",IF(AU3&gt;AV3,1,IF(AU3=AV3,"x",2)))</f>
        <v>1</v>
      </c>
      <c r="AX3" s="191">
        <f ca="1">VLOOKUP(AX2,Aux!$F:$O,9,0)</f>
        <v>1</v>
      </c>
      <c r="AY3" s="191">
        <f ca="1">VLOOKUP(AX2,Aux!$F:$O,10,0)</f>
        <v>4</v>
      </c>
      <c r="AZ3" s="191">
        <f t="shared" ref="AZ3" ca="1" si="14">IF(OR(AX3="",AY3=""),"",IF(AX3&gt;AY3,1,IF(AX3=AY3,"x",2)))</f>
        <v>2</v>
      </c>
      <c r="BA3" s="191">
        <f ca="1">VLOOKUP(BA2,Aux!$F:$O,9,0)</f>
        <v>2</v>
      </c>
      <c r="BB3" s="191">
        <f ca="1">VLOOKUP(BA2,Aux!$F:$O,10,0)</f>
        <v>0</v>
      </c>
      <c r="BC3" s="191">
        <f t="shared" ref="BC3" ca="1" si="15">IF(OR(BA3="",BB3=""),"",IF(BA3&gt;BB3,1,IF(BA3=BB3,"x",2)))</f>
        <v>1</v>
      </c>
      <c r="BD3" s="191">
        <f ca="1">VLOOKUP(BD2,Aux!$F:$O,9,0)</f>
        <v>0</v>
      </c>
      <c r="BE3" s="191">
        <f ca="1">VLOOKUP(BD2,Aux!$F:$O,10,0)</f>
        <v>0</v>
      </c>
      <c r="BF3" s="191" t="str">
        <f t="shared" ref="BF3" ca="1" si="16">IF(OR(BD3="",BE3=""),"",IF(BD3&gt;BE3,1,IF(BD3=BE3,"x",2)))</f>
        <v>x</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Argentina</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5</v>
      </c>
      <c r="AI7">
        <f ca="1">IF($B7=0,0,IF(AI$3=TotalApuestas!AI2,AI$5,0))</f>
        <v>0</v>
      </c>
      <c r="AJ7">
        <f ca="1">IF($B7=0,0,IF(AJ$3=TotalApuestas!AJ2,AJ$5,0))</f>
        <v>0</v>
      </c>
      <c r="AK7">
        <f ca="1">IF($B7=0,0,IF(AND(AI$3=TotalApuestas!AI2,Resultado!AJ$3=TotalApuestas!AJ2),Resultado!AK$5+VLOOKUP(AK$4&amp;"bonus",Aux!$W$1:$X$46,2,0),IF(AK$3=TotalApuestas!AK2,AK$5,0)))</f>
        <v>5</v>
      </c>
      <c r="AL7">
        <f ca="1">IF($B7=0,0,IF(AL$3=TotalApuestas!AL2,AL$5,0))</f>
        <v>0</v>
      </c>
      <c r="AM7">
        <f ca="1">IF($B7=0,0,IF(AM$3=TotalApuestas!AM2,AM$5,0))</f>
        <v>0</v>
      </c>
      <c r="AN7">
        <f ca="1">IF($B7=0,0,IF(AND(AL$3=TotalApuestas!AL2,Resultado!AM$3=TotalApuestas!AM2),Resultado!AN$5+VLOOKUP(AN$4&amp;"bonus",Aux!$W$1:$X$46,2,0),IF(AN$3=TotalApuestas!AN2,AN$5,0)))</f>
        <v>5</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5</v>
      </c>
      <c r="AU7">
        <f ca="1">IF($B7=0,0,IF(AU$3=TotalApuestas!AU2,AU$5,0))</f>
        <v>0</v>
      </c>
      <c r="AV7">
        <f ca="1">IF($B7=0,0,IF(AV$3=TotalApuestas!AV2,AV$5,0))</f>
        <v>0</v>
      </c>
      <c r="AW7">
        <f ca="1">IF($B7=0,0,IF(AND(AU$3=TotalApuestas!AU2,Resultado!AV$3=TotalApuestas!AV2),Resultado!AW$5+VLOOKUP(AW$4&amp;"bonus",Aux!$W$1:$X$46,2,0),IF(AW$3=TotalApuestas!AW2,AW$5,0)))</f>
        <v>5</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5</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0</v>
      </c>
      <c r="BM7">
        <f ca="1">IF($B7=0,0,IF(BM$3=TotalApuestas!BM2,BM$5,0))</f>
        <v>0</v>
      </c>
      <c r="BN7">
        <f ca="1">IF($B7=0,0,IF(BN$3=TotalApuestas!BN2,BN$5,0))</f>
        <v>0</v>
      </c>
      <c r="BO7">
        <f ca="1">IF($B7=0,0,IF(AND(BM$3=TotalApuestas!BM2,Resultado!BN$3=TotalApuestas!BN2),Resultado!BO$5+VLOOKUP(BO$4&amp;"bonus",Aux!$W$1:$X$46,2,0),IF(BO$3=TotalApuestas!BO2,BO$5,0)))</f>
        <v>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15</v>
      </c>
      <c r="BZ7">
        <f ca="1">IF($B7=0,0,IF(BZ$3=TotalApuestas!BZ2,BZ$5,0))</f>
        <v>0</v>
      </c>
      <c r="CA7">
        <f ca="1">IF($B7=0,0,IF(CA$3=TotalApuestas!CA2,CA$5,0))</f>
        <v>0</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5</v>
      </c>
      <c r="AI8">
        <f ca="1">IF($B8=0,0,IF(AI$3=TotalApuestas!AI3,AI$5,0))</f>
        <v>0</v>
      </c>
      <c r="AJ8">
        <f ca="1">IF($B8=0,0,IF(AJ$3=TotalApuestas!AJ3,AJ$5,0))</f>
        <v>0</v>
      </c>
      <c r="AK8">
        <f ca="1">IF($B8=0,0,IF(AND(AI$3=TotalApuestas!AI3,Resultado!AJ$3=TotalApuestas!AJ3),Resultado!AK$5+VLOOKUP(AK$4&amp;"bonus",Aux!$W$1:$X$46,2,0),IF(AK$3=TotalApuestas!AK3,AK$5,0)))</f>
        <v>5</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5</v>
      </c>
      <c r="AU8">
        <f ca="1">IF($B8=0,0,IF(AU$3=TotalApuestas!AU3,AU$5,0))</f>
        <v>0</v>
      </c>
      <c r="AV8">
        <f ca="1">IF($B8=0,0,IF(AV$3=TotalApuestas!AV3,AV$5,0))</f>
        <v>0</v>
      </c>
      <c r="AW8">
        <f ca="1">IF($B8=0,0,IF(AND(AU$3=TotalApuestas!AU3,Resultado!AV$3=TotalApuestas!AV3),Resultado!AW$5+VLOOKUP(AW$4&amp;"bonus",Aux!$W$1:$X$46,2,0),IF(AW$3=TotalApuestas!AW3,AW$5,0)))</f>
        <v>5</v>
      </c>
      <c r="AX8">
        <f ca="1">IF($B8=0,0,IF(AX$3=TotalApuestas!AX3,AX$5,0))</f>
        <v>0</v>
      </c>
      <c r="AY8">
        <f ca="1">IF($B8=0,0,IF(AY$3=TotalApuestas!AY3,AY$5,0))</f>
        <v>0</v>
      </c>
      <c r="AZ8">
        <f ca="1">IF($B8=0,0,IF(AND(AX$3=TotalApuestas!AX3,Resultado!AY$3=TotalApuestas!AY3),Resultado!AZ$5+VLOOKUP(AZ$4&amp;"bonus",Aux!$W$1:$X$46,2,0),IF(AZ$3=TotalApuestas!AZ3,AZ$5,0)))</f>
        <v>5</v>
      </c>
      <c r="BA8">
        <f ca="1">IF($B8=0,0,IF(BA$3=TotalApuestas!BA3,BA$5,0))</f>
        <v>0</v>
      </c>
      <c r="BB8">
        <f ca="1">IF($B8=0,0,IF(BB$3=TotalApuestas!BB3,BB$5,0))</f>
        <v>0</v>
      </c>
      <c r="BC8">
        <f ca="1">IF($B8=0,0,IF(AND(BA$3=TotalApuestas!BA3,Resultado!BB$3=TotalApuestas!BB3),Resultado!BC$5+VLOOKUP(BC$4&amp;"bonus",Aux!$W$1:$X$46,2,0),IF(BC$3=TotalApuestas!BC3,BC$5,0)))</f>
        <v>5</v>
      </c>
      <c r="BD8">
        <f ca="1">IF($B8=0,0,IF(BD$3=TotalApuestas!BD3,BD$5,0))</f>
        <v>0</v>
      </c>
      <c r="BE8">
        <f ca="1">IF($B8=0,0,IF(BE$3=TotalApuestas!BE3,BE$5,0))</f>
        <v>0</v>
      </c>
      <c r="BF8">
        <f ca="1">IF($B8=0,0,IF(AND(BD$3=TotalApuestas!BD3,Resultado!BE$3=TotalApuestas!BE3),Resultado!BF$5+VLOOKUP(BF$4&amp;"bonus",Aux!$W$1:$X$46,2,0),IF(BF$3=TotalApuestas!BF3,BF$5,0)))</f>
        <v>5</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0</v>
      </c>
      <c r="BM8">
        <f ca="1">IF($B8=0,0,IF(BM$3=TotalApuestas!BM3,BM$5,0))</f>
        <v>0</v>
      </c>
      <c r="BN8">
        <f ca="1">IF($B8=0,0,IF(BN$3=TotalApuestas!BN3,BN$5,0))</f>
        <v>0</v>
      </c>
      <c r="BO8">
        <f ca="1">IF($B8=0,0,IF(AND(BM$3=TotalApuestas!BM3,Resultado!BN$3=TotalApuestas!BN3),Resultado!BO$5+VLOOKUP(BO$4&amp;"bonus",Aux!$W$1:$X$46,2,0),IF(BO$3=TotalApuestas!BO3,BO$5,0)))</f>
        <v>0</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15</v>
      </c>
      <c r="BZ8">
        <f ca="1">IF($B8=0,0,IF(BZ$3=TotalApuestas!BZ3,BZ$5,0))</f>
        <v>0</v>
      </c>
      <c r="CA8">
        <f ca="1">IF($B8=0,0,IF(CA$3=TotalApuestas!CA3,CA$5,0))</f>
        <v>0</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5</v>
      </c>
      <c r="AI9">
        <f ca="1">IF($B9=0,0,IF(AI$3=TotalApuestas!AI4,AI$5,0))</f>
        <v>0</v>
      </c>
      <c r="AJ9">
        <f ca="1">IF($B9=0,0,IF(AJ$3=TotalApuestas!AJ4,AJ$5,0))</f>
        <v>0</v>
      </c>
      <c r="AK9">
        <f ca="1">IF($B9=0,0,IF(AND(AI$3=TotalApuestas!AI4,Resultado!AJ$3=TotalApuestas!AJ4),Resultado!AK$5+VLOOKUP(AK$4&amp;"bonus",Aux!$W$1:$X$46,2,0),IF(AK$3=TotalApuestas!AK4,AK$5,0)))</f>
        <v>5</v>
      </c>
      <c r="AL9">
        <f ca="1">IF($B9=0,0,IF(AL$3=TotalApuestas!AL4,AL$5,0))</f>
        <v>0</v>
      </c>
      <c r="AM9">
        <f ca="1">IF($B9=0,0,IF(AM$3=TotalApuestas!AM4,AM$5,0))</f>
        <v>0</v>
      </c>
      <c r="AN9">
        <f ca="1">IF($B9=0,0,IF(AND(AL$3=TotalApuestas!AL4,Resultado!AM$3=TotalApuestas!AM4),Resultado!AN$5+VLOOKUP(AN$4&amp;"bonus",Aux!$W$1:$X$46,2,0),IF(AN$3=TotalApuestas!AN4,AN$5,0)))</f>
        <v>5</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5</v>
      </c>
      <c r="AU9">
        <f ca="1">IF($B9=0,0,IF(AU$3=TotalApuestas!AU4,AU$5,0))</f>
        <v>0</v>
      </c>
      <c r="AV9">
        <f ca="1">IF($B9=0,0,IF(AV$3=TotalApuestas!AV4,AV$5,0))</f>
        <v>0</v>
      </c>
      <c r="AW9">
        <f ca="1">IF($B9=0,0,IF(AND(AU$3=TotalApuestas!AU4,Resultado!AV$3=TotalApuestas!AV4),Resultado!AW$5+VLOOKUP(AW$4&amp;"bonus",Aux!$W$1:$X$46,2,0),IF(AW$3=TotalApuestas!AW4,AW$5,0)))</f>
        <v>10</v>
      </c>
      <c r="AX9">
        <f ca="1">IF($B9=0,0,IF(AX$3=TotalApuestas!AX4,AX$5,0))</f>
        <v>0</v>
      </c>
      <c r="AY9">
        <f ca="1">IF($B9=0,0,IF(AY$3=TotalApuestas!AY4,AY$5,0))</f>
        <v>0</v>
      </c>
      <c r="AZ9">
        <f ca="1">IF($B9=0,0,IF(AND(AX$3=TotalApuestas!AX4,Resultado!AY$3=TotalApuestas!AY4),Resultado!AZ$5+VLOOKUP(AZ$4&amp;"bonus",Aux!$W$1:$X$46,2,0),IF(AZ$3=TotalApuestas!AZ4,AZ$5,0)))</f>
        <v>5</v>
      </c>
      <c r="BA9">
        <f ca="1">IF($B9=0,0,IF(BA$3=TotalApuestas!BA4,BA$5,0))</f>
        <v>0</v>
      </c>
      <c r="BB9">
        <f ca="1">IF($B9=0,0,IF(BB$3=TotalApuestas!BB4,BB$5,0))</f>
        <v>0</v>
      </c>
      <c r="BC9">
        <f ca="1">IF($B9=0,0,IF(AND(BA$3=TotalApuestas!BA4,Resultado!BB$3=TotalApuestas!BB4),Resultado!BC$5+VLOOKUP(BC$4&amp;"bonus",Aux!$W$1:$X$46,2,0),IF(BC$3=TotalApuestas!BC4,BC$5,0)))</f>
        <v>5</v>
      </c>
      <c r="BD9">
        <f ca="1">IF($B9=0,0,IF(BD$3=TotalApuestas!BD4,BD$5,0))</f>
        <v>0</v>
      </c>
      <c r="BE9">
        <f ca="1">IF($B9=0,0,IF(BE$3=TotalApuestas!BE4,BE$5,0))</f>
        <v>0</v>
      </c>
      <c r="BF9">
        <f ca="1">IF($B9=0,0,IF(AND(BD$3=TotalApuestas!BD4,Resultado!BE$3=TotalApuestas!BE4),Resultado!BF$5+VLOOKUP(BF$4&amp;"bonus",Aux!$W$1:$X$46,2,0),IF(BF$3=TotalApuestas!BF4,BF$5,0)))</f>
        <v>5</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0</v>
      </c>
      <c r="BM9">
        <f ca="1">IF($B9=0,0,IF(BM$3=TotalApuestas!BM4,BM$5,0))</f>
        <v>0</v>
      </c>
      <c r="BN9">
        <f ca="1">IF($B9=0,0,IF(BN$3=TotalApuestas!BN4,BN$5,0))</f>
        <v>0</v>
      </c>
      <c r="BO9">
        <f ca="1">IF($B9=0,0,IF(AND(BM$3=TotalApuestas!BM4,Resultado!BN$3=TotalApuestas!BN4),Resultado!BO$5+VLOOKUP(BO$4&amp;"bonus",Aux!$W$1:$X$46,2,0),IF(BO$3=TotalApuestas!BO4,BO$5,0)))</f>
        <v>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15</v>
      </c>
      <c r="BZ9">
        <f ca="1">IF($B9=0,0,IF(BZ$3=TotalApuestas!BZ4,BZ$5,0))</f>
        <v>0</v>
      </c>
      <c r="CA9">
        <f ca="1">IF($B9=0,0,IF(CA$3=TotalApuestas!CA4,CA$5,0))</f>
        <v>0</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5</v>
      </c>
      <c r="AI10">
        <f ca="1">IF($B10=0,0,IF(AI$3=TotalApuestas!AI5,AI$5,0))</f>
        <v>0</v>
      </c>
      <c r="AJ10">
        <f ca="1">IF($B10=0,0,IF(AJ$3=TotalApuestas!AJ5,AJ$5,0))</f>
        <v>0</v>
      </c>
      <c r="AK10">
        <f ca="1">IF($B10=0,0,IF(AND(AI$3=TotalApuestas!AI5,Resultado!AJ$3=TotalApuestas!AJ5),Resultado!AK$5+VLOOKUP(AK$4&amp;"bonus",Aux!$W$1:$X$46,2,0),IF(AK$3=TotalApuestas!AK5,AK$5,0)))</f>
        <v>5</v>
      </c>
      <c r="AL10">
        <f ca="1">IF($B10=0,0,IF(AL$3=TotalApuestas!AL5,AL$5,0))</f>
        <v>0</v>
      </c>
      <c r="AM10">
        <f ca="1">IF($B10=0,0,IF(AM$3=TotalApuestas!AM5,AM$5,0))</f>
        <v>0</v>
      </c>
      <c r="AN10">
        <f ca="1">IF($B10=0,0,IF(AND(AL$3=TotalApuestas!AL5,Resultado!AM$3=TotalApuestas!AM5),Resultado!AN$5+VLOOKUP(AN$4&amp;"bonus",Aux!$W$1:$X$46,2,0),IF(AN$3=TotalApuestas!AN5,AN$5,0)))</f>
        <v>10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5</v>
      </c>
      <c r="AU10">
        <f ca="1">IF($B10=0,0,IF(AU$3=TotalApuestas!AU5,AU$5,0))</f>
        <v>0</v>
      </c>
      <c r="AV10">
        <f ca="1">IF($B10=0,0,IF(AV$3=TotalApuestas!AV5,AV$5,0))</f>
        <v>0</v>
      </c>
      <c r="AW10">
        <f ca="1">IF($B10=0,0,IF(AND(AU$3=TotalApuestas!AU5,Resultado!AV$3=TotalApuestas!AV5),Resultado!AW$5+VLOOKUP(AW$4&amp;"bonus",Aux!$W$1:$X$46,2,0),IF(AW$3=TotalApuestas!AW5,AW$5,0)))</f>
        <v>5</v>
      </c>
      <c r="AX10">
        <f ca="1">IF($B10=0,0,IF(AX$3=TotalApuestas!AX5,AX$5,0))</f>
        <v>0</v>
      </c>
      <c r="AY10">
        <f ca="1">IF($B10=0,0,IF(AY$3=TotalApuestas!AY5,AY$5,0))</f>
        <v>0</v>
      </c>
      <c r="AZ10">
        <f ca="1">IF($B10=0,0,IF(AND(AX$3=TotalApuestas!AX5,Resultado!AY$3=TotalApuestas!AY5),Resultado!AZ$5+VLOOKUP(AZ$4&amp;"bonus",Aux!$W$1:$X$46,2,0),IF(AZ$3=TotalApuestas!AZ5,AZ$5,0)))</f>
        <v>5</v>
      </c>
      <c r="BA10">
        <f ca="1">IF($B10=0,0,IF(BA$3=TotalApuestas!BA5,BA$5,0))</f>
        <v>0</v>
      </c>
      <c r="BB10">
        <f ca="1">IF($B10=0,0,IF(BB$3=TotalApuestas!BB5,BB$5,0))</f>
        <v>0</v>
      </c>
      <c r="BC10">
        <f ca="1">IF($B10=0,0,IF(AND(BA$3=TotalApuestas!BA5,Resultado!BB$3=TotalApuestas!BB5),Resultado!BC$5+VLOOKUP(BC$4&amp;"bonus",Aux!$W$1:$X$46,2,0),IF(BC$3=TotalApuestas!BC5,BC$5,0)))</f>
        <v>5</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0</v>
      </c>
      <c r="BM10">
        <f ca="1">IF($B10=0,0,IF(BM$3=TotalApuestas!BM5,BM$5,0))</f>
        <v>0</v>
      </c>
      <c r="BN10">
        <f ca="1">IF($B10=0,0,IF(BN$3=TotalApuestas!BN5,BN$5,0))</f>
        <v>0</v>
      </c>
      <c r="BO10">
        <f ca="1">IF($B10=0,0,IF(AND(BM$3=TotalApuestas!BM5,Resultado!BN$3=TotalApuestas!BN5),Resultado!BO$5+VLOOKUP(BO$4&amp;"bonus",Aux!$W$1:$X$46,2,0),IF(BO$3=TotalApuestas!BO5,BO$5,0)))</f>
        <v>0</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15</v>
      </c>
      <c r="BZ10">
        <f ca="1">IF($B10=0,0,IF(BZ$3=TotalApuestas!BZ5,BZ$5,0))</f>
        <v>0</v>
      </c>
      <c r="CA10">
        <f ca="1">IF($B10=0,0,IF(CA$3=TotalApuestas!CA5,CA$5,0))</f>
        <v>0</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5</v>
      </c>
      <c r="AI11">
        <f ca="1">IF($B11=0,0,IF(AI$3=TotalApuestas!AI6,AI$5,0))</f>
        <v>0</v>
      </c>
      <c r="AJ11">
        <f ca="1">IF($B11=0,0,IF(AJ$3=TotalApuestas!AJ6,AJ$5,0))</f>
        <v>0</v>
      </c>
      <c r="AK11">
        <f ca="1">IF($B11=0,0,IF(AND(AI$3=TotalApuestas!AI6,Resultado!AJ$3=TotalApuestas!AJ6),Resultado!AK$5+VLOOKUP(AK$4&amp;"bonus",Aux!$W$1:$X$46,2,0),IF(AK$3=TotalApuestas!AK6,AK$5,0)))</f>
        <v>10</v>
      </c>
      <c r="AL11">
        <f ca="1">IF($B11=0,0,IF(AL$3=TotalApuestas!AL6,AL$5,0))</f>
        <v>0</v>
      </c>
      <c r="AM11">
        <f ca="1">IF($B11=0,0,IF(AM$3=TotalApuestas!AM6,AM$5,0))</f>
        <v>0</v>
      </c>
      <c r="AN11">
        <f ca="1">IF($B11=0,0,IF(AND(AL$3=TotalApuestas!AL6,Resultado!AM$3=TotalApuestas!AM6),Resultado!AN$5+VLOOKUP(AN$4&amp;"bonus",Aux!$W$1:$X$46,2,0),IF(AN$3=TotalApuestas!AN6,AN$5,0)))</f>
        <v>5</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5</v>
      </c>
      <c r="AU11">
        <f ca="1">IF($B11=0,0,IF(AU$3=TotalApuestas!AU6,AU$5,0))</f>
        <v>0</v>
      </c>
      <c r="AV11">
        <f ca="1">IF($B11=0,0,IF(AV$3=TotalApuestas!AV6,AV$5,0))</f>
        <v>0</v>
      </c>
      <c r="AW11">
        <f ca="1">IF($B11=0,0,IF(AND(AU$3=TotalApuestas!AU6,Resultado!AV$3=TotalApuestas!AV6),Resultado!AW$5+VLOOKUP(AW$4&amp;"bonus",Aux!$W$1:$X$46,2,0),IF(AW$3=TotalApuestas!AW6,AW$5,0)))</f>
        <v>5</v>
      </c>
      <c r="AX11">
        <f ca="1">IF($B11=0,0,IF(AX$3=TotalApuestas!AX6,AX$5,0))</f>
        <v>0</v>
      </c>
      <c r="AY11">
        <f ca="1">IF($B11=0,0,IF(AY$3=TotalApuestas!AY6,AY$5,0))</f>
        <v>0</v>
      </c>
      <c r="AZ11">
        <f ca="1">IF($B11=0,0,IF(AND(AX$3=TotalApuestas!AX6,Resultado!AY$3=TotalApuestas!AY6),Resultado!AZ$5+VLOOKUP(AZ$4&amp;"bonus",Aux!$W$1:$X$46,2,0),IF(AZ$3=TotalApuestas!AZ6,AZ$5,0)))</f>
        <v>5</v>
      </c>
      <c r="BA11">
        <f ca="1">IF($B11=0,0,IF(BA$3=TotalApuestas!BA6,BA$5,0))</f>
        <v>0</v>
      </c>
      <c r="BB11">
        <f ca="1">IF($B11=0,0,IF(BB$3=TotalApuestas!BB6,BB$5,0))</f>
        <v>0</v>
      </c>
      <c r="BC11">
        <f ca="1">IF($B11=0,0,IF(AND(BA$3=TotalApuestas!BA6,Resultado!BB$3=TotalApuestas!BB6),Resultado!BC$5+VLOOKUP(BC$4&amp;"bonus",Aux!$W$1:$X$46,2,0),IF(BC$3=TotalApuestas!BC6,BC$5,0)))</f>
        <v>10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0</v>
      </c>
      <c r="BJ11">
        <f ca="1">IF($B11=0,0,IF(BJ$3=TotalApuestas!BJ6,BJ$5,0))</f>
        <v>0</v>
      </c>
      <c r="BK11">
        <f ca="1">IF($B11=0,0,IF(BK$3=TotalApuestas!BK6,BK$5,0))</f>
        <v>0</v>
      </c>
      <c r="BL11">
        <f ca="1">IF($B11=0,0,IF(AND(BJ$3=TotalApuestas!BJ6,Resultado!BK$3=TotalApuestas!BK6),Resultado!BL$5+VLOOKUP(BL$4&amp;"bonus",Aux!$W$1:$X$46,2,0),IF(BL$3=TotalApuestas!BL6,BL$5,0)))</f>
        <v>0</v>
      </c>
      <c r="BM11">
        <f ca="1">IF($B11=0,0,IF(BM$3=TotalApuestas!BM6,BM$5,0))</f>
        <v>0</v>
      </c>
      <c r="BN11">
        <f ca="1">IF($B11=0,0,IF(BN$3=TotalApuestas!BN6,BN$5,0))</f>
        <v>0</v>
      </c>
      <c r="BO11">
        <f ca="1">IF($B11=0,0,IF(AND(BM$3=TotalApuestas!BM6,Resultado!BN$3=TotalApuestas!BN6),Resultado!BO$5+VLOOKUP(BO$4&amp;"bonus",Aux!$W$1:$X$46,2,0),IF(BO$3=TotalApuestas!BO6,BO$5,0)))</f>
        <v>0</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15</v>
      </c>
      <c r="BZ11">
        <f ca="1">IF($B11=0,0,IF(BZ$3=TotalApuestas!BZ6,BZ$5,0))</f>
        <v>0</v>
      </c>
      <c r="CA11">
        <f ca="1">IF($B11=0,0,IF(CA$3=TotalApuestas!CA6,CA$5,0))</f>
        <v>0</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5</v>
      </c>
      <c r="AI12">
        <f ca="1">IF($B12=0,0,IF(AI$3=TotalApuestas!AI7,AI$5,0))</f>
        <v>0</v>
      </c>
      <c r="AJ12">
        <f ca="1">IF($B12=0,0,IF(AJ$3=TotalApuestas!AJ7,AJ$5,0))</f>
        <v>0</v>
      </c>
      <c r="AK12">
        <f ca="1">IF($B12=0,0,IF(AND(AI$3=TotalApuestas!AI7,Resultado!AJ$3=TotalApuestas!AJ7),Resultado!AK$5+VLOOKUP(AK$4&amp;"bonus",Aux!$W$1:$X$46,2,0),IF(AK$3=TotalApuestas!AK7,AK$5,0)))</f>
        <v>5</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5</v>
      </c>
      <c r="AU12">
        <f ca="1">IF($B12=0,0,IF(AU$3=TotalApuestas!AU7,AU$5,0))</f>
        <v>0</v>
      </c>
      <c r="AV12">
        <f ca="1">IF($B12=0,0,IF(AV$3=TotalApuestas!AV7,AV$5,0))</f>
        <v>0</v>
      </c>
      <c r="AW12">
        <f ca="1">IF($B12=0,0,IF(AND(AU$3=TotalApuestas!AU7,Resultado!AV$3=TotalApuestas!AV7),Resultado!AW$5+VLOOKUP(AW$4&amp;"bonus",Aux!$W$1:$X$46,2,0),IF(AW$3=TotalApuestas!AW7,AW$5,0)))</f>
        <v>5</v>
      </c>
      <c r="AX12">
        <f ca="1">IF($B12=0,0,IF(AX$3=TotalApuestas!AX7,AX$5,0))</f>
        <v>0</v>
      </c>
      <c r="AY12">
        <f ca="1">IF($B12=0,0,IF(AY$3=TotalApuestas!AY7,AY$5,0))</f>
        <v>0</v>
      </c>
      <c r="AZ12">
        <f ca="1">IF($B12=0,0,IF(AND(AX$3=TotalApuestas!AX7,Resultado!AY$3=TotalApuestas!AY7),Resultado!AZ$5+VLOOKUP(AZ$4&amp;"bonus",Aux!$W$1:$X$46,2,0),IF(AZ$3=TotalApuestas!AZ7,AZ$5,0)))</f>
        <v>5</v>
      </c>
      <c r="BA12">
        <f ca="1">IF($B12=0,0,IF(BA$3=TotalApuestas!BA7,BA$5,0))</f>
        <v>0</v>
      </c>
      <c r="BB12">
        <f ca="1">IF($B12=0,0,IF(BB$3=TotalApuestas!BB7,BB$5,0))</f>
        <v>0</v>
      </c>
      <c r="BC12">
        <f ca="1">IF($B12=0,0,IF(AND(BA$3=TotalApuestas!BA7,Resultado!BB$3=TotalApuestas!BB7),Resultado!BC$5+VLOOKUP(BC$4&amp;"bonus",Aux!$W$1:$X$46,2,0),IF(BC$3=TotalApuestas!BC7,BC$5,0)))</f>
        <v>10</v>
      </c>
      <c r="BD12">
        <f ca="1">IF($B12=0,0,IF(BD$3=TotalApuestas!BD7,BD$5,0))</f>
        <v>0</v>
      </c>
      <c r="BE12">
        <f ca="1">IF($B12=0,0,IF(BE$3=TotalApuestas!BE7,BE$5,0))</f>
        <v>0</v>
      </c>
      <c r="BF12">
        <f ca="1">IF($B12=0,0,IF(AND(BD$3=TotalApuestas!BD7,Resultado!BE$3=TotalApuestas!BE7),Resultado!BF$5+VLOOKUP(BF$4&amp;"bonus",Aux!$W$1:$X$46,2,0),IF(BF$3=TotalApuestas!BF7,BF$5,0)))</f>
        <v>10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0</v>
      </c>
      <c r="BM12">
        <f ca="1">IF($B12=0,0,IF(BM$3=TotalApuestas!BM7,BM$5,0))</f>
        <v>0</v>
      </c>
      <c r="BN12">
        <f ca="1">IF($B12=0,0,IF(BN$3=TotalApuestas!BN7,BN$5,0))</f>
        <v>0</v>
      </c>
      <c r="BO12">
        <f ca="1">IF($B12=0,0,IF(AND(BM$3=TotalApuestas!BM7,Resultado!BN$3=TotalApuestas!BN7),Resultado!BO$5+VLOOKUP(BO$4&amp;"bonus",Aux!$W$1:$X$46,2,0),IF(BO$3=TotalApuestas!BO7,BO$5,0)))</f>
        <v>0</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15</v>
      </c>
      <c r="BZ12">
        <f ca="1">IF($B12=0,0,IF(BZ$3=TotalApuestas!BZ7,BZ$5,0))</f>
        <v>0</v>
      </c>
      <c r="CA12">
        <f ca="1">IF($B12=0,0,IF(CA$3=TotalApuestas!CA7,CA$5,0))</f>
        <v>0</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5</v>
      </c>
      <c r="AI13">
        <f ca="1">IF($B13=0,0,IF(AI$3=TotalApuestas!AI8,AI$5,0))</f>
        <v>0</v>
      </c>
      <c r="AJ13">
        <f ca="1">IF($B13=0,0,IF(AJ$3=TotalApuestas!AJ8,AJ$5,0))</f>
        <v>0</v>
      </c>
      <c r="AK13">
        <f ca="1">IF($B13=0,0,IF(AND(AI$3=TotalApuestas!AI8,Resultado!AJ$3=TotalApuestas!AJ8),Resultado!AK$5+VLOOKUP(AK$4&amp;"bonus",Aux!$W$1:$X$46,2,0),IF(AK$3=TotalApuestas!AK8,AK$5,0)))</f>
        <v>10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5</v>
      </c>
      <c r="AU13">
        <f ca="1">IF($B13=0,0,IF(AU$3=TotalApuestas!AU8,AU$5,0))</f>
        <v>0</v>
      </c>
      <c r="AV13">
        <f ca="1">IF($B13=0,0,IF(AV$3=TotalApuestas!AV8,AV$5,0))</f>
        <v>0</v>
      </c>
      <c r="AW13">
        <f ca="1">IF($B13=0,0,IF(AND(AU$3=TotalApuestas!AU8,Resultado!AV$3=TotalApuestas!AV8),Resultado!AW$5+VLOOKUP(AW$4&amp;"bonus",Aux!$W$1:$X$46,2,0),IF(AW$3=TotalApuestas!AW8,AW$5,0)))</f>
        <v>5</v>
      </c>
      <c r="AX13">
        <f ca="1">IF($B13=0,0,IF(AX$3=TotalApuestas!AX8,AX$5,0))</f>
        <v>0</v>
      </c>
      <c r="AY13">
        <f ca="1">IF($B13=0,0,IF(AY$3=TotalApuestas!AY8,AY$5,0))</f>
        <v>0</v>
      </c>
      <c r="AZ13">
        <f ca="1">IF($B13=0,0,IF(AND(AX$3=TotalApuestas!AX8,Resultado!AY$3=TotalApuestas!AY8),Resultado!AZ$5+VLOOKUP(AZ$4&amp;"bonus",Aux!$W$1:$X$46,2,0),IF(AZ$3=TotalApuestas!AZ8,AZ$5,0)))</f>
        <v>5</v>
      </c>
      <c r="BA13">
        <f ca="1">IF($B13=0,0,IF(BA$3=TotalApuestas!BA8,BA$5,0))</f>
        <v>0</v>
      </c>
      <c r="BB13">
        <f ca="1">IF($B13=0,0,IF(BB$3=TotalApuestas!BB8,BB$5,0))</f>
        <v>0</v>
      </c>
      <c r="BC13">
        <f ca="1">IF($B13=0,0,IF(AND(BA$3=TotalApuestas!BA8,Resultado!BB$3=TotalApuestas!BB8),Resultado!BC$5+VLOOKUP(BC$4&amp;"bonus",Aux!$W$1:$X$46,2,0),IF(BC$3=TotalApuestas!BC8,BC$5,0)))</f>
        <v>5</v>
      </c>
      <c r="BD13">
        <f ca="1">IF($B13=0,0,IF(BD$3=TotalApuestas!BD8,BD$5,0))</f>
        <v>0</v>
      </c>
      <c r="BE13">
        <f ca="1">IF($B13=0,0,IF(BE$3=TotalApuestas!BE8,BE$5,0))</f>
        <v>0</v>
      </c>
      <c r="BF13">
        <f ca="1">IF($B13=0,0,IF(AND(BD$3=TotalApuestas!BD8,Resultado!BE$3=TotalApuestas!BE8),Resultado!BF$5+VLOOKUP(BF$4&amp;"bonus",Aux!$W$1:$X$46,2,0),IF(BF$3=TotalApuestas!BF8,BF$5,0)))</f>
        <v>5</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0</v>
      </c>
      <c r="BM13">
        <f ca="1">IF($B13=0,0,IF(BM$3=TotalApuestas!BM8,BM$5,0))</f>
        <v>0</v>
      </c>
      <c r="BN13">
        <f ca="1">IF($B13=0,0,IF(BN$3=TotalApuestas!BN8,BN$5,0))</f>
        <v>0</v>
      </c>
      <c r="BO13">
        <f ca="1">IF($B13=0,0,IF(AND(BM$3=TotalApuestas!BM8,Resultado!BN$3=TotalApuestas!BN8),Resultado!BO$5+VLOOKUP(BO$4&amp;"bonus",Aux!$W$1:$X$46,2,0),IF(BO$3=TotalApuestas!BO8,BO$5,0)))</f>
        <v>0</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15</v>
      </c>
      <c r="BZ13">
        <f ca="1">IF($B13=0,0,IF(BZ$3=TotalApuestas!BZ8,BZ$5,0))</f>
        <v>0</v>
      </c>
      <c r="CA13">
        <f ca="1">IF($B13=0,0,IF(CA$3=TotalApuestas!CA8,CA$5,0))</f>
        <v>0</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5</v>
      </c>
      <c r="AI14">
        <f ca="1">IF($B14=0,0,IF(AI$3=TotalApuestas!AI9,AI$5,0))</f>
        <v>0</v>
      </c>
      <c r="AJ14">
        <f ca="1">IF($B14=0,0,IF(AJ$3=TotalApuestas!AJ9,AJ$5,0))</f>
        <v>0</v>
      </c>
      <c r="AK14">
        <f ca="1">IF($B14=0,0,IF(AND(AI$3=TotalApuestas!AI9,Resultado!AJ$3=TotalApuestas!AJ9),Resultado!AK$5+VLOOKUP(AK$4&amp;"bonus",Aux!$W$1:$X$46,2,0),IF(AK$3=TotalApuestas!AK9,AK$5,0)))</f>
        <v>5</v>
      </c>
      <c r="AL14">
        <f ca="1">IF($B14=0,0,IF(AL$3=TotalApuestas!AL9,AL$5,0))</f>
        <v>0</v>
      </c>
      <c r="AM14">
        <f ca="1">IF($B14=0,0,IF(AM$3=TotalApuestas!AM9,AM$5,0))</f>
        <v>0</v>
      </c>
      <c r="AN14">
        <f ca="1">IF($B14=0,0,IF(AND(AL$3=TotalApuestas!AL9,Resultado!AM$3=TotalApuestas!AM9),Resultado!AN$5+VLOOKUP(AN$4&amp;"bonus",Aux!$W$1:$X$46,2,0),IF(AN$3=TotalApuestas!AN9,AN$5,0)))</f>
        <v>10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5</v>
      </c>
      <c r="AU14">
        <f ca="1">IF($B14=0,0,IF(AU$3=TotalApuestas!AU9,AU$5,0))</f>
        <v>0</v>
      </c>
      <c r="AV14">
        <f ca="1">IF($B14=0,0,IF(AV$3=TotalApuestas!AV9,AV$5,0))</f>
        <v>0</v>
      </c>
      <c r="AW14">
        <f ca="1">IF($B14=0,0,IF(AND(AU$3=TotalApuestas!AU9,Resultado!AV$3=TotalApuestas!AV9),Resultado!AW$5+VLOOKUP(AW$4&amp;"bonus",Aux!$W$1:$X$46,2,0),IF(AW$3=TotalApuestas!AW9,AW$5,0)))</f>
        <v>5</v>
      </c>
      <c r="AX14">
        <f ca="1">IF($B14=0,0,IF(AX$3=TotalApuestas!AX9,AX$5,0))</f>
        <v>0</v>
      </c>
      <c r="AY14">
        <f ca="1">IF($B14=0,0,IF(AY$3=TotalApuestas!AY9,AY$5,0))</f>
        <v>0</v>
      </c>
      <c r="AZ14">
        <f ca="1">IF($B14=0,0,IF(AND(AX$3=TotalApuestas!AX9,Resultado!AY$3=TotalApuestas!AY9),Resultado!AZ$5+VLOOKUP(AZ$4&amp;"bonus",Aux!$W$1:$X$46,2,0),IF(AZ$3=TotalApuestas!AZ9,AZ$5,0)))</f>
        <v>5</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0</v>
      </c>
      <c r="BM14">
        <f ca="1">IF($B14=0,0,IF(BM$3=TotalApuestas!BM9,BM$5,0))</f>
        <v>0</v>
      </c>
      <c r="BN14">
        <f ca="1">IF($B14=0,0,IF(BN$3=TotalApuestas!BN9,BN$5,0))</f>
        <v>0</v>
      </c>
      <c r="BO14">
        <f ca="1">IF($B14=0,0,IF(AND(BM$3=TotalApuestas!BM9,Resultado!BN$3=TotalApuestas!BN9),Resultado!BO$5+VLOOKUP(BO$4&amp;"bonus",Aux!$W$1:$X$46,2,0),IF(BO$3=TotalApuestas!BO9,BO$5,0)))</f>
        <v>0</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15</v>
      </c>
      <c r="BZ14">
        <f ca="1">IF($B14=0,0,IF(BZ$3=TotalApuestas!BZ9,BZ$5,0))</f>
        <v>0</v>
      </c>
      <c r="CA14">
        <f ca="1">IF($B14=0,0,IF(CA$3=TotalApuestas!CA9,CA$5,0))</f>
        <v>0</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5</v>
      </c>
      <c r="AI15">
        <f ca="1">IF($B15=0,0,IF(AI$3=TotalApuestas!AI10,AI$5,0))</f>
        <v>0</v>
      </c>
      <c r="AJ15">
        <f ca="1">IF($B15=0,0,IF(AJ$3=TotalApuestas!AJ10,AJ$5,0))</f>
        <v>0</v>
      </c>
      <c r="AK15">
        <f ca="1">IF($B15=0,0,IF(AND(AI$3=TotalApuestas!AI10,Resultado!AJ$3=TotalApuestas!AJ10),Resultado!AK$5+VLOOKUP(AK$4&amp;"bonus",Aux!$W$1:$X$46,2,0),IF(AK$3=TotalApuestas!AK10,AK$5,0)))</f>
        <v>5</v>
      </c>
      <c r="AL15">
        <f ca="1">IF($B15=0,0,IF(AL$3=TotalApuestas!AL10,AL$5,0))</f>
        <v>0</v>
      </c>
      <c r="AM15">
        <f ca="1">IF($B15=0,0,IF(AM$3=TotalApuestas!AM10,AM$5,0))</f>
        <v>0</v>
      </c>
      <c r="AN15">
        <f ca="1">IF($B15=0,0,IF(AND(AL$3=TotalApuestas!AL10,Resultado!AM$3=TotalApuestas!AM10),Resultado!AN$5+VLOOKUP(AN$4&amp;"bonus",Aux!$W$1:$X$46,2,0),IF(AN$3=TotalApuestas!AN10,AN$5,0)))</f>
        <v>10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5</v>
      </c>
      <c r="AU15">
        <f ca="1">IF($B15=0,0,IF(AU$3=TotalApuestas!AU10,AU$5,0))</f>
        <v>0</v>
      </c>
      <c r="AV15">
        <f ca="1">IF($B15=0,0,IF(AV$3=TotalApuestas!AV10,AV$5,0))</f>
        <v>0</v>
      </c>
      <c r="AW15">
        <f ca="1">IF($B15=0,0,IF(AND(AU$3=TotalApuestas!AU10,Resultado!AV$3=TotalApuestas!AV10),Resultado!AW$5+VLOOKUP(AW$4&amp;"bonus",Aux!$W$1:$X$46,2,0),IF(AW$3=TotalApuestas!AW10,AW$5,0)))</f>
        <v>5</v>
      </c>
      <c r="AX15">
        <f ca="1">IF($B15=0,0,IF(AX$3=TotalApuestas!AX10,AX$5,0))</f>
        <v>0</v>
      </c>
      <c r="AY15">
        <f ca="1">IF($B15=0,0,IF(AY$3=TotalApuestas!AY10,AY$5,0))</f>
        <v>0</v>
      </c>
      <c r="AZ15">
        <f ca="1">IF($B15=0,0,IF(AND(AX$3=TotalApuestas!AX10,Resultado!AY$3=TotalApuestas!AY10),Resultado!AZ$5+VLOOKUP(AZ$4&amp;"bonus",Aux!$W$1:$X$46,2,0),IF(AZ$3=TotalApuestas!AZ10,AZ$5,0)))</f>
        <v>5</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0</v>
      </c>
      <c r="BM15">
        <f ca="1">IF($B15=0,0,IF(BM$3=TotalApuestas!BM10,BM$5,0))</f>
        <v>0</v>
      </c>
      <c r="BN15">
        <f ca="1">IF($B15=0,0,IF(BN$3=TotalApuestas!BN10,BN$5,0))</f>
        <v>0</v>
      </c>
      <c r="BO15">
        <f ca="1">IF($B15=0,0,IF(AND(BM$3=TotalApuestas!BM10,Resultado!BN$3=TotalApuestas!BN10),Resultado!BO$5+VLOOKUP(BO$4&amp;"bonus",Aux!$W$1:$X$46,2,0),IF(BO$3=TotalApuestas!BO10,BO$5,0)))</f>
        <v>0</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15</v>
      </c>
      <c r="BZ15">
        <f ca="1">IF($B15=0,0,IF(BZ$3=TotalApuestas!BZ10,BZ$5,0))</f>
        <v>0</v>
      </c>
      <c r="CA15">
        <f ca="1">IF($B15=0,0,IF(CA$3=TotalApuestas!CA10,CA$5,0))</f>
        <v>0</v>
      </c>
      <c r="CB15">
        <f ca="1">IF($B15=0,0,IF(CB$3=TotalApuestas!CB10,CB$5,0))</f>
        <v>0</v>
      </c>
      <c r="CC15">
        <f ca="1">IF($B15=0,0,IF(COUNTIF($CC$3:$CJ$3,TotalApuestas!CC10)=1,CC$5,0))</f>
        <v>0</v>
      </c>
      <c r="CD15">
        <f ca="1">IF($B15=0,0,IF(COUNTIF($CC$3:$CJ$3,TotalApuestas!CD10)=1,CD$5,0))</f>
        <v>0</v>
      </c>
      <c r="CE15">
        <f ca="1">IF($B15=0,0,IF(COUNTIF($CC$3:$CJ$3,TotalApuestas!CE10)=1,CE$5,0))</f>
        <v>0</v>
      </c>
      <c r="CF15">
        <f ca="1">IF($B15=0,0,IF(COUNTIF($CC$3:$CJ$3,TotalApuestas!CF10)=1,CF$5,0))</f>
        <v>0</v>
      </c>
      <c r="CG15">
        <f ca="1">IF($B15=0,0,IF(COUNTIF($CC$3:$CJ$3,TotalApuestas!CG10)=1,CG$5,0))</f>
        <v>0</v>
      </c>
      <c r="CH15">
        <f ca="1">IF($B15=0,0,IF(COUNTIF($CC$3:$CJ$3,TotalApuestas!CH10)=1,CH$5,0))</f>
        <v>0</v>
      </c>
      <c r="CI15">
        <f ca="1">IF($B15=0,0,IF(COUNTIF($CC$3:$CJ$3,TotalApuestas!CI10)=1,CI$5,0))</f>
        <v>0</v>
      </c>
      <c r="CJ15">
        <f ca="1">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f ca="1">+Resultado!AF3</f>
        <v>0</v>
      </c>
      <c r="AG1" s="84">
        <f ca="1">+Resultado!AG3</f>
        <v>1</v>
      </c>
      <c r="AH1" s="84">
        <f ca="1">+Resultado!AH3</f>
        <v>2</v>
      </c>
      <c r="AI1" s="84">
        <f ca="1">+Resultado!AI3</f>
        <v>3</v>
      </c>
      <c r="AJ1" s="84">
        <f ca="1">+Resultado!AJ3</f>
        <v>1</v>
      </c>
      <c r="AK1" s="84">
        <f ca="1">+Resultado!AK3</f>
        <v>1</v>
      </c>
      <c r="AL1" s="84">
        <f ca="1">+Resultado!AL3</f>
        <v>1</v>
      </c>
      <c r="AM1" s="84">
        <f ca="1">+Resultado!AM3</f>
        <v>0</v>
      </c>
      <c r="AN1" s="84">
        <f ca="1">+Resultado!AN3</f>
        <v>1</v>
      </c>
      <c r="AO1" s="84">
        <f ca="1">+Resultado!AO3</f>
        <v>2</v>
      </c>
      <c r="AP1" s="84">
        <f ca="1">+Resultado!AP3</f>
        <v>1</v>
      </c>
      <c r="AQ1" s="84">
        <f ca="1">+Resultado!AQ3</f>
        <v>1</v>
      </c>
      <c r="AR1" s="84">
        <f ca="1">+Resultado!AR3</f>
        <v>5</v>
      </c>
      <c r="AS1" s="84">
        <f ca="1">+Resultado!AS3</f>
        <v>0</v>
      </c>
      <c r="AT1" s="84">
        <f ca="1">+Resultado!AT3</f>
        <v>1</v>
      </c>
      <c r="AU1" s="84">
        <f ca="1">+Resultado!AU3</f>
        <v>3</v>
      </c>
      <c r="AV1" s="84">
        <f ca="1">+Resultado!AV3</f>
        <v>0</v>
      </c>
      <c r="AW1" s="84">
        <f ca="1">+Resultado!AW3</f>
        <v>1</v>
      </c>
      <c r="AX1" s="84">
        <f ca="1">+Resultado!AX3</f>
        <v>1</v>
      </c>
      <c r="AY1" s="84">
        <f ca="1">+Resultado!AY3</f>
        <v>4</v>
      </c>
      <c r="AZ1" s="84">
        <f ca="1">+Resultado!AZ3</f>
        <v>2</v>
      </c>
      <c r="BA1" s="84">
        <f ca="1">+Resultado!BA3</f>
        <v>2</v>
      </c>
      <c r="BB1" s="84">
        <f ca="1">+Resultado!BB3</f>
        <v>0</v>
      </c>
      <c r="BC1" s="84">
        <f ca="1">+Resultado!BC3</f>
        <v>1</v>
      </c>
      <c r="BD1" s="84">
        <f ca="1">+Resultado!BD3</f>
        <v>0</v>
      </c>
      <c r="BE1" s="84">
        <f ca="1">+Resultado!BE3</f>
        <v>0</v>
      </c>
      <c r="BF1" s="84" t="str">
        <f ca="1">+Resultado!BF3</f>
        <v>x</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Argentina</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2024-06-30T03:14:20Z</dcterms:modified>
</cp:coreProperties>
</file>