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9FBD326C-353B-4128-B6F1-57B50E605B65}"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state="hidden" r:id="rId13"/>
    <sheet name="Data" sheetId="36" state="hidden"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28" i="1"/>
  <c r="N27" i="1"/>
  <c r="O27" i="1"/>
  <c r="N32" i="1"/>
  <c r="O33" i="1"/>
  <c r="N26" i="1"/>
  <c r="N29" i="1"/>
  <c r="O30" i="1"/>
  <c r="N31" i="1"/>
  <c r="N28" i="1"/>
  <c r="O32" i="1"/>
  <c r="N30" i="1"/>
  <c r="O26" i="1"/>
  <c r="N33" i="1"/>
  <c r="O29" i="1"/>
  <c r="O31"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9" i="1"/>
  <c r="O12" i="1"/>
  <c r="O8" i="1"/>
  <c r="N19" i="1"/>
  <c r="N4" i="1"/>
  <c r="N18" i="1"/>
  <c r="N24" i="1"/>
  <c r="N21" i="1"/>
  <c r="O6" i="1"/>
  <c r="N25" i="1"/>
  <c r="N12" i="1"/>
  <c r="N7" i="1"/>
  <c r="O7" i="1"/>
  <c r="O16" i="1"/>
  <c r="N15" i="1"/>
  <c r="O20" i="1"/>
  <c r="O22" i="1"/>
  <c r="N16" i="1"/>
  <c r="N17" i="1"/>
  <c r="N2" i="1"/>
  <c r="O13" i="1"/>
  <c r="O4" i="1"/>
  <c r="O9" i="1"/>
  <c r="N14" i="1"/>
  <c r="O25" i="1"/>
  <c r="O14" i="1"/>
  <c r="N10" i="1"/>
  <c r="N3" i="1"/>
  <c r="O18" i="1"/>
  <c r="O19" i="1"/>
  <c r="N11" i="1"/>
  <c r="N5" i="1"/>
  <c r="O10" i="1"/>
  <c r="O23" i="1"/>
  <c r="O3" i="1"/>
  <c r="N8" i="1"/>
  <c r="N22" i="1"/>
  <c r="N20" i="1"/>
  <c r="O11" i="1"/>
  <c r="N6" i="1"/>
  <c r="O5" i="1"/>
  <c r="O2" i="1"/>
  <c r="O15" i="1"/>
  <c r="N13" i="1"/>
  <c r="O21" i="1"/>
  <c r="O24" i="1"/>
  <c r="O17" i="1"/>
  <c r="N23"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AC15" i="38" l="1"/>
  <c r="E15" i="38"/>
  <c r="BA15" i="38"/>
  <c r="AF15" i="38"/>
  <c r="BD15" i="38"/>
  <c r="H15" i="38"/>
  <c r="P9" i="46"/>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9" i="33" a="1"/>
  <c r="H12" i="33" a="1"/>
  <c r="CB3" i="38" a="1"/>
  <c r="BZ3" i="38" a="1"/>
  <c r="H18" i="33" a="1"/>
  <c r="CA3" i="38" a="1"/>
  <c r="H15" i="33" a="1"/>
  <c r="N15" i="33" a="1"/>
  <c r="N18" i="33" a="1"/>
  <c r="CB3" i="38" l="1"/>
  <c r="CB15" i="38" s="1"/>
  <c r="V9" i="46"/>
  <c r="J15" i="38"/>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AE13" i="38"/>
  <c r="BF7" i="38"/>
  <c r="BF12" i="38"/>
  <c r="AH7" i="38"/>
  <c r="AE8" i="38"/>
  <c r="BF10" i="38"/>
  <c r="G13" i="38"/>
  <c r="AH10" i="38"/>
  <c r="BC11" i="38"/>
  <c r="AH9" i="38"/>
  <c r="BC14" i="38"/>
  <c r="BC7" i="38"/>
  <c r="AE7" i="38"/>
  <c r="G11" i="38"/>
  <c r="BC12" i="38"/>
  <c r="AE12" i="38"/>
  <c r="BF11" i="38"/>
  <c r="BC10" i="38"/>
  <c r="J12" i="38"/>
  <c r="BC9" i="38"/>
  <c r="AE14" i="38"/>
  <c r="BF14" i="38"/>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B1" i="36" l="1"/>
  <c r="CB12" i="38"/>
  <c r="CH3" i="38"/>
  <c r="CH1" i="36" s="1"/>
  <c r="CB11" i="38"/>
  <c r="CJ3" i="38"/>
  <c r="CJ1" i="36" s="1"/>
  <c r="CB7" i="38"/>
  <c r="CB14" i="38"/>
  <c r="CB9" i="38"/>
  <c r="CB8" i="38"/>
  <c r="CB13" i="38"/>
  <c r="CB10" i="38"/>
  <c r="CG3" i="38"/>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CQ15" i="38" s="1"/>
  <c r="H12" i="34"/>
  <c r="O12" i="34"/>
  <c r="CN3" i="38"/>
  <c r="S12" i="34"/>
  <c r="CN1" i="36" l="1"/>
  <c r="CQ1" i="36"/>
  <c r="CQ7" i="38"/>
  <c r="CQ10" i="38"/>
  <c r="CQ9" i="38"/>
  <c r="CQ11" i="38"/>
  <c r="CQ13" i="38"/>
  <c r="CQ12" i="38"/>
  <c r="CQ14" i="38"/>
  <c r="CQ8" i="38"/>
  <c r="N9" i="35"/>
  <c r="CM3" i="38"/>
  <c r="CM15" i="38" s="1"/>
  <c r="G12" i="34"/>
  <c r="N15" i="35"/>
  <c r="CN15" i="38" l="1"/>
  <c r="CK15" i="38"/>
  <c r="CL15" i="38"/>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CK10" i="38"/>
  <c r="CM7" i="38"/>
  <c r="CN10" i="38"/>
  <c r="CN8" i="38"/>
  <c r="CM11" i="38"/>
  <c r="CL14" i="38"/>
  <c r="O15" i="35"/>
  <c r="CP3" i="38"/>
  <c r="O9" i="35"/>
  <c r="Y13" i="39" l="1"/>
  <c r="CP15" i="38"/>
  <c r="CO15" i="38"/>
  <c r="Z13" i="39" s="1"/>
  <c r="Y11" i="39"/>
  <c r="Y10" i="39"/>
  <c r="Y12" i="39"/>
  <c r="Y8" i="39"/>
  <c r="Y5" i="39"/>
  <c r="Y7" i="39"/>
  <c r="Y6" i="39"/>
  <c r="Y9" i="39"/>
  <c r="CP1" i="36"/>
  <c r="CO13" i="38"/>
  <c r="CP10" i="38"/>
  <c r="CO11" i="38"/>
  <c r="CP13" i="38"/>
  <c r="CP12" i="38"/>
  <c r="CO10" i="38"/>
  <c r="Z8" i="39" s="1"/>
  <c r="CP9" i="38"/>
  <c r="CO14" i="38"/>
  <c r="CP14" i="38"/>
  <c r="CO9" i="38"/>
  <c r="CP7" i="38"/>
  <c r="CP11" i="38"/>
  <c r="CO7" i="38"/>
  <c r="CO8" i="38"/>
  <c r="CO12" i="38"/>
  <c r="CP8" i="38"/>
  <c r="AA13" i="39" l="1"/>
  <c r="AB13" i="39" s="1"/>
  <c r="Z7" i="39"/>
  <c r="AA7" i="39" s="1"/>
  <c r="AB7" i="39" s="1"/>
  <c r="Z11" i="39"/>
  <c r="AA11" i="39" s="1"/>
  <c r="AB11" i="39" s="1"/>
  <c r="Z12" i="39"/>
  <c r="AA12" i="39" s="1"/>
  <c r="AB12" i="39" s="1"/>
  <c r="Z10" i="39"/>
  <c r="AA10" i="39" s="1"/>
  <c r="AB10" i="39" s="1"/>
  <c r="Z5" i="39"/>
  <c r="AA5" i="39" s="1"/>
  <c r="AB5" i="39" s="1"/>
  <c r="Z6" i="39"/>
  <c r="AA6" i="39" s="1"/>
  <c r="AB6" i="39" s="1"/>
  <c r="AA8" i="39"/>
  <c r="AB8" i="39" s="1"/>
  <c r="Z9" i="39"/>
  <c r="AA9" i="39" s="1"/>
  <c r="AB9"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<sst xmlns="http://schemas.openxmlformats.org/spreadsheetml/2006/main" count="1028" uniqueCount="346">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</sst>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topLeftCell="A3"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P23" sqref="P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9</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3</v>
      </c>
      <c r="AL9" s="252">
        <f>+SUMIFS($AR9:$AU9,$AR$5:$AU$5,AF9)</f>
        <v>0</v>
      </c>
      <c r="AM9" s="252">
        <f>+AJ9-AK9</f>
        <v>0</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Panamá</v>
      </c>
      <c r="Q11" s="157" t="e" vm="1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Estados Unidos</v>
      </c>
      <c r="Q13" s="157" t="e" vm="9">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3</v>
      </c>
      <c r="Y13" s="161">
        <f>+W13-X13</f>
        <v>0</v>
      </c>
      <c r="Z13" s="60"/>
      <c r="AA13" s="57"/>
      <c r="AB13" s="53"/>
      <c r="AC13" s="53">
        <v>3</v>
      </c>
      <c r="AD13" s="251" t="str">
        <f>+VLOOKUP($AD$5&amp;AC13,Aux!S:T,2,0)</f>
        <v>Panamá</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10</v>
      </c>
      <c r="Y15" s="161">
        <f>+W15-X15</f>
        <v>-9</v>
      </c>
      <c r="Z15" s="60"/>
      <c r="AA15" s="59"/>
      <c r="AB15" s="245"/>
      <c r="AC15" s="53">
        <v>4</v>
      </c>
      <c r="AD15" s="251" t="str">
        <f>+VLOOKUP($AD$5&amp;AC15,Aux!S:T,2,0)</f>
        <v>Bolivia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10</v>
      </c>
      <c r="AL15" s="252">
        <f>+SUMIFS($AR15:$AU15,$AR$5:$AU$5,AF15)</f>
        <v>0</v>
      </c>
      <c r="AM15" s="252">
        <f>+AJ15-AK15</f>
        <v>-9</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3</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P29" sqref="P2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5</v>
      </c>
      <c r="AS5" s="245">
        <f>+VLOOKUP(AS7,$AD$9:$AF$15,3,0)</f>
        <v>7</v>
      </c>
      <c r="AT5" s="245">
        <f>+VLOOKUP(AT7,$AD$9:$AF$15,3,0)</f>
        <v>0</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6</v>
      </c>
      <c r="X9" s="161">
        <f>+VLOOKUP($P9,$AD$9:$AK$15,8,0)</f>
        <v>2</v>
      </c>
      <c r="Y9" s="161">
        <f>+W9-X9</f>
        <v>4</v>
      </c>
      <c r="Z9" s="60"/>
      <c r="AA9" s="57"/>
      <c r="AB9" s="53"/>
      <c r="AC9" s="53">
        <v>1</v>
      </c>
      <c r="AD9" s="251" t="str">
        <f>+VLOOKUP($AD$5&amp;AC9,Aux!S:T,2,0)</f>
        <v>Brasil</v>
      </c>
      <c r="AE9" s="53">
        <f>+AG9+AH9+AI9</f>
        <v>3</v>
      </c>
      <c r="AF9" s="53">
        <f>+AG9*3+AH9</f>
        <v>5</v>
      </c>
      <c r="AG9" s="53" cm="1">
        <f t="array" ref="AG9">SUM(($G$9:$G$22=$AD9)*($H$9:$H$22&gt;$J$9:$J$22)+($K$9:$K$22=$AD9)*($H$9:$H$22&lt;$J$9:$J$22))</f>
        <v>1</v>
      </c>
      <c r="AH9" s="53" cm="1">
        <f t="array" ref="AH9">SUM(($G$9:$G$22=$AD9)*($H$9:$H$22=$J$9:$J$22)*($H$9:$H$22&lt;&gt;"")+($K$9:$K$22=$AD9)*($H$9:$H$22=$J$9:$J$22)*($H$9:$H$22&lt;&gt;""))</f>
        <v>2</v>
      </c>
      <c r="AI9" s="53" cm="1">
        <f t="array" ref="AI9">SUM(($G$9:$G$22=$AD9)*($H$9:$H$22&lt;$J$9:$J$22)+($K$9:$K$22=$AD9)*($H$9:$H$22&gt;$J$9:$J$22))</f>
        <v>0</v>
      </c>
      <c r="AJ9" s="53" cm="1">
        <f t="array" ref="AJ9">SUM(($G$9:$G$22=$AD9)*($H$9:$H$22)+($K$9:$K$22=$AD9)*($J$9:$J$22))</f>
        <v>5</v>
      </c>
      <c r="AK9" s="53" cm="1">
        <f t="array" ref="AK9">SUM(($G$9:$G$22=$AD9)*($J$9:$J$22)+($K$9:$K$22=$AD9)*($H$9:$H$22))</f>
        <v>2</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5</v>
      </c>
      <c r="T11" s="160">
        <f>+VLOOKUP($P11,$AD$9:$AK$15,4,0)</f>
        <v>1</v>
      </c>
      <c r="U11" s="160">
        <f>+VLOOKUP($P11,$AD$9:$AK$15,5,0)</f>
        <v>2</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2</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8</v>
      </c>
      <c r="AL13" s="252">
        <f>+SUMIFS($AR13:$AU13,$AR$5:$AU$5,AF13)</f>
        <v>0</v>
      </c>
      <c r="AM13" s="252">
        <f>+AJ13-AK13</f>
        <v>-5</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8</v>
      </c>
      <c r="Y15" s="161">
        <f>+W15-X15</f>
        <v>-5</v>
      </c>
      <c r="Z15" s="60"/>
      <c r="AA15" s="59"/>
      <c r="AB15" s="245"/>
      <c r="AC15" s="53">
        <v>4</v>
      </c>
      <c r="AD15" s="251" t="str">
        <f>+VLOOKUP($AD$5&amp;AC15,Aux!S:T,2,0)</f>
        <v>Costa Rica</v>
      </c>
      <c r="AE15" s="53">
        <f t="shared" ref="AE15" si="6">+AG15+AH15+AI15</f>
        <v>3</v>
      </c>
      <c r="AF15" s="53">
        <f t="shared" ref="AF15" si="7">+AG15*3+AH15</f>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4</v>
      </c>
      <c r="AL15" s="252">
        <f>+SUMIFS($AR15:$AU15,$AR$5:$AU$5,AF15)</f>
        <v>0</v>
      </c>
      <c r="AM15" s="252">
        <f>+AJ15-AK15</f>
        <v>-2</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2</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N24" sqref="N24"/>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1</v>
      </c>
      <c r="K9" s="8" t="s">
        <v>41</v>
      </c>
      <c r="L9" s="16">
        <v>1</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v>4</v>
      </c>
      <c r="K10" s="22" t="s">
        <v>41</v>
      </c>
      <c r="L10" s="9">
        <v>2</v>
      </c>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1</v>
      </c>
      <c r="M12" s="6"/>
      <c r="N12" s="17" t="str" cm="1">
        <f t="array" aca="1" ref="N12" ca="1">INDIRECT(RIGHT(B12,1)&amp;"!P"&amp;7+LEFT(B12,1)*2)</f>
        <v>Canadá</v>
      </c>
      <c r="O12" s="180" t="e" vm="2">
        <f ca="1">IFERROR(VLOOKUP(N12,Aux!$A:$C,3,0),"")</f>
        <v>#VALUE!</v>
      </c>
      <c r="P12" s="17"/>
      <c r="Q12" s="175" t="str">
        <f>+VLOOKUP(C12,Aux!F:L,7,0)</f>
        <v>AT&amp;T Stadium - ARLINGTON, TX</v>
      </c>
      <c r="S12" s="18" t="str">
        <f ca="1">IF(OR(J12="",L12=""),"",IF(J12&gt;L12,H12,IF(J12&lt;L12,N12,IF(OR(J13="",L13=""),"",IF(J13&gt;L13,H12,N12)))))</f>
        <v>Canadá</v>
      </c>
    </row>
    <row r="13" spans="1:19" ht="15" customHeight="1" x14ac:dyDescent="0.25">
      <c r="C13" s="15"/>
      <c r="D13" s="19"/>
      <c r="E13" s="20"/>
      <c r="F13" s="181"/>
      <c r="G13" s="181"/>
      <c r="H13" s="21" t="s">
        <v>51</v>
      </c>
      <c r="I13" s="6"/>
      <c r="J13" s="9">
        <v>3</v>
      </c>
      <c r="K13" s="22" t="s">
        <v>41</v>
      </c>
      <c r="L13" s="9">
        <v>4</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5</v>
      </c>
      <c r="K15" s="8" t="s">
        <v>41</v>
      </c>
      <c r="L15" s="16">
        <v>0</v>
      </c>
      <c r="M15" s="6"/>
      <c r="N15" s="17" t="str" cm="1">
        <f t="array" aca="1" ref="N15" ca="1">INDIRECT(RIGHT(B15,1)&amp;"!P"&amp;7+LEFT(B15,1)*2)</f>
        <v>Panamá</v>
      </c>
      <c r="O15" s="180" t="e" vm="12">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0</v>
      </c>
      <c r="K18" s="8" t="s">
        <v>41</v>
      </c>
      <c r="L18" s="16">
        <v>0</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v>4</v>
      </c>
      <c r="K19" s="22" t="s">
        <v>41</v>
      </c>
      <c r="L19" s="9">
        <v>2</v>
      </c>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M12" sqref="M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Canadá</v>
      </c>
      <c r="O9" s="180" t="e" vm="2">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v>0</v>
      </c>
      <c r="K12" s="8" t="s">
        <v>41</v>
      </c>
      <c r="L12" s="16">
        <v>1</v>
      </c>
      <c r="M12" s="6"/>
      <c r="N12" s="17" t="str">
        <f ca="1">+Cuartos!S15</f>
        <v>Colombia</v>
      </c>
      <c r="O12" s="180" t="e" vm="13">
        <f ca="1">IFERROR(VLOOKUP(N12,Aux!$A:$C,3,0),"")</f>
        <v>#VALUE!</v>
      </c>
      <c r="P12" s="17"/>
      <c r="Q12" s="175" t="str">
        <f>+VLOOKUP(C12,Aux!F:L,7,0)</f>
        <v>Bank of America Stadium - CHARLOTTE, NC</v>
      </c>
      <c r="S12" s="18" t="str">
        <f ca="1">IF(OR(J12="",L12=""),"",IF(J12&gt;L12,H12,IF(J12&lt;L12,N12,IF(OR(J13="",L13=""),"",IF(J13&gt;L13,H12,N12)))))</f>
        <v>Colombia</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L16" sqref="L16"/>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2">
        <f ca="1">IFERROR(VLOOKUP(H9,Aux!$A:$C,3,0),"")</f>
        <v>#VALUE!</v>
      </c>
      <c r="H9" s="7" t="str">
        <f ca="1">IF(OR(Semis!J9="",Semis!L9=""),"",IF(Semis!J9&gt;Semis!L9,Semis!N9,IF(Semis!J9&lt;Semis!L9,Semis!H9,IF(OR(Semis!J10="",Semis!L10=""),"",IF(Semis!J10&gt;Semis!L10,Semis!N9,Semis!H9)))))</f>
        <v>Canadá</v>
      </c>
      <c r="I9" s="8"/>
      <c r="J9" s="16">
        <v>2</v>
      </c>
      <c r="K9" s="8" t="s">
        <v>41</v>
      </c>
      <c r="L9" s="16">
        <v>2</v>
      </c>
      <c r="M9" s="6"/>
      <c r="N9" s="17" t="str">
        <f ca="1">IF(OR(Semis!J12="",Semis!L12=""),"",IF(Semis!J12&gt;Semis!L12,Semis!N12,IF(Semis!J12&lt;Semis!L12,Semis!H12,IF(OR(Semis!J13="",Semis!L13=""),"",IF(Semis!J13&gt;Semis!L13,Semis!N12,Semis!H12)))))</f>
        <v>Uruguay</v>
      </c>
      <c r="O9" s="180" t="e" vm="11">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v>3</v>
      </c>
      <c r="K10" s="22" t="s">
        <v>41</v>
      </c>
      <c r="L10" s="9">
        <v>4</v>
      </c>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
        <f ca="1">IFERROR(VLOOKUP(H15,Aux!$A:$C,3,0),"")</f>
        <v>#VALUE!</v>
      </c>
      <c r="H15" s="7" t="str">
        <f ca="1">+Semis!S9</f>
        <v>Argentina</v>
      </c>
      <c r="I15" s="8"/>
      <c r="J15" s="16">
        <v>1</v>
      </c>
      <c r="K15" s="8" t="s">
        <v>41</v>
      </c>
      <c r="L15" s="16">
        <v>0</v>
      </c>
      <c r="M15" s="6"/>
      <c r="N15" s="17" t="str">
        <f ca="1">+Semis!S12</f>
        <v>Colombia</v>
      </c>
      <c r="O15" s="180" t="e" vm="13">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 ca="1">IF(OR(J15="",L15=""),"",IF(J15&gt;L15,H15,IF(J15&lt;L15,N15,IF(OR(J16="",L16=""),"",IF(J16&gt;L16,H15,N15)))))</f>
        <v>Argentina</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e" vm="1">
        <f ca="1">IFERROR(VLOOKUP(H22,Aux!$A:$C,3,0),"")</f>
        <v>#VALUE!</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3</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2</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1</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5</v>
      </c>
      <c r="O28" s="68">
        <f t="shared" ca="1" si="5"/>
        <v>0</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0</v>
      </c>
      <c r="O29" s="68">
        <f t="shared" ca="1" si="5"/>
        <v>0</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0</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2</v>
      </c>
      <c r="O32" s="68">
        <f t="shared" ca="1" si="5"/>
        <v>2</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f t="shared" ca="1" si="4"/>
        <v>1</v>
      </c>
      <c r="O33" s="68">
        <f t="shared" ca="1" si="5"/>
        <v>0</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D1" zoomScaleNormal="100" workbookViewId="0">
      <selection activeCell="D5" sqref="D5:D13"/>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90</v>
      </c>
      <c r="F5" s="198">
        <f ca="1">+IF($D5=0,"",VLOOKUP($C5,$Q:$AB,COLUMNS($C$4:F4),0))</f>
        <v>70</v>
      </c>
      <c r="G5" s="198">
        <f ca="1">+IF($D5=0,"",VLOOKUP($C5,$Q:$AB,COLUMNS($C$4:G4),0))</f>
        <v>55</v>
      </c>
      <c r="H5" s="198">
        <f ca="1">+IF($D5=0,"",VLOOKUP($C5,$Q:$AB,COLUMNS($C$4:H4),0))</f>
        <v>80</v>
      </c>
      <c r="I5" s="199">
        <f ca="1">+IF($D5=0,"",VLOOKUP($C5,$Q:$AB,COLUMNS($C$4:I4),0))</f>
        <v>295</v>
      </c>
      <c r="J5" s="127">
        <f ca="1">+IF($D5=0,"",VLOOKUP($C5,$Q:$AB,COLUMNS($C$4:J4),0))</f>
        <v>5</v>
      </c>
      <c r="K5" s="127">
        <f ca="1">+IF($D5=0,"",VLOOKUP($C5,$Q:$AB,COLUMNS($C$4:K4),0))</f>
        <v>85</v>
      </c>
      <c r="L5" s="127">
        <f ca="1">+IF($D5=0,"",VLOOKUP($C5,$Q:$AB,COLUMNS($C$4:L4),0))</f>
        <v>85</v>
      </c>
      <c r="M5" s="128">
        <f ca="1">+IF($D5=0,"",VLOOKUP($C5,$Q:$AB,COLUMNS($C$4:M4),0))</f>
        <v>175</v>
      </c>
      <c r="N5" s="129">
        <f ca="1">+IF($D5=0,"",VLOOKUP($C5,$Q:$AB,COLUMNS($C$4:N4),0))</f>
        <v>470.01100000000002</v>
      </c>
      <c r="P5" s="196">
        <f ca="1">IFERROR(M5-ROW()/10000,"")</f>
        <v>174.99950000000001</v>
      </c>
      <c r="Q5" s="119">
        <f t="shared" ref="Q5:Q26" ca="1" si="0">+_xlfn.RANK.EQ(AB5,$AB$5:$AB$26)</f>
        <v>3</v>
      </c>
      <c r="R5" s="126" t="str">
        <f>Resultado!B7</f>
        <v>Carlos Hurtado</v>
      </c>
      <c r="S5" s="120">
        <f ca="1">+SUMIFS(Resultado!7:7,Resultado!$1:$1,ClasificaciónPorra!S$4)</f>
        <v>75</v>
      </c>
      <c r="T5" s="120">
        <f ca="1">+SUMIFS(Resultado!7:7,Resultado!$1:$1,ClasificaciónPorra!T$4)</f>
        <v>40</v>
      </c>
      <c r="U5" s="120">
        <f ca="1">+SUMIFS(Resultado!7:7,Resultado!$1:$1,ClasificaciónPorra!U$4)</f>
        <v>65</v>
      </c>
      <c r="V5" s="120">
        <f ca="1">+SUMIFS(Resultado!7:7,Resultado!$1:$1,ClasificaciónPorra!V$4)</f>
        <v>50</v>
      </c>
      <c r="W5" s="120">
        <f t="shared" ref="W5:W26" ca="1" si="1">+SUM(S5:V5)</f>
        <v>230</v>
      </c>
      <c r="X5" s="120">
        <f ca="1">+SUMIFS(Resultado!7:7,Resultado!$1:$1,ClasificaciónPorra!X$4)</f>
        <v>15</v>
      </c>
      <c r="Y5" s="120">
        <f ca="1">+SUMIFS(Resultado!7:7,Resultado!$1:$1,ClasificaciónPorra!Y$4)</f>
        <v>60</v>
      </c>
      <c r="Z5" s="120">
        <f ca="1">+SUMIFS(Resultado!7:7,Resultado!$1:$1,ClasificaciónPorra!Z$4)</f>
        <v>90</v>
      </c>
      <c r="AA5" s="122">
        <f t="shared" ref="AA5:AA26" ca="1" si="2">+SUM(X5:Z5)</f>
        <v>165</v>
      </c>
      <c r="AB5" s="121">
        <f t="shared" ref="AB5:AB26" ca="1" si="3">+IF(R5=0,0+ROW()/10000,AA5+W5+ROW()/1000)</f>
        <v>395.005</v>
      </c>
    </row>
    <row r="6" spans="3:28" ht="13.5" customHeight="1" x14ac:dyDescent="0.25">
      <c r="C6" s="150">
        <f t="shared" ref="C6:C26" si="4">+C5+1</f>
        <v>2</v>
      </c>
      <c r="D6" s="151" t="str">
        <f ca="1">+VLOOKUP($C6,$Q:$AB,COLUMNS($C$4:D5),0)</f>
        <v xml:space="preserve">  German Rodriguez</v>
      </c>
      <c r="E6" s="197">
        <f ca="1">+IF($D6=0,"",VLOOKUP($C6,$Q:$AB,COLUMNS($C$4:E5),0))</f>
        <v>85</v>
      </c>
      <c r="F6" s="198">
        <f ca="1">+IF($D6=0,"",VLOOKUP($C6,$Q:$AB,COLUMNS($C$4:F5),0))</f>
        <v>40</v>
      </c>
      <c r="G6" s="198">
        <f ca="1">+IF($D6=0,"",VLOOKUP($C6,$Q:$AB,COLUMNS($C$4:G5),0))</f>
        <v>60</v>
      </c>
      <c r="H6" s="198">
        <f ca="1">+IF($D6=0,"",VLOOKUP($C6,$Q:$AB,COLUMNS($C$4:H5),0))</f>
        <v>80</v>
      </c>
      <c r="I6" s="200">
        <f ca="1">+IF($D6=0,"",VLOOKUP($C6,$Q:$AB,COLUMNS($C$4:I5),0))</f>
        <v>265</v>
      </c>
      <c r="J6" s="127">
        <f ca="1">+IF($D6=0,"",VLOOKUP($C6,$Q:$AB,COLUMNS($C$4:J5),0))</f>
        <v>5</v>
      </c>
      <c r="K6" s="127">
        <f ca="1">+IF($D6=0,"",VLOOKUP($C6,$Q:$AB,COLUMNS($C$4:K5),0))</f>
        <v>85</v>
      </c>
      <c r="L6" s="127">
        <f ca="1">+IF($D6=0,"",VLOOKUP($C6,$Q:$AB,COLUMNS($C$4:L5),0))</f>
        <v>60</v>
      </c>
      <c r="M6" s="128">
        <f ca="1">+IF($D6=0,"",VLOOKUP($C6,$Q:$AB,COLUMNS($C$4:M5),0))</f>
        <v>150</v>
      </c>
      <c r="N6" s="129">
        <f ca="1">+IF($D6=0,"",VLOOKUP($C6,$Q:$AB,COLUMNS($C$4:N5),0))</f>
        <v>415.00700000000001</v>
      </c>
      <c r="P6" s="196">
        <f t="shared" ref="P6:P26" ca="1" si="5">IFERROR(M6-ROW()/10000,"")</f>
        <v>149.99940000000001</v>
      </c>
      <c r="Q6" s="119">
        <f t="shared" ca="1" si="0"/>
        <v>4</v>
      </c>
      <c r="R6" s="126" t="str">
        <f>Resultado!B8</f>
        <v>Cazaputas69</v>
      </c>
      <c r="S6" s="120">
        <f ca="1">+SUMIFS(Resultado!8:8,Resultado!$1:$1,ClasificaciónPorra!S$4)</f>
        <v>80</v>
      </c>
      <c r="T6" s="120">
        <f ca="1">+SUMIFS(Resultado!8:8,Resultado!$1:$1,ClasificaciónPorra!T$4)</f>
        <v>35</v>
      </c>
      <c r="U6" s="120">
        <f ca="1">+SUMIFS(Resultado!8:8,Resultado!$1:$1,ClasificaciónPorra!U$4)</f>
        <v>60</v>
      </c>
      <c r="V6" s="120">
        <f ca="1">+SUMIFS(Resultado!8:8,Resultado!$1:$1,ClasificaciónPorra!V$4)</f>
        <v>60</v>
      </c>
      <c r="W6" s="120">
        <f t="shared" ca="1" si="1"/>
        <v>235</v>
      </c>
      <c r="X6" s="120">
        <f ca="1">+SUMIFS(Resultado!8:8,Resultado!$1:$1,ClasificaciónPorra!X$4)</f>
        <v>15</v>
      </c>
      <c r="Y6" s="120">
        <f ca="1">+SUMIFS(Resultado!8:8,Resultado!$1:$1,ClasificaciónPorra!Y$4)</f>
        <v>55</v>
      </c>
      <c r="Z6" s="120">
        <f ca="1">+SUMIFS(Resultado!8:8,Resultado!$1:$1,ClasificaciónPorra!Z$4)</f>
        <v>85</v>
      </c>
      <c r="AA6" s="122">
        <f t="shared" ca="1" si="2"/>
        <v>155</v>
      </c>
      <c r="AB6" s="121">
        <f t="shared" ca="1" si="3"/>
        <v>390.00599999999997</v>
      </c>
    </row>
    <row r="7" spans="3:28" x14ac:dyDescent="0.25">
      <c r="C7" s="150">
        <f t="shared" si="4"/>
        <v>3</v>
      </c>
      <c r="D7" s="151" t="str">
        <f ca="1">+VLOOKUP($C7,$Q:$AB,COLUMNS($C$4:D6),0)</f>
        <v>Carlos Hurtado</v>
      </c>
      <c r="E7" s="197">
        <f ca="1">+IF($D7=0,"",VLOOKUP($C7,$Q:$AB,COLUMNS($C$4:E6),0))</f>
        <v>75</v>
      </c>
      <c r="F7" s="198">
        <f ca="1">+IF($D7=0,"",VLOOKUP($C7,$Q:$AB,COLUMNS($C$4:F6),0))</f>
        <v>40</v>
      </c>
      <c r="G7" s="198">
        <f ca="1">+IF($D7=0,"",VLOOKUP($C7,$Q:$AB,COLUMNS($C$4:G6),0))</f>
        <v>65</v>
      </c>
      <c r="H7" s="198">
        <f ca="1">+IF($D7=0,"",VLOOKUP($C7,$Q:$AB,COLUMNS($C$4:H6),0))</f>
        <v>50</v>
      </c>
      <c r="I7" s="200">
        <f ca="1">+IF($D7=0,"",VLOOKUP($C7,$Q:$AB,COLUMNS($C$4:I6),0))</f>
        <v>230</v>
      </c>
      <c r="J7" s="127">
        <f ca="1">+IF($D7=0,"",VLOOKUP($C7,$Q:$AB,COLUMNS($C$4:J6),0))</f>
        <v>15</v>
      </c>
      <c r="K7" s="127">
        <f ca="1">+IF($D7=0,"",VLOOKUP($C7,$Q:$AB,COLUMNS($C$4:K6),0))</f>
        <v>60</v>
      </c>
      <c r="L7" s="127">
        <f ca="1">+IF($D7=0,"",VLOOKUP($C7,$Q:$AB,COLUMNS($C$4:L6),0))</f>
        <v>90</v>
      </c>
      <c r="M7" s="128">
        <f ca="1">+IF($D7=0,"",VLOOKUP($C7,$Q:$AB,COLUMNS($C$4:M6),0))</f>
        <v>165</v>
      </c>
      <c r="N7" s="129">
        <f ca="1">+IF($D7=0,"",VLOOKUP($C7,$Q:$AB,COLUMNS($C$4:N6),0))</f>
        <v>395.005</v>
      </c>
      <c r="P7" s="196">
        <f t="shared" ca="1" si="5"/>
        <v>164.99930000000001</v>
      </c>
      <c r="Q7" s="119">
        <f t="shared" ca="1" si="0"/>
        <v>2</v>
      </c>
      <c r="R7" s="126" t="str">
        <f>Resultado!B9</f>
        <v xml:space="preserve">  German Rodriguez</v>
      </c>
      <c r="S7" s="120">
        <f ca="1">+SUMIFS(Resultado!9:9,Resultado!$1:$1,ClasificaciónPorra!S$4)</f>
        <v>85</v>
      </c>
      <c r="T7" s="120">
        <f ca="1">+SUMIFS(Resultado!9:9,Resultado!$1:$1,ClasificaciónPorra!T$4)</f>
        <v>40</v>
      </c>
      <c r="U7" s="120">
        <f ca="1">+SUMIFS(Resultado!9:9,Resultado!$1:$1,ClasificaciónPorra!U$4)</f>
        <v>60</v>
      </c>
      <c r="V7" s="120">
        <f ca="1">+SUMIFS(Resultado!9:9,Resultado!$1:$1,ClasificaciónPorra!V$4)</f>
        <v>80</v>
      </c>
      <c r="W7" s="120">
        <f t="shared" ca="1" si="1"/>
        <v>265</v>
      </c>
      <c r="X7" s="120">
        <f ca="1">+SUMIFS(Resultado!9:9,Resultado!$1:$1,ClasificaciónPorra!X$4)</f>
        <v>5</v>
      </c>
      <c r="Y7" s="120">
        <f ca="1">+SUMIFS(Resultado!9:9,Resultado!$1:$1,ClasificaciónPorra!Y$4)</f>
        <v>85</v>
      </c>
      <c r="Z7" s="120">
        <f ca="1">+SUMIFS(Resultado!9:9,Resultado!$1:$1,ClasificaciónPorra!Z$4)</f>
        <v>60</v>
      </c>
      <c r="AA7" s="122">
        <f t="shared" ca="1" si="2"/>
        <v>150</v>
      </c>
      <c r="AB7" s="121">
        <f t="shared" ca="1" si="3"/>
        <v>415.00700000000001</v>
      </c>
    </row>
    <row r="8" spans="3:28" x14ac:dyDescent="0.25">
      <c r="C8" s="150">
        <f t="shared" si="4"/>
        <v>4</v>
      </c>
      <c r="D8" s="152" t="str">
        <f ca="1">+VLOOKUP($C8,$Q:$AB,COLUMNS($C$4:D7),0)</f>
        <v>Cazaputas69</v>
      </c>
      <c r="E8" s="201">
        <f ca="1">+IF($D8=0,"",VLOOKUP($C8,$Q:$AB,COLUMNS($C$4:E7),0))</f>
        <v>80</v>
      </c>
      <c r="F8" s="202">
        <f ca="1">+IF($D8=0,"",VLOOKUP($C8,$Q:$AB,COLUMNS($C$4:F7),0))</f>
        <v>35</v>
      </c>
      <c r="G8" s="202">
        <f ca="1">+IF($D8=0,"",VLOOKUP($C8,$Q:$AB,COLUMNS($C$4:G7),0))</f>
        <v>60</v>
      </c>
      <c r="H8" s="202">
        <f ca="1">+IF($D8=0,"",VLOOKUP($C8,$Q:$AB,COLUMNS($C$4:H7),0))</f>
        <v>60</v>
      </c>
      <c r="I8" s="203">
        <f ca="1">+IF($D8=0,"",VLOOKUP($C8,$Q:$AB,COLUMNS($C$4:I7),0))</f>
        <v>235</v>
      </c>
      <c r="J8" s="130">
        <f ca="1">+IF($D8=0,"",VLOOKUP($C8,$Q:$AB,COLUMNS($C$4:J7),0))</f>
        <v>15</v>
      </c>
      <c r="K8" s="130">
        <f ca="1">+IF($D8=0,"",VLOOKUP($C8,$Q:$AB,COLUMNS($C$4:K7),0))</f>
        <v>55</v>
      </c>
      <c r="L8" s="130">
        <f ca="1">+IF($D8=0,"",VLOOKUP($C8,$Q:$AB,COLUMNS($C$4:L7),0))</f>
        <v>85</v>
      </c>
      <c r="M8" s="131">
        <f ca="1">+IF($D8=0,"",VLOOKUP($C8,$Q:$AB,COLUMNS($C$4:M7),0))</f>
        <v>155</v>
      </c>
      <c r="N8" s="132">
        <f ca="1">+IF($D8=0,"",VLOOKUP($C8,$Q:$AB,COLUMNS($C$4:N7),0))</f>
        <v>390.00599999999997</v>
      </c>
      <c r="P8" s="196">
        <f t="shared" ca="1" si="5"/>
        <v>154.9992</v>
      </c>
      <c r="Q8" s="119">
        <f t="shared" ca="1" si="0"/>
        <v>6</v>
      </c>
      <c r="R8" s="126" t="str">
        <f>Resultado!B10</f>
        <v>ISAAC BERMUDEZ</v>
      </c>
      <c r="S8" s="120">
        <f ca="1">+SUMIFS(Resultado!10:10,Resultado!$1:$1,ClasificaciónPorra!S$4)</f>
        <v>75</v>
      </c>
      <c r="T8" s="120">
        <f ca="1">+SUMIFS(Resultado!10:10,Resultado!$1:$1,ClasificaciónPorra!T$4)</f>
        <v>80</v>
      </c>
      <c r="U8" s="120">
        <f ca="1">+SUMIFS(Resultado!10:10,Resultado!$1:$1,ClasificaciónPorra!U$4)</f>
        <v>55</v>
      </c>
      <c r="V8" s="120">
        <f ca="1">+SUMIFS(Resultado!10:10,Resultado!$1:$1,ClasificaciónPorra!V$4)</f>
        <v>60</v>
      </c>
      <c r="W8" s="120">
        <f t="shared" ca="1" si="1"/>
        <v>270</v>
      </c>
      <c r="X8" s="120">
        <f ca="1">+SUMIFS(Resultado!10:10,Resultado!$1:$1,ClasificaciónPorra!X$4)</f>
        <v>20</v>
      </c>
      <c r="Y8" s="120">
        <f ca="1">+SUMIFS(Resultado!10:10,Resultado!$1:$1,ClasificaciónPorra!Y$4)</f>
        <v>55</v>
      </c>
      <c r="Z8" s="120">
        <f ca="1">+SUMIFS(Resultado!10:10,Resultado!$1:$1,ClasificaciónPorra!Z$4)</f>
        <v>30</v>
      </c>
      <c r="AA8" s="122">
        <f t="shared" ca="1" si="2"/>
        <v>105</v>
      </c>
      <c r="AB8" s="121">
        <f t="shared" ca="1" si="3"/>
        <v>375.00799999999998</v>
      </c>
    </row>
    <row r="9" spans="3:28" x14ac:dyDescent="0.25">
      <c r="C9" s="150">
        <f t="shared" si="4"/>
        <v>5</v>
      </c>
      <c r="D9" s="153" t="str">
        <f ca="1">+VLOOKUP($C9,$Q:$AB,COLUMNS($C$4:D8),0)</f>
        <v>Moises</v>
      </c>
      <c r="E9" s="204">
        <f ca="1">+IF($D9=0,"",VLOOKUP($C9,$Q:$AB,COLUMNS($C$4:E8),0))</f>
        <v>75</v>
      </c>
      <c r="F9" s="205">
        <f ca="1">+IF($D9=0,"",VLOOKUP($C9,$Q:$AB,COLUMNS($C$4:F8),0))</f>
        <v>65</v>
      </c>
      <c r="G9" s="205">
        <f ca="1">+IF($D9=0,"",VLOOKUP($C9,$Q:$AB,COLUMNS($C$4:G8),0))</f>
        <v>55</v>
      </c>
      <c r="H9" s="205">
        <f ca="1">+IF($D9=0,"",VLOOKUP($C9,$Q:$AB,COLUMNS($C$4:H8),0))</f>
        <v>60</v>
      </c>
      <c r="I9" s="206">
        <f ca="1">+IF($D9=0,"",VLOOKUP($C9,$Q:$AB,COLUMNS($C$4:I8),0))</f>
        <v>255</v>
      </c>
      <c r="J9" s="133">
        <f ca="1">+IF($D9=0,"",VLOOKUP($C9,$Q:$AB,COLUMNS($C$4:J8),0))</f>
        <v>15</v>
      </c>
      <c r="K9" s="133">
        <f ca="1">+IF($D9=0,"",VLOOKUP($C9,$Q:$AB,COLUMNS($C$4:K8),0))</f>
        <v>85</v>
      </c>
      <c r="L9" s="133">
        <f ca="1">+IF($D9=0,"",VLOOKUP($C9,$Q:$AB,COLUMNS($C$4:L8),0))</f>
        <v>30</v>
      </c>
      <c r="M9" s="134">
        <f ca="1">+IF($D9=0,"",VLOOKUP($C9,$Q:$AB,COLUMNS($C$4:M8),0))</f>
        <v>130</v>
      </c>
      <c r="N9" s="135">
        <f ca="1">+IF($D9=0,"",VLOOKUP($C9,$Q:$AB,COLUMNS($C$4:N8),0))</f>
        <v>385.01299999999998</v>
      </c>
      <c r="P9" s="196">
        <f t="shared" ca="1" si="5"/>
        <v>129.9991</v>
      </c>
      <c r="Q9" s="119">
        <f t="shared" ca="1" si="0"/>
        <v>8</v>
      </c>
      <c r="R9" s="126" t="str">
        <f>Resultado!B11</f>
        <v>YUTA</v>
      </c>
      <c r="S9" s="120">
        <f ca="1">+SUMIFS(Resultado!11:11,Resultado!$1:$1,ClasificaciónPorra!S$4)</f>
        <v>85</v>
      </c>
      <c r="T9" s="120">
        <f ca="1">+SUMIFS(Resultado!11:11,Resultado!$1:$1,ClasificaciónPorra!T$4)</f>
        <v>55</v>
      </c>
      <c r="U9" s="120">
        <f ca="1">+SUMIFS(Resultado!11:11,Resultado!$1:$1,ClasificaciónPorra!U$4)</f>
        <v>55</v>
      </c>
      <c r="V9" s="120">
        <f ca="1">+SUMIFS(Resultado!11:11,Resultado!$1:$1,ClasificaciónPorra!V$4)</f>
        <v>55</v>
      </c>
      <c r="W9" s="120">
        <f t="shared" ca="1" si="1"/>
        <v>250</v>
      </c>
      <c r="X9" s="120">
        <f ca="1">+SUMIFS(Resultado!11:11,Resultado!$1:$1,ClasificaciónPorra!X$4)</f>
        <v>15</v>
      </c>
      <c r="Y9" s="120">
        <f ca="1">+SUMIFS(Resultado!11:11,Resultado!$1:$1,ClasificaciónPorra!Y$4)</f>
        <v>55</v>
      </c>
      <c r="Z9" s="120">
        <f ca="1">+SUMIFS(Resultado!11:11,Resultado!$1:$1,ClasificaciónPorra!Z$4)</f>
        <v>30</v>
      </c>
      <c r="AA9" s="122">
        <f t="shared" ca="1" si="2"/>
        <v>100</v>
      </c>
      <c r="AB9" s="121">
        <f t="shared" ca="1" si="3"/>
        <v>350.00900000000001</v>
      </c>
    </row>
    <row r="10" spans="3:28" x14ac:dyDescent="0.25">
      <c r="C10" s="150">
        <f t="shared" si="4"/>
        <v>6</v>
      </c>
      <c r="D10" s="151" t="str">
        <f ca="1">+VLOOKUP($C10,$Q:$AB,COLUMNS($C$4:D9),0)</f>
        <v>ISAAC BERMUDEZ</v>
      </c>
      <c r="E10" s="197">
        <f ca="1">+IF($D10=0,"",VLOOKUP($C10,$Q:$AB,COLUMNS($C$4:E9),0))</f>
        <v>75</v>
      </c>
      <c r="F10" s="198">
        <f ca="1">+IF($D10=0,"",VLOOKUP($C10,$Q:$AB,COLUMNS($C$4:F9),0))</f>
        <v>80</v>
      </c>
      <c r="G10" s="198">
        <f ca="1">+IF($D10=0,"",VLOOKUP($C10,$Q:$AB,COLUMNS($C$4:G9),0))</f>
        <v>55</v>
      </c>
      <c r="H10" s="198">
        <f ca="1">+IF($D10=0,"",VLOOKUP($C10,$Q:$AB,COLUMNS($C$4:H9),0))</f>
        <v>60</v>
      </c>
      <c r="I10" s="200">
        <f ca="1">+IF($D10=0,"",VLOOKUP($C10,$Q:$AB,COLUMNS($C$4:I9),0))</f>
        <v>270</v>
      </c>
      <c r="J10" s="127">
        <f ca="1">+IF($D10=0,"",VLOOKUP($C10,$Q:$AB,COLUMNS($C$4:J9),0))</f>
        <v>20</v>
      </c>
      <c r="K10" s="127">
        <f ca="1">+IF($D10=0,"",VLOOKUP($C10,$Q:$AB,COLUMNS($C$4:K9),0))</f>
        <v>55</v>
      </c>
      <c r="L10" s="127">
        <f ca="1">+IF($D10=0,"",VLOOKUP($C10,$Q:$AB,COLUMNS($C$4:L9),0))</f>
        <v>30</v>
      </c>
      <c r="M10" s="128">
        <f ca="1">+IF($D10=0,"",VLOOKUP($C10,$Q:$AB,COLUMNS($C$4:M9),0))</f>
        <v>105</v>
      </c>
      <c r="N10" s="129">
        <f ca="1">+IF($D10=0,"",VLOOKUP($C10,$Q:$AB,COLUMNS($C$4:N9),0))</f>
        <v>375.00799999999998</v>
      </c>
      <c r="P10" s="196">
        <f t="shared" ca="1" si="5"/>
        <v>104.999</v>
      </c>
      <c r="Q10" s="119">
        <f t="shared" ca="1" si="0"/>
        <v>7</v>
      </c>
      <c r="R10" s="126" t="str">
        <f>Resultado!B12</f>
        <v>Juan Diego De Abreu</v>
      </c>
      <c r="S10" s="120">
        <f ca="1">+SUMIFS(Resultado!12:12,Resultado!$1:$1,ClasificaciónPorra!S$4)</f>
        <v>95</v>
      </c>
      <c r="T10" s="120">
        <f ca="1">+SUMIFS(Resultado!12:12,Resultado!$1:$1,ClasificaciónPorra!T$4)</f>
        <v>50</v>
      </c>
      <c r="U10" s="120">
        <f ca="1">+SUMIFS(Resultado!12:12,Resultado!$1:$1,ClasificaciónPorra!U$4)</f>
        <v>60</v>
      </c>
      <c r="V10" s="120">
        <f ca="1">+SUMIFS(Resultado!12:12,Resultado!$1:$1,ClasificaciónPorra!V$4)</f>
        <v>55</v>
      </c>
      <c r="W10" s="120">
        <f t="shared" ca="1" si="1"/>
        <v>260</v>
      </c>
      <c r="X10" s="120">
        <f ca="1">+SUMIFS(Resultado!12:12,Resultado!$1:$1,ClasificaciónPorra!X$4)</f>
        <v>15</v>
      </c>
      <c r="Y10" s="120">
        <f ca="1">+SUMIFS(Resultado!12:12,Resultado!$1:$1,ClasificaciónPorra!Y$4)</f>
        <v>60</v>
      </c>
      <c r="Z10" s="120">
        <f ca="1">+SUMIFS(Resultado!12:12,Resultado!$1:$1,ClasificaciónPorra!Z$4)</f>
        <v>30</v>
      </c>
      <c r="AA10" s="122">
        <f t="shared" ca="1" si="2"/>
        <v>105</v>
      </c>
      <c r="AB10" s="121">
        <f t="shared" ca="1" si="3"/>
        <v>365.01</v>
      </c>
    </row>
    <row r="11" spans="3:28" x14ac:dyDescent="0.25">
      <c r="C11" s="150">
        <f t="shared" si="4"/>
        <v>7</v>
      </c>
      <c r="D11" s="151" t="str">
        <f ca="1">+VLOOKUP($C11,$Q:$AB,COLUMNS($C$4:D10),0)</f>
        <v>Juan Diego De Abreu</v>
      </c>
      <c r="E11" s="197">
        <f ca="1">+IF($D11=0,"",VLOOKUP($C11,$Q:$AB,COLUMNS($C$4:E10),0))</f>
        <v>95</v>
      </c>
      <c r="F11" s="198">
        <f ca="1">+IF($D11=0,"",VLOOKUP($C11,$Q:$AB,COLUMNS($C$4:F10),0))</f>
        <v>50</v>
      </c>
      <c r="G11" s="198">
        <f ca="1">+IF($D11=0,"",VLOOKUP($C11,$Q:$AB,COLUMNS($C$4:G10),0))</f>
        <v>60</v>
      </c>
      <c r="H11" s="198">
        <f ca="1">+IF($D11=0,"",VLOOKUP($C11,$Q:$AB,COLUMNS($C$4:H10),0))</f>
        <v>55</v>
      </c>
      <c r="I11" s="200">
        <f ca="1">+IF($D11=0,"",VLOOKUP($C11,$Q:$AB,COLUMNS($C$4:I10),0))</f>
        <v>260</v>
      </c>
      <c r="J11" s="127">
        <f ca="1">+IF($D11=0,"",VLOOKUP($C11,$Q:$AB,COLUMNS($C$4:J10),0))</f>
        <v>15</v>
      </c>
      <c r="K11" s="127">
        <f ca="1">+IF($D11=0,"",VLOOKUP($C11,$Q:$AB,COLUMNS($C$4:K10),0))</f>
        <v>60</v>
      </c>
      <c r="L11" s="127">
        <f ca="1">+IF($D11=0,"",VLOOKUP($C11,$Q:$AB,COLUMNS($C$4:L10),0))</f>
        <v>30</v>
      </c>
      <c r="M11" s="128">
        <f ca="1">+IF($D11=0,"",VLOOKUP($C11,$Q:$AB,COLUMNS($C$4:M10),0))</f>
        <v>105</v>
      </c>
      <c r="N11" s="129">
        <f ca="1">+IF($D11=0,"",VLOOKUP($C11,$Q:$AB,COLUMNS($C$4:N10),0))</f>
        <v>365.01</v>
      </c>
      <c r="P11" s="196">
        <f t="shared" ca="1" si="5"/>
        <v>104.99890000000001</v>
      </c>
      <c r="Q11" s="119">
        <f t="shared" ca="1" si="0"/>
        <v>1</v>
      </c>
      <c r="R11" s="126" t="str">
        <f>Resultado!B13</f>
        <v>Leiner</v>
      </c>
      <c r="S11" s="120">
        <f ca="1">+SUMIFS(Resultado!13:13,Resultado!$1:$1,ClasificaciónPorra!S$4)</f>
        <v>90</v>
      </c>
      <c r="T11" s="120">
        <f ca="1">+SUMIFS(Resultado!13:13,Resultado!$1:$1,ClasificaciónPorra!T$4)</f>
        <v>70</v>
      </c>
      <c r="U11" s="120">
        <f ca="1">+SUMIFS(Resultado!13:13,Resultado!$1:$1,ClasificaciónPorra!U$4)</f>
        <v>55</v>
      </c>
      <c r="V11" s="120">
        <f ca="1">+SUMIFS(Resultado!13:13,Resultado!$1:$1,ClasificaciónPorra!V$4)</f>
        <v>80</v>
      </c>
      <c r="W11" s="120">
        <f t="shared" ca="1" si="1"/>
        <v>295</v>
      </c>
      <c r="X11" s="120">
        <f ca="1">+SUMIFS(Resultado!13:13,Resultado!$1:$1,ClasificaciónPorra!X$4)</f>
        <v>5</v>
      </c>
      <c r="Y11" s="120">
        <f ca="1">+SUMIFS(Resultado!13:13,Resultado!$1:$1,ClasificaciónPorra!Y$4)</f>
        <v>85</v>
      </c>
      <c r="Z11" s="120">
        <f ca="1">+SUMIFS(Resultado!13:13,Resultado!$1:$1,ClasificaciónPorra!Z$4)</f>
        <v>85</v>
      </c>
      <c r="AA11" s="122">
        <f t="shared" ca="1" si="2"/>
        <v>175</v>
      </c>
      <c r="AB11" s="121">
        <f t="shared" ca="1" si="3"/>
        <v>470.01100000000002</v>
      </c>
    </row>
    <row r="12" spans="3:28" x14ac:dyDescent="0.25">
      <c r="C12" s="150">
        <f t="shared" si="4"/>
        <v>8</v>
      </c>
      <c r="D12" s="151" t="str">
        <f ca="1">+VLOOKUP($C12,$Q:$AB,COLUMNS($C$4:D11),0)</f>
        <v>YUTA</v>
      </c>
      <c r="E12" s="197">
        <f ca="1">+IF($D12=0,"",VLOOKUP($C12,$Q:$AB,COLUMNS($C$4:E11),0))</f>
        <v>85</v>
      </c>
      <c r="F12" s="198">
        <f ca="1">+IF($D12=0,"",VLOOKUP($C12,$Q:$AB,COLUMNS($C$4:F11),0))</f>
        <v>55</v>
      </c>
      <c r="G12" s="198">
        <f ca="1">+IF($D12=0,"",VLOOKUP($C12,$Q:$AB,COLUMNS($C$4:G11),0))</f>
        <v>55</v>
      </c>
      <c r="H12" s="198">
        <f ca="1">+IF($D12=0,"",VLOOKUP($C12,$Q:$AB,COLUMNS($C$4:H11),0))</f>
        <v>55</v>
      </c>
      <c r="I12" s="200">
        <f ca="1">+IF($D12=0,"",VLOOKUP($C12,$Q:$AB,COLUMNS($C$4:I11),0))</f>
        <v>250</v>
      </c>
      <c r="J12" s="127">
        <f ca="1">+IF($D12=0,"",VLOOKUP($C12,$Q:$AB,COLUMNS($C$4:J11),0))</f>
        <v>15</v>
      </c>
      <c r="K12" s="127">
        <f ca="1">+IF($D12=0,"",VLOOKUP($C12,$Q:$AB,COLUMNS($C$4:K11),0))</f>
        <v>55</v>
      </c>
      <c r="L12" s="127">
        <f ca="1">+IF($D12=0,"",VLOOKUP($C12,$Q:$AB,COLUMNS($C$4:L11),0))</f>
        <v>30</v>
      </c>
      <c r="M12" s="128">
        <f ca="1">+IF($D12=0,"",VLOOKUP($C12,$Q:$AB,COLUMNS($C$4:M11),0))</f>
        <v>100</v>
      </c>
      <c r="N12" s="129">
        <f ca="1">+IF($D12=0,"",VLOOKUP($C12,$Q:$AB,COLUMNS($C$4:N11),0))</f>
        <v>350.00900000000001</v>
      </c>
      <c r="P12" s="196">
        <f t="shared" ca="1" si="5"/>
        <v>99.998800000000003</v>
      </c>
      <c r="Q12" s="119">
        <f t="shared" ca="1" si="0"/>
        <v>9</v>
      </c>
      <c r="R12" s="126" t="str">
        <f>Resultado!B14</f>
        <v xml:space="preserve">Luis Rondón </v>
      </c>
      <c r="S12" s="120">
        <f ca="1">+SUMIFS(Resultado!14:14,Resultado!$1:$1,ClasificaciónPorra!S$4)</f>
        <v>70</v>
      </c>
      <c r="T12" s="120">
        <f ca="1">+SUMIFS(Resultado!14:14,Resultado!$1:$1,ClasificaciónPorra!T$4)</f>
        <v>90</v>
      </c>
      <c r="U12" s="120">
        <f ca="1">+SUMIFS(Resultado!14:14,Resultado!$1:$1,ClasificaciónPorra!U$4)</f>
        <v>65</v>
      </c>
      <c r="V12" s="120">
        <f ca="1">+SUMIFS(Resultado!14:14,Resultado!$1:$1,ClasificaciónPorra!V$4)</f>
        <v>65</v>
      </c>
      <c r="W12" s="120">
        <f t="shared" ca="1" si="1"/>
        <v>290</v>
      </c>
      <c r="X12" s="120">
        <f ca="1">+SUMIFS(Resultado!14:14,Resultado!$1:$1,ClasificaciónPorra!X$4)</f>
        <v>5</v>
      </c>
      <c r="Y12" s="120">
        <f ca="1">+SUMIFS(Resultado!14:14,Resultado!$1:$1,ClasificaciónPorra!Y$4)</f>
        <v>50</v>
      </c>
      <c r="Z12" s="120">
        <f ca="1">+SUMIFS(Resultado!14:14,Resultado!$1:$1,ClasificaciónPorra!Z$4)</f>
        <v>0</v>
      </c>
      <c r="AA12" s="122">
        <f t="shared" ca="1" si="2"/>
        <v>55</v>
      </c>
      <c r="AB12" s="121">
        <f t="shared" ca="1" si="3"/>
        <v>345.012</v>
      </c>
    </row>
    <row r="13" spans="3:28" x14ac:dyDescent="0.25">
      <c r="C13" s="150">
        <f t="shared" si="4"/>
        <v>9</v>
      </c>
      <c r="D13" s="152" t="str">
        <f ca="1">+VLOOKUP($C13,$Q:$AB,COLUMNS($C$4:D12),0)</f>
        <v xml:space="preserve">Luis Rondón </v>
      </c>
      <c r="E13" s="201">
        <f ca="1">+IF($D13=0,"",VLOOKUP($C13,$Q:$AB,COLUMNS($C$4:E12),0))</f>
        <v>70</v>
      </c>
      <c r="F13" s="202">
        <f ca="1">+IF($D13=0,"",VLOOKUP($C13,$Q:$AB,COLUMNS($C$4:F12),0))</f>
        <v>90</v>
      </c>
      <c r="G13" s="202">
        <f ca="1">+IF($D13=0,"",VLOOKUP($C13,$Q:$AB,COLUMNS($C$4:G12),0))</f>
        <v>65</v>
      </c>
      <c r="H13" s="202">
        <f ca="1">+IF($D13=0,"",VLOOKUP($C13,$Q:$AB,COLUMNS($C$4:H12),0))</f>
        <v>65</v>
      </c>
      <c r="I13" s="203">
        <f ca="1">+IF($D13=0,"",VLOOKUP($C13,$Q:$AB,COLUMNS($C$4:I12),0))</f>
        <v>290</v>
      </c>
      <c r="J13" s="130">
        <f ca="1">+IF($D13=0,"",VLOOKUP($C13,$Q:$AB,COLUMNS($C$4:J12),0))</f>
        <v>5</v>
      </c>
      <c r="K13" s="130">
        <f ca="1">+IF($D13=0,"",VLOOKUP($C13,$Q:$AB,COLUMNS($C$4:K12),0))</f>
        <v>50</v>
      </c>
      <c r="L13" s="130">
        <f ca="1">+IF($D13=0,"",VLOOKUP($C13,$Q:$AB,COLUMNS($C$4:L12),0))</f>
        <v>0</v>
      </c>
      <c r="M13" s="131">
        <f ca="1">+IF($D13=0,"",VLOOKUP($C13,$Q:$AB,COLUMNS($C$4:M12),0))</f>
        <v>55</v>
      </c>
      <c r="N13" s="132">
        <f ca="1">+IF($D13=0,"",VLOOKUP($C13,$Q:$AB,COLUMNS($C$4:N12),0))</f>
        <v>345.012</v>
      </c>
      <c r="P13" s="196">
        <f t="shared" ca="1" si="5"/>
        <v>54.998699999999999</v>
      </c>
      <c r="Q13" s="119">
        <f t="shared" ca="1" si="0"/>
        <v>5</v>
      </c>
      <c r="R13" s="126" t="str">
        <f>Resultado!B15</f>
        <v>Moises</v>
      </c>
      <c r="S13" s="120">
        <f ca="1">+SUMIFS(Resultado!15:15,Resultado!$1:$1,ClasificaciónPorra!S$4)</f>
        <v>75</v>
      </c>
      <c r="T13" s="120">
        <f ca="1">+SUMIFS(Resultado!15:15,Resultado!$1:$1,ClasificaciónPorra!T$4)</f>
        <v>65</v>
      </c>
      <c r="U13" s="120">
        <f ca="1">+SUMIFS(Resultado!15:15,Resultado!$1:$1,ClasificaciónPorra!U$4)</f>
        <v>55</v>
      </c>
      <c r="V13" s="120">
        <f ca="1">+SUMIFS(Resultado!15:15,Resultado!$1:$1,ClasificaciónPorra!V$4)</f>
        <v>60</v>
      </c>
      <c r="W13" s="120">
        <f t="shared" ca="1" si="1"/>
        <v>255</v>
      </c>
      <c r="X13" s="120">
        <f ca="1">+SUMIFS(Resultado!15:15,Resultado!$1:$1,ClasificaciónPorra!X$4)</f>
        <v>15</v>
      </c>
      <c r="Y13" s="120">
        <f ca="1">+SUMIFS(Resultado!15:15,Resultado!$1:$1,ClasificaciónPorra!Y$4)</f>
        <v>85</v>
      </c>
      <c r="Z13" s="120">
        <f ca="1">+SUMIFS(Resultado!15:15,Resultado!$1:$1,ClasificaciónPorra!Z$4)</f>
        <v>30</v>
      </c>
      <c r="AA13" s="122">
        <f t="shared" ca="1" si="2"/>
        <v>130</v>
      </c>
      <c r="AB13" s="121">
        <f t="shared" ca="1" si="3"/>
        <v>385.01299999999998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T36" sqref="T3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29</v>
      </c>
      <c r="C1" s="207"/>
      <c r="D1" s="207">
        <f>+A1</f>
        <v>29</v>
      </c>
      <c r="E1" s="207"/>
      <c r="F1" s="207"/>
      <c r="G1" s="207">
        <f>+D1+1</f>
        <v>30</v>
      </c>
      <c r="H1" s="207"/>
      <c r="I1" s="207"/>
      <c r="J1" s="207">
        <f t="shared" ref="J1" si="0">+G1+1</f>
        <v>31</v>
      </c>
      <c r="K1" s="207"/>
      <c r="L1" s="207"/>
      <c r="M1" s="207">
        <f t="shared" ref="M1" si="1">+J1+1</f>
        <v>32</v>
      </c>
      <c r="S1" s="176" t="s">
        <v>94</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Semis</v>
      </c>
      <c r="E5" s="297"/>
      <c r="F5" s="298"/>
      <c r="G5" s="296" t="str">
        <f>"Grupo "&amp;VLOOKUP(G1,Aux!$F:$O,8,0)</f>
        <v>Grupo Semis</v>
      </c>
      <c r="H5" s="297"/>
      <c r="I5" s="298"/>
      <c r="J5" s="296" t="str">
        <f>"Grupo "&amp;VLOOKUP(J1,Aux!$F:$O,8,0)</f>
        <v>Grupo Final</v>
      </c>
      <c r="K5" s="297"/>
      <c r="L5" s="298"/>
      <c r="M5" s="296" t="str">
        <f>"Grupo "&amp;VLOOKUP(M1,Aux!$F:$O,8,0)</f>
        <v>Grupo Final</v>
      </c>
      <c r="N5" s="297"/>
      <c r="O5" s="298"/>
      <c r="P5" s="123"/>
      <c r="R5" s="214"/>
      <c r="S5" s="215"/>
      <c r="T5" s="216" t="str" cm="1">
        <f t="array" ref="T5">S1&amp;_xlfn.SEQUENCE(1,VLOOKUP(S1,$AD$1:$AE$5,2,0))</f>
        <v>Campeón1</v>
      </c>
      <c r="U5" s="216"/>
      <c r="V5" s="216"/>
      <c r="W5" s="216"/>
      <c r="X5" s="216"/>
      <c r="Y5" s="216"/>
      <c r="Z5" s="216"/>
      <c r="AA5" s="216"/>
      <c r="AB5" s="123"/>
      <c r="AD5" s="207" t="s">
        <v>94</v>
      </c>
      <c r="AE5" s="207">
        <v>1</v>
      </c>
    </row>
    <row r="6" spans="1:31" ht="20.100000000000001" customHeight="1" x14ac:dyDescent="0.25">
      <c r="B6" s="214"/>
      <c r="C6" s="146"/>
      <c r="D6" s="299" t="str">
        <f>VLOOKUP(D1,Aux!$F:$O,5,0)</f>
        <v>Ganador cuartos de final 1</v>
      </c>
      <c r="E6" s="217">
        <f>VLOOKUP(D1,Aux!$F:$O,3,0)</f>
        <v>45482.833333333336</v>
      </c>
      <c r="F6" s="299" t="str">
        <f>VLOOKUP(D1,Aux!$F:$O,6,0)</f>
        <v>Ganador cuartos de final 2</v>
      </c>
      <c r="G6" s="299" t="str">
        <f>VLOOKUP(G1,Aux!$F:$O,5,0)</f>
        <v>Ganador cuartos de final 3</v>
      </c>
      <c r="H6" s="217">
        <f>VLOOKUP(G1,Aux!$F:$O,3,0)</f>
        <v>45483.833333333336</v>
      </c>
      <c r="I6" s="299" t="str">
        <f>VLOOKUP(G1,Aux!$F:$O,6,0)</f>
        <v>Ganador cuartos de final 4</v>
      </c>
      <c r="J6" s="299" t="str">
        <f>VLOOKUP(J1,Aux!$F:$O,5,0)</f>
        <v>Perdedor semifinal 1</v>
      </c>
      <c r="K6" s="217">
        <f>VLOOKUP(J1,Aux!$F:$O,3,0)</f>
        <v>45486.833333333336</v>
      </c>
      <c r="L6" s="299" t="str">
        <f>VLOOKUP(J1,Aux!$F:$O,6,0)</f>
        <v>Perdedor semifinal 2</v>
      </c>
      <c r="M6" s="299" t="str">
        <f>VLOOKUP(M1,Aux!$F:$O,5,0)</f>
        <v>Ganador semifinal 1</v>
      </c>
      <c r="N6" s="217">
        <f>VLOOKUP(M1,Aux!$F:$O,3,0)</f>
        <v>45487.833333333336</v>
      </c>
      <c r="O6" s="299" t="str">
        <f>VLOOKUP(M1,Aux!$F:$O,6,0)</f>
        <v>Ganador semifinal 2</v>
      </c>
      <c r="P6" s="123"/>
      <c r="R6" s="214"/>
      <c r="S6" s="218" t="str">
        <f ca="1">IF(ClasificaciónPorra!D5=0,"",ClasificaciónPorra!D5)</f>
        <v>Leiner</v>
      </c>
      <c r="T6" s="171" cm="1">
        <f t="array" aca="1" ref="T6" ca="1">IF(OR(T$5="",$S6=""),"",IFERROR(INDEX(TotalApuestas!$A$1:$GL$50000,MATCH(Seguimiento!$S6,TotalApuestas!$B$1:$B$50000,0),MATCH("Equipos"&amp;Seguimiento!$S$1,Resultado!$4:$4,0)+COLUMNS($T$1:T$1)-1),0))</f>
        <v>0</v>
      </c>
      <c r="U6" s="171" t="str" cm="1">
        <f t="array" aca="1" ref="U6" ca="1">IF(OR(U$5="",$S6=""),"",IFERROR(INDEX(TotalApuestas!$A$1:$GL$50000,MATCH(Seguimiento!$S6,TotalApuestas!$B$1:$B$50000,0),MATCH("Equipos"&amp;Seguimiento!$S$1,Resultado!$4:$4,0)+COLUMNS($T$1:U$1)-1),0))</f>
        <v/>
      </c>
      <c r="V6" s="171" t="str" cm="1">
        <f t="array" aca="1" ref="V6" ca="1">IF(OR(V$5="",$S6=""),"",IFERROR(INDEX(TotalApuestas!$A$1:$GL$50000,MATCH(Seguimiento!$S6,TotalApuestas!$B$1:$B$50000,0),MATCH("Equipos"&amp;Seguimiento!$S$1,Resultado!$4:$4,0)+COLUMNS($T$1:V$1)-1),0))</f>
        <v/>
      </c>
      <c r="W6" s="171" t="str" cm="1">
        <f t="array" aca="1" ref="W6" ca="1">IF(OR(W$5="",$S6=""),"",IFERROR(INDEX(TotalApuestas!$A$1:$GL$50000,MATCH(Seguimiento!$S6,TotalApuestas!$B$1:$B$50000,0),MATCH("Equipos"&amp;Seguimiento!$S$1,Resultado!$4:$4,0)+COLUMNS($T$1:W$1)-1),0))</f>
        <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45482.833333333336</v>
      </c>
      <c r="F7" s="299"/>
      <c r="G7" s="299"/>
      <c r="H7" s="220">
        <f>+H6</f>
        <v>45483.833333333336</v>
      </c>
      <c r="I7" s="299"/>
      <c r="J7" s="299"/>
      <c r="K7" s="220">
        <f>+K6</f>
        <v>45486.833333333336</v>
      </c>
      <c r="L7" s="299"/>
      <c r="M7" s="299"/>
      <c r="N7" s="220">
        <f>+N6</f>
        <v>45487.833333333336</v>
      </c>
      <c r="O7" s="299"/>
      <c r="P7" s="123"/>
      <c r="R7" s="214"/>
      <c r="S7" s="218" t="str">
        <f ca="1">IF(ClasificaciónPorra!D6=0,"",ClasificaciónPorra!D6)</f>
        <v xml:space="preserve">  German Rodriguez</v>
      </c>
      <c r="T7" s="171" cm="1">
        <f t="array" aca="1" ref="T7" ca="1">IF(OR(T$5="",$S7=""),"",IFERROR(INDEX(TotalApuestas!$A$1:$GL$50000,MATCH(Seguimiento!$S7,TotalApuestas!$B$1:$B$50000,0),MATCH("Equipos"&amp;Seguimiento!$S$1,Resultado!$4:$4,0)+COLUMNS($T$1:T$1)-1),0))</f>
        <v>0</v>
      </c>
      <c r="U7" s="171" t="str" cm="1">
        <f t="array" aca="1" ref="U7" ca="1">IF(OR(U$5="",$S7=""),"",IFERROR(INDEX(TotalApuestas!$A$1:$GL$50000,MATCH(Seguimiento!$S7,TotalApuestas!$B$1:$B$50000,0),MATCH("Equipos"&amp;Seguimiento!$S$1,Resultado!$4:$4,0)+COLUMNS($T$1:U$1)-1),0))</f>
        <v/>
      </c>
      <c r="V7" s="171" t="str" cm="1">
        <f t="array" aca="1" ref="V7" ca="1">IF(OR(V$5="",$S7=""),"",IFERROR(INDEX(TotalApuestas!$A$1:$GL$50000,MATCH(Seguimiento!$S7,TotalApuestas!$B$1:$B$50000,0),MATCH("Equipos"&amp;Seguimiento!$S$1,Resultado!$4:$4,0)+COLUMNS($T$1:V$1)-1),0))</f>
        <v/>
      </c>
      <c r="W7" s="171" t="str" cm="1">
        <f t="array" aca="1" ref="W7" ca="1">IF(OR(W$5="",$S7=""),"",IFERROR(INDEX(TotalApuestas!$A$1:$GL$50000,MATCH(Seguimiento!$S7,TotalApuestas!$B$1:$B$50000,0),MATCH("Equipos"&amp;Seguimiento!$S$1,Resultado!$4:$4,0)+COLUMNS($T$1:W$1)-1),0))</f>
        <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f ca="1">+IF(G8="","",IF(G8&gt;I8,1,IF(G8=I8,"X",2)))</f>
        <v>2</v>
      </c>
      <c r="I8" s="223">
        <f ca="1">VLOOKUP(G1,Aux!$F:$O,10,0)</f>
        <v>1</v>
      </c>
      <c r="J8" s="221">
        <f ca="1">VLOOKUP(J1,Aux!$F:$O,9,0)</f>
        <v>2</v>
      </c>
      <c r="K8" s="222" t="str">
        <f ca="1">+IF(J8="","",IF(J8&gt;L8,1,IF(J8=L8,"X",2)))</f>
        <v>X</v>
      </c>
      <c r="L8" s="223">
        <f ca="1">VLOOKUP(J1,Aux!$F:$O,10,0)</f>
        <v>2</v>
      </c>
      <c r="M8" s="221">
        <f ca="1">VLOOKUP(M1,Aux!$F:$O,9,0)</f>
        <v>1</v>
      </c>
      <c r="N8" s="222">
        <f ca="1">+IF(M8="","",IF(M8&gt;O8,1,IF(M8=O8,"X",2)))</f>
        <v>1</v>
      </c>
      <c r="O8" s="223">
        <f ca="1">VLOOKUP(M1,Aux!$F:$O,10,0)</f>
        <v>0</v>
      </c>
      <c r="P8" s="123"/>
      <c r="R8" s="214"/>
      <c r="S8" s="218" t="str">
        <f ca="1">IF(ClasificaciónPorra!D7=0,"",ClasificaciónPorra!D7)</f>
        <v>Carlos Hurtado</v>
      </c>
      <c r="T8" s="171" cm="1">
        <f t="array" aca="1" ref="T8" ca="1">IF(OR(T$5="",$S8=""),"",IFERROR(INDEX(TotalApuestas!$A$1:$GL$50000,MATCH(Seguimiento!$S8,TotalApuestas!$B$1:$B$50000,0),MATCH("Equipos"&amp;Seguimiento!$S$1,Resultado!$4:$4,0)+COLUMNS($T$1:T$1)-1),0))</f>
        <v>0</v>
      </c>
      <c r="U8" s="171" t="str" cm="1">
        <f t="array" aca="1" ref="U8" ca="1">IF(OR(U$5="",$S8=""),"",IFERROR(INDEX(TotalApuestas!$A$1:$GL$50000,MATCH(Seguimiento!$S8,TotalApuestas!$B$1:$B$50000,0),MATCH("Equipos"&amp;Seguimiento!$S$1,Resultado!$4:$4,0)+COLUMNS($T$1:U$1)-1),0))</f>
        <v/>
      </c>
      <c r="V8" s="171" t="str" cm="1">
        <f t="array" aca="1" ref="V8" ca="1">IF(OR(V$5="",$S8=""),"",IFERROR(INDEX(TotalApuestas!$A$1:$GL$50000,MATCH(Seguimiento!$S8,TotalApuestas!$B$1:$B$50000,0),MATCH("Equipos"&amp;Seguimiento!$S$1,Resultado!$4:$4,0)+COLUMNS($T$1:V$1)-1),0))</f>
        <v/>
      </c>
      <c r="W8" s="171" t="str" cm="1">
        <f t="array" aca="1" ref="W8" ca="1">IF(OR(W$5="",$S8=""),"",IFERROR(INDEX(TotalApuestas!$A$1:$GL$50000,MATCH(Seguimiento!$S8,TotalApuestas!$B$1:$B$50000,0),MATCH("Equipos"&amp;Seguimiento!$S$1,Resultado!$4:$4,0)+COLUMNS($T$1:W$1)-1),0))</f>
        <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Cazaputas69</v>
      </c>
      <c r="T9" s="171" cm="1">
        <f t="array" aca="1" ref="T9" ca="1">IF(OR(T$5="",$S9=""),"",IFERROR(INDEX(TotalApuestas!$A$1:$GL$50000,MATCH(Seguimiento!$S9,TotalApuestas!$B$1:$B$50000,0),MATCH("Equipos"&amp;Seguimiento!$S$1,Resultado!$4:$4,0)+COLUMNS($T$1:T$1)-1),0))</f>
        <v>0</v>
      </c>
      <c r="U9" s="171" t="str" cm="1">
        <f t="array" aca="1" ref="U9" ca="1">IF(OR(U$5="",$S9=""),"",IFERROR(INDEX(TotalApuestas!$A$1:$GL$50000,MATCH(Seguimiento!$S9,TotalApuestas!$B$1:$B$50000,0),MATCH("Equipos"&amp;Seguimiento!$S$1,Resultado!$4:$4,0)+COLUMNS($T$1:U$1)-1),0))</f>
        <v/>
      </c>
      <c r="V9" s="171" t="str" cm="1">
        <f t="array" aca="1" ref="V9" ca="1">IF(OR(V$5="",$S9=""),"",IFERROR(INDEX(TotalApuestas!$A$1:$GL$50000,MATCH(Seguimiento!$S9,TotalApuestas!$B$1:$B$50000,0),MATCH("Equipos"&amp;Seguimiento!$S$1,Resultado!$4:$4,0)+COLUMNS($T$1:V$1)-1),0))</f>
        <v/>
      </c>
      <c r="W9" s="171" t="str" cm="1">
        <f t="array" aca="1" ref="W9" ca="1">IF(OR(W$5="",$S9=""),"",IFERROR(INDEX(TotalApuestas!$A$1:$GL$50000,MATCH(Seguimiento!$S9,TotalApuestas!$B$1:$B$50000,0),MATCH("Equipos"&amp;Seguimiento!$S$1,Resultado!$4:$4,0)+COLUMNS($T$1:W$1)-1),0))</f>
        <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2</v>
      </c>
      <c r="H10" s="226">
        <f t="shared" ref="H10" ca="1" si="3">+IF(G10="","",IF(G10&gt;I10,1,IF(G10=I10,"X",2)))</f>
        <v>1</v>
      </c>
      <c r="I10" s="228" cm="1">
        <f t="array" aca="1" ref="I10" ca="1">IF($C10="","",INDEX(TotalApuestas!$A$1:$GL$50000,MATCH(Seguimiento!$C10,TotalApuestas!$B$1:$B$50000,0),MATCH(Seguimiento!G$1,Resultado!$2:$2,0)+1))</f>
        <v>1</v>
      </c>
      <c r="J10" s="225">
        <f ca="1">IF($C10="","",INDEX(TotalApuestas!$A$1:$GL$50000,MATCH(Seguimiento!$C10,TotalApuestas!$B$1:$B$50000,0),MATCH(Seguimiento!J$1,Resultado!$2:$2,0)))</f>
        <v>1</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3</v>
      </c>
      <c r="N10" s="226">
        <f t="shared" ref="N10" ca="1" si="5">+IF(M10="","",IF(M10&gt;O10,1,IF(M10=O10,"X",2)))</f>
        <v>1</v>
      </c>
      <c r="O10" s="228" cm="1">
        <f t="array" aca="1" ref="O10" ca="1">IF($C10="","",INDEX(TotalApuestas!$A$1:$GL$50000,MATCH(Seguimiento!$C10,TotalApuestas!$B$1:$B$50000,0),MATCH(Seguimiento!M$1,Resultado!$2:$2,0)+1))</f>
        <v>2</v>
      </c>
      <c r="P10" s="123"/>
      <c r="R10" s="214"/>
      <c r="S10" s="218" t="str">
        <f ca="1">IF(ClasificaciónPorra!D9=0,"",ClasificaciónPorra!D9)</f>
        <v>Moises</v>
      </c>
      <c r="T10" s="171" cm="1">
        <f t="array" aca="1" ref="T10" ca="1">IF(OR(T$5="",$S10=""),"",IFERROR(INDEX(TotalApuestas!$A$1:$GL$50000,MATCH(Seguimiento!$S10,TotalApuestas!$B$1:$B$50000,0),MATCH("Equipos"&amp;Seguimiento!$S$1,Resultado!$4:$4,0)+COLUMNS($T$1:T$1)-1),0))</f>
        <v>0</v>
      </c>
      <c r="U10" s="171" t="str" cm="1">
        <f t="array" aca="1" ref="U10" ca="1">IF(OR(U$5="",$S10=""),"",IFERROR(INDEX(TotalApuestas!$A$1:$GL$50000,MATCH(Seguimiento!$S10,TotalApuestas!$B$1:$B$50000,0),MATCH("Equipos"&amp;Seguimiento!$S$1,Resultado!$4:$4,0)+COLUMNS($T$1:U$1)-1),0))</f>
        <v/>
      </c>
      <c r="V10" s="171" t="str" cm="1">
        <f t="array" aca="1" ref="V10" ca="1">IF(OR(V$5="",$S10=""),"",IFERROR(INDEX(TotalApuestas!$A$1:$GL$50000,MATCH(Seguimiento!$S10,TotalApuestas!$B$1:$B$50000,0),MATCH("Equipos"&amp;Seguimiento!$S$1,Resultado!$4:$4,0)+COLUMNS($T$1:V$1)-1),0))</f>
        <v/>
      </c>
      <c r="W10" s="171" t="str" cm="1">
        <f t="array" aca="1" ref="W10" ca="1">IF(OR(W$5="",$S10=""),"",IFERROR(INDEX(TotalApuestas!$A$1:$GL$50000,MATCH(Seguimiento!$S10,TotalApuestas!$B$1:$B$50000,0),MATCH("Equipos"&amp;Seguimiento!$S$1,Resultado!$4:$4,0)+COLUMNS($T$1:W$1)-1),0))</f>
        <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 xml:space="preserve">  German Rodriguez</v>
      </c>
      <c r="D11" s="230">
        <f ca="1">IF($C11="","",INDEX(TotalApuestas!$A$1:$GL$50000,MATCH(Seguimiento!$C11,TotalApuestas!$B$1:$B$50000,0),MATCH(Seguimiento!D$1,Resultado!$2:$2,0)))</f>
        <v>1</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2</v>
      </c>
      <c r="H11" s="231">
        <f t="shared" ref="H11:H29" ca="1" si="7">+IF(G11="","",IF(G11&gt;I11,1,IF(G11=I11,"X",2)))</f>
        <v>2</v>
      </c>
      <c r="I11" s="233" cm="1">
        <f t="array" aca="1" ref="I11" ca="1">IF($C11="","",INDEX(TotalApuestas!$A$1:$GL$50000,MATCH(Seguimiento!$C11,TotalApuestas!$B$1:$B$50000,0),MATCH(Seguimiento!G$1,Resultado!$2:$2,0)+1))</f>
        <v>3</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3</v>
      </c>
      <c r="M11" s="232">
        <f ca="1">IF($C11="","",INDEX(TotalApuestas!$A$1:$GL$50000,MATCH(Seguimiento!$C11,TotalApuestas!$B$1:$B$50000,0),MATCH(Seguimiento!M$1,Resultado!$2:$2,0)))</f>
        <v>0</v>
      </c>
      <c r="N11" s="231">
        <f t="shared" ref="N11:N29" ca="1" si="9">+IF(M11="","",IF(M11&gt;O11,1,IF(M11=O11,"X",2)))</f>
        <v>2</v>
      </c>
      <c r="O11" s="233" cm="1">
        <f t="array" aca="1" ref="O11" ca="1">IF($C11="","",INDEX(TotalApuestas!$A$1:$GL$50000,MATCH(Seguimiento!$C11,TotalApuestas!$B$1:$B$50000,0),MATCH(Seguimiento!M$1,Resultado!$2:$2,0)+1))</f>
        <v>1</v>
      </c>
      <c r="P11" s="123"/>
      <c r="R11" s="214"/>
      <c r="S11" s="218" t="str">
        <f ca="1">IF(ClasificaciónPorra!D10=0,"",ClasificaciónPorra!D10)</f>
        <v>ISAAC BERMUDEZ</v>
      </c>
      <c r="T11" s="171" cm="1">
        <f t="array" aca="1" ref="T11" ca="1">IF(OR(T$5="",$S11=""),"",IFERROR(INDEX(TotalApuestas!$A$1:$GL$50000,MATCH(Seguimiento!$S11,TotalApuestas!$B$1:$B$50000,0),MATCH("Equipos"&amp;Seguimiento!$S$1,Resultado!$4:$4,0)+COLUMNS($T$1:T$1)-1),0))</f>
        <v>0</v>
      </c>
      <c r="U11" s="171" t="str" cm="1">
        <f t="array" aca="1" ref="U11" ca="1">IF(OR(U$5="",$S11=""),"",IFERROR(INDEX(TotalApuestas!$A$1:$GL$50000,MATCH(Seguimiento!$S11,TotalApuestas!$B$1:$B$50000,0),MATCH("Equipos"&amp;Seguimiento!$S$1,Resultado!$4:$4,0)+COLUMNS($T$1:U$1)-1),0))</f>
        <v/>
      </c>
      <c r="V11" s="171" t="str" cm="1">
        <f t="array" aca="1" ref="V11" ca="1">IF(OR(V$5="",$S11=""),"",IFERROR(INDEX(TotalApuestas!$A$1:$GL$50000,MATCH(Seguimiento!$S11,TotalApuestas!$B$1:$B$50000,0),MATCH("Equipos"&amp;Seguimiento!$S$1,Resultado!$4:$4,0)+COLUMNS($T$1:V$1)-1),0))</f>
        <v/>
      </c>
      <c r="W11" s="171" t="str" cm="1">
        <f t="array" aca="1" ref="W11" ca="1">IF(OR(W$5="",$S11=""),"",IFERROR(INDEX(TotalApuestas!$A$1:$GL$50000,MATCH(Seguimiento!$S11,TotalApuestas!$B$1:$B$50000,0),MATCH("Equipos"&amp;Seguimiento!$S$1,Resultado!$4:$4,0)+COLUMNS($T$1:W$1)-1),0))</f>
        <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Carlos Hurtado</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2</v>
      </c>
      <c r="H12" s="231">
        <f t="shared" ca="1" si="7"/>
        <v>1</v>
      </c>
      <c r="I12" s="233" cm="1">
        <f t="array" aca="1" ref="I12" ca="1">IF($C12="","",INDEX(TotalApuestas!$A$1:$GL$50000,MATCH(Seguimiento!$C12,TotalApuestas!$B$1:$B$50000,0),MATCH(Seguimiento!G$1,Resultado!$2:$2,0)+1))</f>
        <v>1</v>
      </c>
      <c r="J12" s="230">
        <f ca="1">IF($C12="","",INDEX(TotalApuestas!$A$1:$GL$50000,MATCH(Seguimiento!$C12,TotalApuestas!$B$1:$B$50000,0),MATCH(Seguimiento!J$1,Resultado!$2:$2,0)))</f>
        <v>1</v>
      </c>
      <c r="K12" s="231">
        <f t="shared" ca="1" si="8"/>
        <v>2</v>
      </c>
      <c r="L12" s="230" cm="1">
        <f t="array" aca="1" ref="L12" ca="1">IF($C12="","",INDEX(TotalApuestas!$A$1:$GL$50000,MATCH(Seguimiento!$C12,TotalApuestas!$B$1:$B$50000,0),MATCH(Seguimiento!J$1,Resultado!$2:$2,0)+1))</f>
        <v>3</v>
      </c>
      <c r="M12" s="232">
        <f ca="1">IF($C12="","",INDEX(TotalApuestas!$A$1:$GL$50000,MATCH(Seguimiento!$C12,TotalApuestas!$B$1:$B$50000,0),MATCH(Seguimiento!M$1,Resultado!$2:$2,0)))</f>
        <v>1</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Juan Diego De Abreu</v>
      </c>
      <c r="T12" s="171" cm="1">
        <f t="array" aca="1" ref="T12" ca="1">IF(OR(T$5="",$S12=""),"",IFERROR(INDEX(TotalApuestas!$A$1:$GL$50000,MATCH(Seguimiento!$S12,TotalApuestas!$B$1:$B$50000,0),MATCH("Equipos"&amp;Seguimiento!$S$1,Resultado!$4:$4,0)+COLUMNS($T$1:T$1)-1),0))</f>
        <v>0</v>
      </c>
      <c r="U12" s="171" t="str" cm="1">
        <f t="array" aca="1" ref="U12" ca="1">IF(OR(U$5="",$S12=""),"",IFERROR(INDEX(TotalApuestas!$A$1:$GL$50000,MATCH(Seguimiento!$S12,TotalApuestas!$B$1:$B$50000,0),MATCH("Equipos"&amp;Seguimiento!$S$1,Resultado!$4:$4,0)+COLUMNS($T$1:U$1)-1),0))</f>
        <v/>
      </c>
      <c r="V12" s="171" t="str" cm="1">
        <f t="array" aca="1" ref="V12" ca="1">IF(OR(V$5="",$S12=""),"",IFERROR(INDEX(TotalApuestas!$A$1:$GL$50000,MATCH(Seguimiento!$S12,TotalApuestas!$B$1:$B$50000,0),MATCH("Equipos"&amp;Seguimiento!$S$1,Resultado!$4:$4,0)+COLUMNS($T$1:V$1)-1),0))</f>
        <v/>
      </c>
      <c r="W12" s="171" t="str" cm="1">
        <f t="array" aca="1" ref="W12" ca="1">IF(OR(W$5="",$S12=""),"",IFERROR(INDEX(TotalApuestas!$A$1:$GL$50000,MATCH(Seguimiento!$S12,TotalApuestas!$B$1:$B$50000,0),MATCH("Equipos"&amp;Seguimiento!$S$1,Resultado!$4:$4,0)+COLUMNS($T$1:W$1)-1),0))</f>
        <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Cazaputas69</v>
      </c>
      <c r="D13" s="230">
        <f ca="1">IF($C13="","",INDEX(TotalApuestas!$A$1:$GL$50000,MATCH(Seguimiento!$C13,TotalApuestas!$B$1:$B$50000,0),MATCH(Seguimiento!D$1,Resultado!$2:$2,0)))</f>
        <v>2</v>
      </c>
      <c r="E13" s="231">
        <f t="shared" ca="1" si="6"/>
        <v>1</v>
      </c>
      <c r="F13" s="230" cm="1">
        <f t="array" aca="1" ref="F13" ca="1">IF($C13="","",INDEX(TotalApuestas!$A$1:$GL$50000,MATCH(Seguimiento!$C13,TotalApuestas!$B$1:$B$50000,0),MATCH(Seguimiento!D$1,Resultado!$2:$2,0)+1))</f>
        <v>1</v>
      </c>
      <c r="G13" s="232">
        <f ca="1">IF($C13="","",INDEX(TotalApuestas!$A$1:$GL$50000,MATCH(Seguimiento!$C13,TotalApuestas!$B$1:$B$50000,0),MATCH(Seguimiento!G$1,Resultado!$2:$2,0)))</f>
        <v>2</v>
      </c>
      <c r="H13" s="231" t="str">
        <f t="shared" ca="1" si="7"/>
        <v>X</v>
      </c>
      <c r="I13" s="233" cm="1">
        <f t="array" aca="1" ref="I13" ca="1">IF($C13="","",INDEX(TotalApuestas!$A$1:$GL$50000,MATCH(Seguimiento!$C13,TotalApuestas!$B$1:$B$50000,0),MATCH(Seguimiento!G$1,Resultado!$2:$2,0)+1))</f>
        <v>2</v>
      </c>
      <c r="J13" s="230">
        <f ca="1">IF($C13="","",INDEX(TotalApuestas!$A$1:$GL$50000,MATCH(Seguimiento!$C13,TotalApuestas!$B$1:$B$50000,0),MATCH(Seguimiento!J$1,Resultado!$2:$2,0)))</f>
        <v>0</v>
      </c>
      <c r="K13" s="231">
        <f t="shared" ca="1" si="8"/>
        <v>2</v>
      </c>
      <c r="L13" s="230" cm="1">
        <f t="array" aca="1" ref="L13" ca="1">IF($C13="","",INDEX(TotalApuestas!$A$1:$GL$50000,MATCH(Seguimiento!$C13,TotalApuestas!$B$1:$B$50000,0),MATCH(Seguimiento!J$1,Resultado!$2:$2,0)+1))</f>
        <v>2</v>
      </c>
      <c r="M13" s="232">
        <f ca="1">IF($C13="","",INDEX(TotalApuestas!$A$1:$GL$50000,MATCH(Seguimiento!$C13,TotalApuestas!$B$1:$B$50000,0),MATCH(Seguimiento!M$1,Resultado!$2:$2,0)))</f>
        <v>2</v>
      </c>
      <c r="N13" s="231">
        <f t="shared" ca="1" si="9"/>
        <v>1</v>
      </c>
      <c r="O13" s="233" cm="1">
        <f t="array" aca="1" ref="O13" ca="1">IF($C13="","",INDEX(TotalApuestas!$A$1:$GL$50000,MATCH(Seguimiento!$C13,TotalApuestas!$B$1:$B$50000,0),MATCH(Seguimiento!M$1,Resultado!$2:$2,0)+1))</f>
        <v>1</v>
      </c>
      <c r="P13" s="123"/>
      <c r="R13" s="214"/>
      <c r="S13" s="218" t="str">
        <f ca="1">IF(ClasificaciónPorra!D12=0,"",ClasificaciónPorra!D12)</f>
        <v>YUTA</v>
      </c>
      <c r="T13" s="171" cm="1">
        <f t="array" aca="1" ref="T13" ca="1">IF(OR(T$5="",$S13=""),"",IFERROR(INDEX(TotalApuestas!$A$1:$GL$50000,MATCH(Seguimiento!$S13,TotalApuestas!$B$1:$B$50000,0),MATCH("Equipos"&amp;Seguimiento!$S$1,Resultado!$4:$4,0)+COLUMNS($T$1:T$1)-1),0))</f>
        <v>0</v>
      </c>
      <c r="U13" s="171" t="str" cm="1">
        <f t="array" aca="1" ref="U13" ca="1">IF(OR(U$5="",$S13=""),"",IFERROR(INDEX(TotalApuestas!$A$1:$GL$50000,MATCH(Seguimiento!$S13,TotalApuestas!$B$1:$B$50000,0),MATCH("Equipos"&amp;Seguimiento!$S$1,Resultado!$4:$4,0)+COLUMNS($T$1:U$1)-1),0))</f>
        <v/>
      </c>
      <c r="V13" s="171" t="str" cm="1">
        <f t="array" aca="1" ref="V13" ca="1">IF(OR(V$5="",$S13=""),"",IFERROR(INDEX(TotalApuestas!$A$1:$GL$50000,MATCH(Seguimiento!$S13,TotalApuestas!$B$1:$B$50000,0),MATCH("Equipos"&amp;Seguimiento!$S$1,Resultado!$4:$4,0)+COLUMNS($T$1:V$1)-1),0))</f>
        <v/>
      </c>
      <c r="W13" s="171" t="str" cm="1">
        <f t="array" aca="1" ref="W13" ca="1">IF(OR(W$5="",$S13=""),"",IFERROR(INDEX(TotalApuestas!$A$1:$GL$50000,MATCH(Seguimiento!$S13,TotalApuestas!$B$1:$B$50000,0),MATCH("Equipos"&amp;Seguimiento!$S$1,Resultado!$4:$4,0)+COLUMNS($T$1:W$1)-1),0))</f>
        <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Moises</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0</v>
      </c>
      <c r="G14" s="232">
        <f ca="1">IF($C14="","",INDEX(TotalApuestas!$A$1:$GL$50000,MATCH(Seguimiento!$C14,TotalApuestas!$B$1:$B$50000,0),MATCH(Seguimiento!G$1,Resultado!$2:$2,0)))</f>
        <v>1</v>
      </c>
      <c r="H14" s="231">
        <f t="shared" ca="1" si="7"/>
        <v>1</v>
      </c>
      <c r="I14" s="233" cm="1">
        <f t="array" aca="1" ref="I14" ca="1">IF($C14="","",INDEX(TotalApuestas!$A$1:$GL$50000,MATCH(Seguimiento!$C14,TotalApuestas!$B$1:$B$50000,0),MATCH(Seguimiento!G$1,Resultado!$2:$2,0)+1))</f>
        <v>0</v>
      </c>
      <c r="J14" s="230">
        <f ca="1">IF($C14="","",INDEX(TotalApuestas!$A$1:$GL$50000,MATCH(Seguimiento!$C14,TotalApuestas!$B$1:$B$50000,0),MATCH(Seguimiento!J$1,Resultado!$2:$2,0)))</f>
        <v>0</v>
      </c>
      <c r="K14" s="231">
        <f t="shared" ca="1" si="8"/>
        <v>2</v>
      </c>
      <c r="L14" s="230" cm="1">
        <f t="array" aca="1" ref="L14" ca="1">IF($C14="","",INDEX(TotalApuestas!$A$1:$GL$50000,MATCH(Seguimiento!$C14,TotalApuestas!$B$1:$B$50000,0),MATCH(Seguimiento!J$1,Resultado!$2:$2,0)+1))</f>
        <v>2</v>
      </c>
      <c r="M14" s="232">
        <f ca="1">IF($C14="","",INDEX(TotalApuestas!$A$1:$GL$50000,MATCH(Seguimiento!$C14,TotalApuestas!$B$1:$B$50000,0),MATCH(Seguimiento!M$1,Resultado!$2:$2,0)))</f>
        <v>1</v>
      </c>
      <c r="N14" s="231">
        <f t="shared" ca="1" si="9"/>
        <v>2</v>
      </c>
      <c r="O14" s="233" cm="1">
        <f t="array" aca="1" ref="O14" ca="1">IF($C14="","",INDEX(TotalApuestas!$A$1:$GL$50000,MATCH(Seguimiento!$C14,TotalApuestas!$B$1:$B$50000,0),MATCH(Seguimiento!M$1,Resultado!$2:$2,0)+1))</f>
        <v>2</v>
      </c>
      <c r="P14" s="123"/>
      <c r="R14" s="214"/>
      <c r="S14" s="218" t="str">
        <f ca="1">IF(ClasificaciónPorra!D13=0,"",ClasificaciónPorra!D13)</f>
        <v xml:space="preserve">Luis Rondón </v>
      </c>
      <c r="T14" s="171" cm="1">
        <f t="array" aca="1" ref="T14" ca="1">IF(OR(T$5="",$S14=""),"",IFERROR(INDEX(TotalApuestas!$A$1:$GL$50000,MATCH(Seguimiento!$S14,TotalApuestas!$B$1:$B$50000,0),MATCH("Equipos"&amp;Seguimiento!$S$1,Resultado!$4:$4,0)+COLUMNS($T$1:T$1)-1),0))</f>
        <v>0</v>
      </c>
      <c r="U14" s="171" t="str" cm="1">
        <f t="array" aca="1" ref="U14" ca="1">IF(OR(U$5="",$S14=""),"",IFERROR(INDEX(TotalApuestas!$A$1:$GL$50000,MATCH(Seguimiento!$S14,TotalApuestas!$B$1:$B$50000,0),MATCH("Equipos"&amp;Seguimiento!$S$1,Resultado!$4:$4,0)+COLUMNS($T$1:U$1)-1),0))</f>
        <v/>
      </c>
      <c r="V14" s="171" t="str" cm="1">
        <f t="array" aca="1" ref="V14" ca="1">IF(OR(V$5="",$S14=""),"",IFERROR(INDEX(TotalApuestas!$A$1:$GL$50000,MATCH(Seguimiento!$S14,TotalApuestas!$B$1:$B$50000,0),MATCH("Equipos"&amp;Seguimiento!$S$1,Resultado!$4:$4,0)+COLUMNS($T$1:V$1)-1),0))</f>
        <v/>
      </c>
      <c r="W14" s="171" t="str" cm="1">
        <f t="array" aca="1" ref="W14" ca="1">IF(OR(W$5="",$S14=""),"",IFERROR(INDEX(TotalApuestas!$A$1:$GL$50000,MATCH(Seguimiento!$S14,TotalApuestas!$B$1:$B$50000,0),MATCH("Equipos"&amp;Seguimiento!$S$1,Resultado!$4:$4,0)+COLUMNS($T$1:W$1)-1),0))</f>
        <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ISAAC BERMUDEZ</v>
      </c>
      <c r="D15" s="230">
        <f ca="1">IF($C15="","",INDEX(TotalApuestas!$A$1:$GL$50000,MATCH(Seguimiento!$C15,TotalApuestas!$B$1:$B$50000,0),MATCH(Seguimiento!D$1,Resultado!$2:$2,0)))</f>
        <v>3</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2</v>
      </c>
      <c r="H15" s="231" t="str">
        <f t="shared" ca="1" si="7"/>
        <v>X</v>
      </c>
      <c r="I15" s="233" cm="1">
        <f t="array" aca="1" ref="I15" ca="1">IF($C15="","",INDEX(TotalApuestas!$A$1:$GL$50000,MATCH(Seguimiento!$C15,TotalApuestas!$B$1:$B$50000,0),MATCH(Seguimiento!G$1,Resultado!$2:$2,0)+1))</f>
        <v>2</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1</v>
      </c>
      <c r="M15" s="232">
        <f ca="1">IF($C15="","",INDEX(TotalApuestas!$A$1:$GL$50000,MATCH(Seguimiento!$C15,TotalApuestas!$B$1:$B$50000,0),MATCH(Seguimiento!M$1,Resultado!$2:$2,0)))</f>
        <v>0</v>
      </c>
      <c r="N15" s="231">
        <f t="shared" ca="1" si="9"/>
        <v>2</v>
      </c>
      <c r="O15" s="233" cm="1">
        <f t="array" aca="1" ref="O15" ca="1">IF($C15="","",INDEX(TotalApuestas!$A$1:$GL$50000,MATCH(Seguimiento!$C15,TotalApuestas!$B$1:$B$50000,0),MATCH(Seguimiento!M$1,Resultado!$2:$2,0)+1))</f>
        <v>2</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Juan Diego De Abreu</v>
      </c>
      <c r="D16" s="230">
        <f ca="1">IF($C16="","",INDEX(TotalApuestas!$A$1:$GL$50000,MATCH(Seguimiento!$C16,TotalApuestas!$B$1:$B$50000,0),MATCH(Seguimiento!D$1,Resultado!$2:$2,0)))</f>
        <v>2</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1</v>
      </c>
      <c r="H16" s="231" t="str">
        <f t="shared" ca="1" si="7"/>
        <v>X</v>
      </c>
      <c r="I16" s="233" cm="1">
        <f t="array" aca="1" ref="I16" ca="1">IF($C16="","",INDEX(TotalApuestas!$A$1:$GL$50000,MATCH(Seguimiento!$C16,TotalApuestas!$B$1:$B$50000,0),MATCH(Seguimiento!G$1,Resultado!$2:$2,0)+1))</f>
        <v>1</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1</v>
      </c>
      <c r="N16" s="231">
        <f t="shared" ca="1" si="9"/>
        <v>2</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YUTA</v>
      </c>
      <c r="D17" s="230">
        <f ca="1">IF($C17="","",INDEX(TotalApuestas!$A$1:$GL$50000,MATCH(Seguimiento!$C17,TotalApuestas!$B$1:$B$50000,0),MATCH(Seguimiento!D$1,Resultado!$2:$2,0)))</f>
        <v>1</v>
      </c>
      <c r="E17" s="231">
        <f t="shared" ca="1" si="6"/>
        <v>1</v>
      </c>
      <c r="F17" s="230" cm="1">
        <f t="array" aca="1" ref="F17" ca="1">IF($C17="","",INDEX(TotalApuestas!$A$1:$GL$50000,MATCH(Seguimiento!$C17,TotalApuestas!$B$1:$B$50000,0),MATCH(Seguimiento!D$1,Resultado!$2:$2,0)+1))</f>
        <v>0</v>
      </c>
      <c r="G17" s="232">
        <f ca="1">IF($C17="","",INDEX(TotalApuestas!$A$1:$GL$50000,MATCH(Seguimiento!$C17,TotalApuestas!$B$1:$B$50000,0),MATCH(Seguimiento!G$1,Resultado!$2:$2,0)))</f>
        <v>3</v>
      </c>
      <c r="H17" s="231">
        <f t="shared" ca="1" si="7"/>
        <v>1</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f t="shared" ca="1" si="8"/>
        <v>2</v>
      </c>
      <c r="L17" s="230" cm="1">
        <f t="array" aca="1" ref="L17" ca="1">IF($C17="","",INDEX(TotalApuestas!$A$1:$GL$50000,MATCH(Seguimiento!$C17,TotalApuestas!$B$1:$B$50000,0),MATCH(Seguimiento!J$1,Resultado!$2:$2,0)+1))</f>
        <v>2</v>
      </c>
      <c r="M17" s="232">
        <f ca="1">IF($C17="","",INDEX(TotalApuestas!$A$1:$GL$50000,MATCH(Seguimiento!$C17,TotalApuestas!$B$1:$B$50000,0),MATCH(Seguimiento!M$1,Resultado!$2:$2,0)))</f>
        <v>1</v>
      </c>
      <c r="N17" s="231">
        <f t="shared" ca="1" si="9"/>
        <v>2</v>
      </c>
      <c r="O17" s="233" cm="1">
        <f t="array" aca="1" ref="O17" ca="1">IF($C17="","",INDEX(TotalApuestas!$A$1:$GL$50000,MATCH(Seguimiento!$C17,TotalApuestas!$B$1:$B$50000,0),MATCH(Seguimiento!M$1,Resultado!$2:$2,0)+1))</f>
        <v>2</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 xml:space="preserve">Luis Rondón </v>
      </c>
      <c r="D18" s="230">
        <f ca="1">IF($C18="","",INDEX(TotalApuestas!$A$1:$GL$50000,MATCH(Seguimiento!$C18,TotalApuestas!$B$1:$B$50000,0),MATCH(Seguimiento!D$1,Resultado!$2:$2,0)))</f>
        <v>0</v>
      </c>
      <c r="E18" s="231">
        <f t="shared" ca="1" si="6"/>
        <v>2</v>
      </c>
      <c r="F18" s="230" cm="1">
        <f t="array" aca="1" ref="F18" ca="1">IF($C18="","",INDEX(TotalApuestas!$A$1:$GL$50000,MATCH(Seguimiento!$C18,TotalApuestas!$B$1:$B$50000,0),MATCH(Seguimiento!D$1,Resultado!$2:$2,0)+1))</f>
        <v>1</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1</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1</v>
      </c>
      <c r="N18" s="231">
        <f t="shared" ca="1" si="9"/>
        <v>2</v>
      </c>
      <c r="O18" s="233" cm="1">
        <f t="array" aca="1" ref="O18" ca="1">IF($C18="","",INDEX(TotalApuestas!$A$1:$GL$50000,MATCH(Seguimiento!$C18,TotalApuestas!$B$1:$B$50000,0),MATCH(Seguimiento!M$1,Resultado!$2:$2,0)+1))</f>
        <v>2</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C17" sqref="C17"/>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f ca="1">VLOOKUP(BM2,Aux!$F:$O,9,0)</f>
        <v>0</v>
      </c>
      <c r="BN3" s="191">
        <f ca="1">VLOOKUP(BM2,Aux!$F:$O,10,0)</f>
        <v>1</v>
      </c>
      <c r="BO3" s="191">
        <f t="shared" ref="BO3" ca="1" si="19">IF(OR(BM3="",BN3=""),"",IF(BM3&gt;BN3,1,IF(BM3=BN3,"x",2)))</f>
        <v>2</v>
      </c>
      <c r="BP3" s="191">
        <f ca="1">VLOOKUP(BP2,Aux!$F:$O,9,0)</f>
        <v>1</v>
      </c>
      <c r="BQ3" s="191">
        <f ca="1">VLOOKUP(BP2,Aux!$F:$O,10,0)</f>
        <v>3</v>
      </c>
      <c r="BR3" s="191">
        <f t="shared" ref="BR3" ca="1" si="20">IF(OR(BP3="",BQ3=""),"",IF(BP3&gt;BQ3,1,IF(BP3=BQ3,"x",2)))</f>
        <v>2</v>
      </c>
      <c r="BS3" s="191">
        <f ca="1">VLOOKUP(BS2,Aux!$F:$O,9,0)</f>
        <v>1</v>
      </c>
      <c r="BT3" s="191">
        <f ca="1">VLOOKUP(BS2,Aux!$F:$O,10,0)</f>
        <v>1</v>
      </c>
      <c r="BU3" s="191" t="str">
        <f t="shared" ref="BU3" ca="1" si="21">IF(OR(BS3="",BT3=""),"",IF(BS3&gt;BT3,1,IF(BS3=BT3,"x",2)))</f>
        <v>x</v>
      </c>
      <c r="BV3" s="191">
        <f ca="1">VLOOKUP(BV2,Aux!$F:$O,9,0)</f>
        <v>2</v>
      </c>
      <c r="BW3" s="191">
        <f ca="1">VLOOKUP(BV2,Aux!$F:$O,10,0)</f>
        <v>1</v>
      </c>
      <c r="BX3" s="191">
        <f t="shared" ref="BX3" ca="1" si="22">IF(OR(BV3="",BW3=""),"",IF(BV3&gt;BW3,1,IF(BV3=BW3,"x",2)))</f>
        <v>1</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Canadá</v>
      </c>
      <c r="CG3" s="191" t="str">
        <f ca="1">IF(CB3="","",Cuartos!H15)</f>
        <v>Colombia</v>
      </c>
      <c r="CH3" s="191" t="str">
        <f ca="1">IF(CB3="","",Cuartos!N15)</f>
        <v>Panamá</v>
      </c>
      <c r="CI3" s="191" t="str">
        <f ca="1">IF(CB3="","",Cuartos!H18)</f>
        <v>Uruguay</v>
      </c>
      <c r="CJ3" s="191" t="str">
        <f ca="1">IF(CB3="","",Cuartos!N18)</f>
        <v>Brasil</v>
      </c>
      <c r="CK3" s="191" t="str">
        <f ca="1">Semis!H9</f>
        <v>Argentina</v>
      </c>
      <c r="CL3" s="191" t="str">
        <f ca="1">Semis!N9</f>
        <v>Canadá</v>
      </c>
      <c r="CM3" s="191" t="str">
        <f ca="1">Semis!H12</f>
        <v>Uruguay</v>
      </c>
      <c r="CN3" s="191" t="str">
        <f ca="1">Semis!N12</f>
        <v>Colombia</v>
      </c>
      <c r="CO3" s="191" t="str">
        <f ca="1">Final!H15</f>
        <v>Argentina</v>
      </c>
      <c r="CP3" s="191" t="str">
        <f ca="1">Final!N15</f>
        <v>Colombia</v>
      </c>
      <c r="CQ3" s="191" t="str">
        <f ca="1">Final!H22</f>
        <v>Argentina</v>
      </c>
      <c r="CR3" s="191">
        <f ca="1">VLOOKUP(CR2,Aux!$F:$O,9,0)</f>
        <v>1</v>
      </c>
      <c r="CS3" s="191">
        <f ca="1">VLOOKUP(CR2,Aux!$F:$O,10,0)</f>
        <v>1</v>
      </c>
      <c r="CT3" s="191" t="str">
        <f t="shared" ref="CT3" ca="1" si="23">IF(OR(CR3="",CS3=""),"",IF(CR3&gt;CS3,1,IF(CR3=CS3,"x",2)))</f>
        <v>x</v>
      </c>
      <c r="CU3" s="191">
        <f ca="1">VLOOKUP(CU2,Aux!$F:$O,9,0)</f>
        <v>1</v>
      </c>
      <c r="CV3" s="191">
        <f ca="1">VLOOKUP(CU2,Aux!$F:$O,10,0)</f>
        <v>1</v>
      </c>
      <c r="CW3" s="191" t="str">
        <f t="shared" ref="CW3" ca="1" si="24">IF(OR(CU3="",CV3=""),"",IF(CU3&gt;CV3,1,IF(CU3=CV3,"x",2)))</f>
        <v>x</v>
      </c>
      <c r="CX3" s="191">
        <f ca="1">VLOOKUP(CX2,Aux!$F:$O,9,0)</f>
        <v>5</v>
      </c>
      <c r="CY3" s="191">
        <f ca="1">VLOOKUP(CX2,Aux!$F:$O,10,0)</f>
        <v>0</v>
      </c>
      <c r="CZ3" s="191">
        <f t="shared" ref="CZ3" ca="1" si="25">IF(OR(CX3="",CY3=""),"",IF(CX3&gt;CY3,1,IF(CX3=CY3,"x",2)))</f>
        <v>1</v>
      </c>
      <c r="DA3" s="191">
        <f ca="1">VLOOKUP(DA2,Aux!$F:$O,9,0)</f>
        <v>0</v>
      </c>
      <c r="DB3" s="191">
        <f ca="1">VLOOKUP(DA2,Aux!$F:$O,10,0)</f>
        <v>0</v>
      </c>
      <c r="DC3" s="191" t="str">
        <f t="shared" ref="DC3" ca="1" si="26">IF(OR(DA3="",DB3=""),"",IF(DA3&gt;DB3,1,IF(DA3=DB3,"x",2)))</f>
        <v>x</v>
      </c>
      <c r="DD3" s="191">
        <f ca="1">VLOOKUP(DD2,Aux!$F:$O,9,0)</f>
        <v>2</v>
      </c>
      <c r="DE3" s="191">
        <f ca="1">VLOOKUP(DD2,Aux!$F:$O,10,0)</f>
        <v>0</v>
      </c>
      <c r="DF3" s="191">
        <f t="shared" ref="DF3" ca="1" si="27">IF(OR(DD3="",DE3=""),"",IF(DD3&gt;DE3,1,IF(DD3=DE3,"x",2)))</f>
        <v>1</v>
      </c>
      <c r="DG3" s="191">
        <f ca="1">VLOOKUP(DG2,Aux!$F:$O,9,0)</f>
        <v>0</v>
      </c>
      <c r="DH3" s="191">
        <f ca="1">VLOOKUP(DG2,Aux!$F:$O,10,0)</f>
        <v>1</v>
      </c>
      <c r="DI3" s="191">
        <f t="shared" ref="DI3" ca="1" si="28">IF(OR(DG3="",DH3=""),"",IF(DG3&gt;DH3,1,IF(DG3=DH3,"x",2)))</f>
        <v>2</v>
      </c>
      <c r="DJ3" s="191">
        <f ca="1">VLOOKUP(DJ2,Aux!$F:$O,9,0)</f>
        <v>2</v>
      </c>
      <c r="DK3" s="191">
        <f ca="1">VLOOKUP(DJ2,Aux!$F:$O,10,0)</f>
        <v>2</v>
      </c>
      <c r="DL3" s="191" t="str">
        <f t="shared" ref="DL3" ca="1" si="29">IF(OR(DJ3="",DK3=""),"",IF(DJ3&gt;DK3,1,IF(DJ3=DK3,"x",2)))</f>
        <v>x</v>
      </c>
      <c r="DM3" s="191">
        <f ca="1">VLOOKUP(DM2,Aux!$F:$O,9,0)</f>
        <v>1</v>
      </c>
      <c r="DN3" s="191">
        <f ca="1">VLOOKUP(DM2,Aux!$F:$O,10,0)</f>
        <v>0</v>
      </c>
      <c r="DO3" s="191">
        <f t="shared" ref="DO3" ca="1" si="30">IF(OR(DM3="",DN3=""),"",IF(DM3&gt;DN3,1,IF(DM3=DN3,"x",2)))</f>
        <v>1</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10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15</v>
      </c>
      <c r="CB7">
        <f ca="1">IF($B7=0,0,IF(CB$3=TotalApuestas!CB2,CB$5,0))</f>
        <v>0</v>
      </c>
      <c r="CC7">
        <f ca="1">IF($B7=0,0,IF(COUNTIF($CC$3:$CJ$3,TotalApuestas!CC2)=1,CC$5,0))</f>
        <v>20</v>
      </c>
      <c r="CD7">
        <f ca="1">IF($B7=0,0,IF(COUNTIF($CC$3:$CJ$3,TotalApuestas!CD2)=1,CD$5,0))</f>
        <v>20</v>
      </c>
      <c r="CE7">
        <f ca="1">IF($B7=0,0,IF(COUNTIF($CC$3:$CJ$3,TotalApuestas!CE2)=1,CE$5,0))</f>
        <v>20</v>
      </c>
      <c r="CF7">
        <f ca="1">IF($B7=0,0,IF(COUNTIF($CC$3:$CJ$3,TotalApuestas!CF2)=1,CF$5,0))</f>
        <v>0</v>
      </c>
      <c r="CG7">
        <f ca="1">IF($B7=0,0,IF(COUNTIF($CC$3:$CJ$3,TotalApuestas!CG2)=1,CG$5,0))</f>
        <v>20</v>
      </c>
      <c r="CH7">
        <f ca="1">IF($B7=0,0,IF(COUNTIF($CC$3:$CJ$3,TotalApuestas!CH2)=1,CH$5,0))</f>
        <v>0</v>
      </c>
      <c r="CI7">
        <f ca="1">IF($B7=0,0,IF(COUNTIF($CC$3:$CJ$3,TotalApuestas!CI2)=1,CI$5,0))</f>
        <v>20</v>
      </c>
      <c r="CJ7">
        <f ca="1">IF($B7=0,0,IF(COUNTIF($CC$3:$CJ$3,TotalApuestas!CJ2)=1,CJ$5,0))</f>
        <v>20</v>
      </c>
      <c r="CK7">
        <f ca="1">IF($B7=0,0,IF(COUNTIF($CK$3:$CN$3,TotalApuestas!CK2)=1,CK$5,0))</f>
        <v>25</v>
      </c>
      <c r="CL7">
        <f ca="1">IF($B7=0,0,IF(COUNTIF($CK$3:$CN$3,TotalApuestas!CL2)=1,CL$5,0))</f>
        <v>0</v>
      </c>
      <c r="CM7">
        <f ca="1">IF($B7=0,0,IF(COUNTIF($CK$3:$CN$3,TotalApuestas!CM2)=1,CM$5,0))</f>
        <v>25</v>
      </c>
      <c r="CN7">
        <f ca="1">IF($B7=0,0,IF(COUNTIF($CK$3:$CN$3,TotalApuestas!CN2)=1,CN$5,0))</f>
        <v>0</v>
      </c>
      <c r="CO7">
        <f ca="1">IF($B7=0,0,IF(COUNTIF($CO$3:$CP$3,TotalApuestas!CO2)=1,CO$5,0))</f>
        <v>30</v>
      </c>
      <c r="CP7">
        <f ca="1">IF($B7=0,0,IF(COUNTIF($CO$3:$CP$3,TotalApuestas!CP2)=1,CP$5,0))</f>
        <v>0</v>
      </c>
      <c r="CQ7">
        <f ca="1">IF($B7=0,0,IF(CQ$3=TotalApuestas!CQ2,CQ$5,0))</f>
        <v>50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5</v>
      </c>
      <c r="DA7">
        <f ca="1">IF($B7=0,0,IF(DA$3=TotalApuestas!DA2,DA$5,0))</f>
        <v>0</v>
      </c>
      <c r="DB7">
        <f ca="1">IF($B7=0,0,IF(DB$3=TotalApuestas!DB2,DB$5,0))</f>
        <v>0</v>
      </c>
      <c r="DC7">
        <f ca="1">IF($B7=0,0,IF(AND(DA$3=TotalApuestas!DA2,Resultado!DB$3=TotalApuestas!DB2),Resultado!DC$5+VLOOKUP(DC$4&amp;"bonus",Aux!$W$1:$X$46,2,0),IF(DC$3=TotalApuestas!DC2,DC$5,0)))</f>
        <v>10</v>
      </c>
      <c r="DD7">
        <f ca="1">IF($B7=0,0,IF(DD$3=TotalApuestas!DD2,DD$5,0))</f>
        <v>0</v>
      </c>
      <c r="DE7">
        <f ca="1">IF($B7=0,0,IF(DE$3=TotalApuestas!DE2,DE$5,0))</f>
        <v>0</v>
      </c>
      <c r="DF7">
        <f ca="1">IF($B7=0,0,IF(AND(DD$3=TotalApuestas!DD2,Resultado!DE$3=TotalApuestas!DE2),Resultado!DF$5+VLOOKUP(DF$4&amp;"bonus",Aux!$W$1:$X$46,2,0),IF(DF$3=TotalApuestas!DF2,DF$5,0)))</f>
        <v>10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10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5</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5</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15</v>
      </c>
      <c r="CB8">
        <f ca="1">IF($B8=0,0,IF(CB$3=TotalApuestas!CB3,CB$5,0))</f>
        <v>0</v>
      </c>
      <c r="CC8">
        <f ca="1">IF($B8=0,0,IF(COUNTIF($CC$3:$CJ$3,TotalApuestas!CC3)=1,CC$5,0))</f>
        <v>20</v>
      </c>
      <c r="CD8">
        <f ca="1">IF($B8=0,0,IF(COUNTIF($CC$3:$CJ$3,TotalApuestas!CD3)=1,CD$5,0))</f>
        <v>20</v>
      </c>
      <c r="CE8">
        <f ca="1">IF($B8=0,0,IF(COUNTIF($CC$3:$CJ$3,TotalApuestas!CE3)=1,CE$5,0))</f>
        <v>20</v>
      </c>
      <c r="CF8">
        <f ca="1">IF($B8=0,0,IF(COUNTIF($CC$3:$CJ$3,TotalApuestas!CF3)=1,CF$5,0))</f>
        <v>0</v>
      </c>
      <c r="CG8">
        <f ca="1">IF($B8=0,0,IF(COUNTIF($CC$3:$CJ$3,TotalApuestas!CG3)=1,CG$5,0))</f>
        <v>20</v>
      </c>
      <c r="CH8">
        <f ca="1">IF($B8=0,0,IF(COUNTIF($CC$3:$CJ$3,TotalApuestas!CH3)=1,CH$5,0))</f>
        <v>0</v>
      </c>
      <c r="CI8">
        <f ca="1">IF($B8=0,0,IF(COUNTIF($CC$3:$CJ$3,TotalApuestas!CI3)=1,CI$5,0))</f>
        <v>20</v>
      </c>
      <c r="CJ8">
        <f ca="1">IF($B8=0,0,IF(COUNTIF($CC$3:$CJ$3,TotalApuestas!CJ3)=1,CJ$5,0))</f>
        <v>20</v>
      </c>
      <c r="CK8">
        <f ca="1">IF($B8=0,0,IF(COUNTIF($CK$3:$CN$3,TotalApuestas!CK3)=1,CK$5,0))</f>
        <v>25</v>
      </c>
      <c r="CL8">
        <f ca="1">IF($B8=0,0,IF(COUNTIF($CK$3:$CN$3,TotalApuestas!CL3)=1,CL$5,0))</f>
        <v>0</v>
      </c>
      <c r="CM8">
        <f ca="1">IF($B8=0,0,IF(COUNTIF($CK$3:$CN$3,TotalApuestas!CM3)=1,CM$5,0))</f>
        <v>25</v>
      </c>
      <c r="CN8">
        <f ca="1">IF($B8=0,0,IF(COUNTIF($CK$3:$CN$3,TotalApuestas!CN3)=1,CN$5,0))</f>
        <v>0</v>
      </c>
      <c r="CO8">
        <f ca="1">IF($B8=0,0,IF(COUNTIF($CO$3:$CP$3,TotalApuestas!CO3)=1,CO$5,0))</f>
        <v>30</v>
      </c>
      <c r="CP8">
        <f ca="1">IF($B8=0,0,IF(COUNTIF($CO$3:$CP$3,TotalApuestas!CP3)=1,CP$5,0))</f>
        <v>0</v>
      </c>
      <c r="CQ8">
        <f ca="1">IF($B8=0,0,IF(CQ$3=TotalApuestas!CQ3,CQ$5,0))</f>
        <v>50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10</v>
      </c>
      <c r="CX8">
        <f ca="1">IF($B8=0,0,IF(CX$3=TotalApuestas!CX3,CX$5,0))</f>
        <v>0</v>
      </c>
      <c r="CY8">
        <f ca="1">IF($B8=0,0,IF(CY$3=TotalApuestas!CY3,CY$5,0))</f>
        <v>0</v>
      </c>
      <c r="CZ8">
        <f ca="1">IF($B8=0,0,IF(AND(CX$3=TotalApuestas!CX3,Resultado!CY$3=TotalApuestas!CY3),Resultado!CZ$5+VLOOKUP(CZ$4&amp;"bonus",Aux!$W$1:$X$46,2,0),IF(CZ$3=TotalApuestas!CZ3,CZ$5,0)))</f>
        <v>5</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5</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5</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10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15</v>
      </c>
      <c r="CB9">
        <f ca="1">IF($B9=0,0,IF(CB$3=TotalApuestas!CB4,CB$5,0))</f>
        <v>15</v>
      </c>
      <c r="CC9">
        <f ca="1">IF($B9=0,0,IF(COUNTIF($CC$3:$CJ$3,TotalApuestas!CC4)=1,CC$5,0))</f>
        <v>20</v>
      </c>
      <c r="CD9">
        <f ca="1">IF($B9=0,0,IF(COUNTIF($CC$3:$CJ$3,TotalApuestas!CD4)=1,CD$5,0))</f>
        <v>20</v>
      </c>
      <c r="CE9">
        <f ca="1">IF($B9=0,0,IF(COUNTIF($CC$3:$CJ$3,TotalApuestas!CE4)=1,CE$5,0))</f>
        <v>20</v>
      </c>
      <c r="CF9">
        <f ca="1">IF($B9=0,0,IF(COUNTIF($CC$3:$CJ$3,TotalApuestas!CF4)=1,CF$5,0))</f>
        <v>0</v>
      </c>
      <c r="CG9">
        <f ca="1">IF($B9=0,0,IF(COUNTIF($CC$3:$CJ$3,TotalApuestas!CG4)=1,CG$5,0))</f>
        <v>20</v>
      </c>
      <c r="CH9">
        <f ca="1">IF($B9=0,0,IF(COUNTIF($CC$3:$CJ$3,TotalApuestas!CH4)=1,CH$5,0))</f>
        <v>0</v>
      </c>
      <c r="CI9">
        <f ca="1">IF($B9=0,0,IF(COUNTIF($CC$3:$CJ$3,TotalApuestas!CI4)=1,CI$5,0))</f>
        <v>20</v>
      </c>
      <c r="CJ9">
        <f ca="1">IF($B9=0,0,IF(COUNTIF($CC$3:$CJ$3,TotalApuestas!CJ4)=1,CJ$5,0))</f>
        <v>20</v>
      </c>
      <c r="CK9">
        <f ca="1">IF($B9=0,0,IF(COUNTIF($CK$3:$CN$3,TotalApuestas!CK4)=1,CK$5,0))</f>
        <v>25</v>
      </c>
      <c r="CL9">
        <f ca="1">IF($B9=0,0,IF(COUNTIF($CK$3:$CN$3,TotalApuestas!CL4)=1,CL$5,0))</f>
        <v>0</v>
      </c>
      <c r="CM9">
        <f ca="1">IF($B9=0,0,IF(COUNTIF($CK$3:$CN$3,TotalApuestas!CM4)=1,CM$5,0))</f>
        <v>25</v>
      </c>
      <c r="CN9">
        <f ca="1">IF($B9=0,0,IF(COUNTIF($CK$3:$CN$3,TotalApuestas!CN4)=1,CN$5,0))</f>
        <v>25</v>
      </c>
      <c r="CO9">
        <f ca="1">IF($B9=0,0,IF(COUNTIF($CO$3:$CP$3,TotalApuestas!CO4)=1,CO$5,0))</f>
        <v>30</v>
      </c>
      <c r="CP9">
        <f ca="1">IF($B9=0,0,IF(COUNTIF($CO$3:$CP$3,TotalApuestas!CP4)=1,CP$5,0))</f>
        <v>30</v>
      </c>
      <c r="CQ9">
        <f ca="1">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5</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5</v>
      </c>
      <c r="DG9">
        <f ca="1">IF($B9=0,0,IF(DG$3=TotalApuestas!DG4,DG$5,0))</f>
        <v>0</v>
      </c>
      <c r="DH9">
        <f ca="1">IF($B9=0,0,IF(DH$3=TotalApuestas!DH4,DH$5,0))</f>
        <v>0</v>
      </c>
      <c r="DI9">
        <f ca="1">IF($B9=0,0,IF(AND(DG$3=TotalApuestas!DG4,Resultado!DH$3=TotalApuestas!DH4),Resultado!DI$5+VLOOKUP(DI$4&amp;"bonus",Aux!$W$1:$X$46,2,0),IF(DI$3=TotalApuestas!DI4,DI$5,0)))</f>
        <v>5</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5</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5</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15</v>
      </c>
      <c r="CB10">
        <f ca="1">IF($B10=0,0,IF(CB$3=TotalApuestas!CB5,CB$5,0))</f>
        <v>0</v>
      </c>
      <c r="CC10">
        <f ca="1">IF($B10=0,0,IF(COUNTIF($CC$3:$CJ$3,TotalApuestas!CC5)=1,CC$5,0))</f>
        <v>20</v>
      </c>
      <c r="CD10">
        <f ca="1">IF($B10=0,0,IF(COUNTIF($CC$3:$CJ$3,TotalApuestas!CD5)=1,CD$5,0))</f>
        <v>20</v>
      </c>
      <c r="CE10">
        <f ca="1">IF($B10=0,0,IF(COUNTIF($CC$3:$CJ$3,TotalApuestas!CE5)=1,CE$5,0))</f>
        <v>20</v>
      </c>
      <c r="CF10">
        <f ca="1">IF($B10=0,0,IF(COUNTIF($CC$3:$CJ$3,TotalApuestas!CF5)=1,CF$5,0))</f>
        <v>20</v>
      </c>
      <c r="CG10">
        <f ca="1">IF($B10=0,0,IF(COUNTIF($CC$3:$CJ$3,TotalApuestas!CG5)=1,CG$5,0))</f>
        <v>20</v>
      </c>
      <c r="CH10">
        <f ca="1">IF($B10=0,0,IF(COUNTIF($CC$3:$CJ$3,TotalApuestas!CH5)=1,CH$5,0))</f>
        <v>0</v>
      </c>
      <c r="CI10">
        <f ca="1">IF($B10=0,0,IF(COUNTIF($CC$3:$CJ$3,TotalApuestas!CI5)=1,CI$5,0))</f>
        <v>20</v>
      </c>
      <c r="CJ10">
        <f ca="1">IF($B10=0,0,IF(COUNTIF($CC$3:$CJ$3,TotalApuestas!CJ5)=1,CJ$5,0))</f>
        <v>20</v>
      </c>
      <c r="CK10">
        <f ca="1">IF($B10=0,0,IF(COUNTIF($CK$3:$CN$3,TotalApuestas!CK5)=1,CK$5,0))</f>
        <v>25</v>
      </c>
      <c r="CL10">
        <f ca="1">IF($B10=0,0,IF(COUNTIF($CK$3:$CN$3,TotalApuestas!CL5)=1,CL$5,0))</f>
        <v>0</v>
      </c>
      <c r="CM10">
        <f ca="1">IF($B10=0,0,IF(COUNTIF($CK$3:$CN$3,TotalApuestas!CM5)=1,CM$5,0))</f>
        <v>25</v>
      </c>
      <c r="CN10">
        <f ca="1">IF($B10=0,0,IF(COUNTIF($CK$3:$CN$3,TotalApuestas!CN5)=1,CN$5,0))</f>
        <v>0</v>
      </c>
      <c r="CO10">
        <f ca="1">IF($B10=0,0,IF(COUNTIF($CO$3:$CP$3,TotalApuestas!CO5)=1,CO$5,0))</f>
        <v>30</v>
      </c>
      <c r="CP10">
        <f ca="1">IF($B10=0,0,IF(COUNTIF($CO$3:$CP$3,TotalApuestas!CP5)=1,CP$5,0))</f>
        <v>0</v>
      </c>
      <c r="CQ10">
        <f ca="1">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5</v>
      </c>
      <c r="CU10">
        <f ca="1">IF($B10=0,0,IF(CU$3=TotalApuestas!CU5,CU$5,0))</f>
        <v>0</v>
      </c>
      <c r="CV10">
        <f ca="1">IF($B10=0,0,IF(CV$3=TotalApuestas!CV5,CV$5,0))</f>
        <v>0</v>
      </c>
      <c r="CW10">
        <f ca="1">IF($B10=0,0,IF(AND(CU$3=TotalApuestas!CU5,Resultado!CV$3=TotalApuestas!CV5),Resultado!CW$5+VLOOKUP(CW$4&amp;"bonus",Aux!$W$1:$X$46,2,0),IF(CW$3=TotalApuestas!CW5,CW$5,0)))</f>
        <v>10</v>
      </c>
      <c r="CX10">
        <f ca="1">IF($B10=0,0,IF(CX$3=TotalApuestas!CX5,CX$5,0))</f>
        <v>0</v>
      </c>
      <c r="CY10">
        <f ca="1">IF($B10=0,0,IF(CY$3=TotalApuestas!CY5,CY$5,0))</f>
        <v>0</v>
      </c>
      <c r="CZ10">
        <f ca="1">IF($B10=0,0,IF(AND(CX$3=TotalApuestas!CX5,Resultado!CY$3=TotalApuestas!CY5),Resultado!CZ$5+VLOOKUP(CZ$4&amp;"bonus",Aux!$W$1:$X$46,2,0),IF(CZ$3=TotalApuestas!CZ5,CZ$5,0)))</f>
        <v>5</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5</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5</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15</v>
      </c>
      <c r="CB11">
        <f ca="1">IF($B11=0,0,IF(CB$3=TotalApuestas!CB6,CB$5,0))</f>
        <v>0</v>
      </c>
      <c r="CC11">
        <f ca="1">IF($B11=0,0,IF(COUNTIF($CC$3:$CJ$3,TotalApuestas!CC6)=1,CC$5,0))</f>
        <v>20</v>
      </c>
      <c r="CD11">
        <f ca="1">IF($B11=0,0,IF(COUNTIF($CC$3:$CJ$3,TotalApuestas!CD6)=1,CD$5,0))</f>
        <v>20</v>
      </c>
      <c r="CE11">
        <f ca="1">IF($B11=0,0,IF(COUNTIF($CC$3:$CJ$3,TotalApuestas!CE6)=1,CE$5,0))</f>
        <v>20</v>
      </c>
      <c r="CF11">
        <f ca="1">IF($B11=0,0,IF(COUNTIF($CC$3:$CJ$3,TotalApuestas!CF6)=1,CF$5,0))</f>
        <v>0</v>
      </c>
      <c r="CG11">
        <f ca="1">IF($B11=0,0,IF(COUNTIF($CC$3:$CJ$3,TotalApuestas!CG6)=1,CG$5,0))</f>
        <v>20</v>
      </c>
      <c r="CH11">
        <f ca="1">IF($B11=0,0,IF(COUNTIF($CC$3:$CJ$3,TotalApuestas!CH6)=1,CH$5,0))</f>
        <v>0</v>
      </c>
      <c r="CI11">
        <f ca="1">IF($B11=0,0,IF(COUNTIF($CC$3:$CJ$3,TotalApuestas!CI6)=1,CI$5,0))</f>
        <v>20</v>
      </c>
      <c r="CJ11">
        <f ca="1">IF($B11=0,0,IF(COUNTIF($CC$3:$CJ$3,TotalApuestas!CJ6)=1,CJ$5,0))</f>
        <v>20</v>
      </c>
      <c r="CK11">
        <f ca="1">IF($B11=0,0,IF(COUNTIF($CK$3:$CN$3,TotalApuestas!CK6)=1,CK$5,0))</f>
        <v>25</v>
      </c>
      <c r="CL11">
        <f ca="1">IF($B11=0,0,IF(COUNTIF($CK$3:$CN$3,TotalApuestas!CL6)=1,CL$5,0))</f>
        <v>0</v>
      </c>
      <c r="CM11">
        <f ca="1">IF($B11=0,0,IF(COUNTIF($CK$3:$CN$3,TotalApuestas!CM6)=1,CM$5,0))</f>
        <v>25</v>
      </c>
      <c r="CN11">
        <f ca="1">IF($B11=0,0,IF(COUNTIF($CK$3:$CN$3,TotalApuestas!CN6)=1,CN$5,0))</f>
        <v>0</v>
      </c>
      <c r="CO11">
        <f ca="1">IF($B11=0,0,IF(COUNTIF($CO$3:$CP$3,TotalApuestas!CO6)=1,CO$5,0))</f>
        <v>30</v>
      </c>
      <c r="CP11">
        <f ca="1">IF($B11=0,0,IF(COUNTIF($CO$3:$CP$3,TotalApuestas!CP6)=1,CP$5,0))</f>
        <v>0</v>
      </c>
      <c r="CQ11">
        <f ca="1">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10</v>
      </c>
      <c r="CX11">
        <f ca="1">IF($B11=0,0,IF(CX$3=TotalApuestas!CX6,CX$5,0))</f>
        <v>0</v>
      </c>
      <c r="CY11">
        <f ca="1">IF($B11=0,0,IF(CY$3=TotalApuestas!CY6,CY$5,0))</f>
        <v>0</v>
      </c>
      <c r="CZ11">
        <f ca="1">IF($B11=0,0,IF(AND(CX$3=TotalApuestas!CX6,Resultado!CY$3=TotalApuestas!CY6),Resultado!CZ$5+VLOOKUP(CZ$4&amp;"bonus",Aux!$W$1:$X$46,2,0),IF(CZ$3=TotalApuestas!CZ6,CZ$5,0)))</f>
        <v>5</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5</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5</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5</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15</v>
      </c>
      <c r="CB12">
        <f ca="1">IF($B12=0,0,IF(CB$3=TotalApuestas!CB7,CB$5,0))</f>
        <v>0</v>
      </c>
      <c r="CC12">
        <f ca="1">IF($B12=0,0,IF(COUNTIF($CC$3:$CJ$3,TotalApuestas!CC7)=1,CC$5,0))</f>
        <v>20</v>
      </c>
      <c r="CD12">
        <f ca="1">IF($B12=0,0,IF(COUNTIF($CC$3:$CJ$3,TotalApuestas!CD7)=1,CD$5,0))</f>
        <v>20</v>
      </c>
      <c r="CE12">
        <f ca="1">IF($B12=0,0,IF(COUNTIF($CC$3:$CJ$3,TotalApuestas!CE7)=1,CE$5,0))</f>
        <v>20</v>
      </c>
      <c r="CF12">
        <f ca="1">IF($B12=0,0,IF(COUNTIF($CC$3:$CJ$3,TotalApuestas!CF7)=1,CF$5,0))</f>
        <v>20</v>
      </c>
      <c r="CG12">
        <f ca="1">IF($B12=0,0,IF(COUNTIF($CC$3:$CJ$3,TotalApuestas!CG7)=1,CG$5,0))</f>
        <v>20</v>
      </c>
      <c r="CH12">
        <f ca="1">IF($B12=0,0,IF(COUNTIF($CC$3:$CJ$3,TotalApuestas!CH7)=1,CH$5,0))</f>
        <v>0</v>
      </c>
      <c r="CI12">
        <f ca="1">IF($B12=0,0,IF(COUNTIF($CC$3:$CJ$3,TotalApuestas!CI7)=1,CI$5,0))</f>
        <v>20</v>
      </c>
      <c r="CJ12">
        <f ca="1">IF($B12=0,0,IF(COUNTIF($CC$3:$CJ$3,TotalApuestas!CJ7)=1,CJ$5,0))</f>
        <v>20</v>
      </c>
      <c r="CK12">
        <f ca="1">IF($B12=0,0,IF(COUNTIF($CK$3:$CN$3,TotalApuestas!CK7)=1,CK$5,0))</f>
        <v>25</v>
      </c>
      <c r="CL12">
        <f ca="1">IF($B12=0,0,IF(COUNTIF($CK$3:$CN$3,TotalApuestas!CL7)=1,CL$5,0))</f>
        <v>0</v>
      </c>
      <c r="CM12">
        <f ca="1">IF($B12=0,0,IF(COUNTIF($CK$3:$CN$3,TotalApuestas!CM7)=1,CM$5,0))</f>
        <v>25</v>
      </c>
      <c r="CN12">
        <f ca="1">IF($B12=0,0,IF(COUNTIF($CK$3:$CN$3,TotalApuestas!CN7)=1,CN$5,0))</f>
        <v>0</v>
      </c>
      <c r="CO12">
        <f ca="1">IF($B12=0,0,IF(COUNTIF($CO$3:$CP$3,TotalApuestas!CO7)=1,CO$5,0))</f>
        <v>30</v>
      </c>
      <c r="CP12">
        <f ca="1">IF($B12=0,0,IF(COUNTIF($CO$3:$CP$3,TotalApuestas!CP7)=1,CP$5,0))</f>
        <v>0</v>
      </c>
      <c r="CQ12">
        <f ca="1">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10</v>
      </c>
      <c r="CX12">
        <f ca="1">IF($B12=0,0,IF(CX$3=TotalApuestas!CX7,CX$5,0))</f>
        <v>0</v>
      </c>
      <c r="CY12">
        <f ca="1">IF($B12=0,0,IF(CY$3=TotalApuestas!CY7,CY$5,0))</f>
        <v>0</v>
      </c>
      <c r="CZ12">
        <f ca="1">IF($B12=0,0,IF(AND(CX$3=TotalApuestas!CX7,Resultado!CY$3=TotalApuestas!CY7),Resultado!CZ$5+VLOOKUP(CZ$4&amp;"bonus",Aux!$W$1:$X$46,2,0),IF(CZ$3=TotalApuestas!CZ7,CZ$5,0)))</f>
        <v>5</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10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5</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10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15</v>
      </c>
      <c r="CB13">
        <f ca="1">IF($B13=0,0,IF(CB$3=TotalApuestas!CB8,CB$5,0))</f>
        <v>15</v>
      </c>
      <c r="CC13">
        <f ca="1">IF($B13=0,0,IF(COUNTIF($CC$3:$CJ$3,TotalApuestas!CC8)=1,CC$5,0))</f>
        <v>20</v>
      </c>
      <c r="CD13">
        <f ca="1">IF($B13=0,0,IF(COUNTIF($CC$3:$CJ$3,TotalApuestas!CD8)=1,CD$5,0))</f>
        <v>20</v>
      </c>
      <c r="CE13">
        <f ca="1">IF($B13=0,0,IF(COUNTIF($CC$3:$CJ$3,TotalApuestas!CE8)=1,CE$5,0))</f>
        <v>20</v>
      </c>
      <c r="CF13">
        <f ca="1">IF($B13=0,0,IF(COUNTIF($CC$3:$CJ$3,TotalApuestas!CF8)=1,CF$5,0))</f>
        <v>0</v>
      </c>
      <c r="CG13">
        <f ca="1">IF($B13=0,0,IF(COUNTIF($CC$3:$CJ$3,TotalApuestas!CG8)=1,CG$5,0))</f>
        <v>20</v>
      </c>
      <c r="CH13">
        <f ca="1">IF($B13=0,0,IF(COUNTIF($CC$3:$CJ$3,TotalApuestas!CH8)=1,CH$5,0))</f>
        <v>0</v>
      </c>
      <c r="CI13">
        <f ca="1">IF($B13=0,0,IF(COUNTIF($CC$3:$CJ$3,TotalApuestas!CI8)=1,CI$5,0))</f>
        <v>20</v>
      </c>
      <c r="CJ13">
        <f ca="1">IF($B13=0,0,IF(COUNTIF($CC$3:$CJ$3,TotalApuestas!CJ8)=1,CJ$5,0))</f>
        <v>20</v>
      </c>
      <c r="CK13">
        <f ca="1">IF($B13=0,0,IF(COUNTIF($CK$3:$CN$3,TotalApuestas!CK8)=1,CK$5,0))</f>
        <v>25</v>
      </c>
      <c r="CL13">
        <f ca="1">IF($B13=0,0,IF(COUNTIF($CK$3:$CN$3,TotalApuestas!CL8)=1,CL$5,0))</f>
        <v>0</v>
      </c>
      <c r="CM13">
        <f ca="1">IF($B13=0,0,IF(COUNTIF($CK$3:$CN$3,TotalApuestas!CM8)=1,CM$5,0))</f>
        <v>25</v>
      </c>
      <c r="CN13">
        <f ca="1">IF($B13=0,0,IF(COUNTIF($CK$3:$CN$3,TotalApuestas!CN8)=1,CN$5,0))</f>
        <v>25</v>
      </c>
      <c r="CO13">
        <f ca="1">IF($B13=0,0,IF(COUNTIF($CO$3:$CP$3,TotalApuestas!CO8)=1,CO$5,0))</f>
        <v>30</v>
      </c>
      <c r="CP13">
        <f ca="1">IF($B13=0,0,IF(COUNTIF($CO$3:$CP$3,TotalApuestas!CP8)=1,CP$5,0))</f>
        <v>0</v>
      </c>
      <c r="CQ13">
        <f ca="1">IF($B13=0,0,IF(CQ$3=TotalApuestas!CQ8,CQ$5,0))</f>
        <v>50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5</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10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5</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5</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10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15</v>
      </c>
      <c r="CB14">
        <f ca="1">IF($B14=0,0,IF(CB$3=TotalApuestas!CB9,CB$5,0))</f>
        <v>0</v>
      </c>
      <c r="CC14">
        <f ca="1">IF($B14=0,0,IF(COUNTIF($CC$3:$CJ$3,TotalApuestas!CC9)=1,CC$5,0))</f>
        <v>20</v>
      </c>
      <c r="CD14">
        <f ca="1">IF($B14=0,0,IF(COUNTIF($CC$3:$CJ$3,TotalApuestas!CD9)=1,CD$5,0))</f>
        <v>20</v>
      </c>
      <c r="CE14">
        <f ca="1">IF($B14=0,0,IF(COUNTIF($CC$3:$CJ$3,TotalApuestas!CE9)=1,CE$5,0))</f>
        <v>20</v>
      </c>
      <c r="CF14">
        <f ca="1">IF($B14=0,0,IF(COUNTIF($CC$3:$CJ$3,TotalApuestas!CF9)=1,CF$5,0))</f>
        <v>20</v>
      </c>
      <c r="CG14">
        <f ca="1">IF($B14=0,0,IF(COUNTIF($CC$3:$CJ$3,TotalApuestas!CG9)=1,CG$5,0))</f>
        <v>20</v>
      </c>
      <c r="CH14">
        <f ca="1">IF($B14=0,0,IF(COUNTIF($CC$3:$CJ$3,TotalApuestas!CH9)=1,CH$5,0))</f>
        <v>0</v>
      </c>
      <c r="CI14">
        <f ca="1">IF($B14=0,0,IF(COUNTIF($CC$3:$CJ$3,TotalApuestas!CI9)=1,CI$5,0))</f>
        <v>20</v>
      </c>
      <c r="CJ14">
        <f ca="1">IF($B14=0,0,IF(COUNTIF($CC$3:$CJ$3,TotalApuestas!CJ9)=1,CJ$5,0))</f>
        <v>20</v>
      </c>
      <c r="CK14">
        <f ca="1">IF($B14=0,0,IF(COUNTIF($CK$3:$CN$3,TotalApuestas!CK9)=1,CK$5,0))</f>
        <v>25</v>
      </c>
      <c r="CL14">
        <f ca="1">IF($B14=0,0,IF(COUNTIF($CK$3:$CN$3,TotalApuestas!CL9)=1,CL$5,0))</f>
        <v>0</v>
      </c>
      <c r="CM14">
        <f ca="1">IF($B14=0,0,IF(COUNTIF($CK$3:$CN$3,TotalApuestas!CM9)=1,CM$5,0))</f>
        <v>25</v>
      </c>
      <c r="CN14">
        <f ca="1">IF($B14=0,0,IF(COUNTIF($CK$3:$CN$3,TotalApuestas!CN9)=1,CN$5,0))</f>
        <v>0</v>
      </c>
      <c r="CO14">
        <f ca="1">IF($B14=0,0,IF(COUNTIF($CO$3:$CP$3,TotalApuestas!CO9)=1,CO$5,0))</f>
        <v>0</v>
      </c>
      <c r="CP14">
        <f ca="1">IF($B14=0,0,IF(COUNTIF($CO$3:$CP$3,TotalApuestas!CP9)=1,CP$5,0))</f>
        <v>0</v>
      </c>
      <c r="CQ14">
        <f ca="1">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5</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5</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15</v>
      </c>
      <c r="CB15">
        <f ca="1">IF($B15=0,0,IF(CB$3=TotalApuestas!CB10,CB$5,0))</f>
        <v>0</v>
      </c>
      <c r="CC15">
        <f ca="1">IF($B15=0,0,IF(COUNTIF($CC$3:$CJ$3,TotalApuestas!CC10)=1,CC$5,0))</f>
        <v>20</v>
      </c>
      <c r="CD15">
        <f ca="1">IF($B15=0,0,IF(COUNTIF($CC$3:$CJ$3,TotalApuestas!CD10)=1,CD$5,0))</f>
        <v>20</v>
      </c>
      <c r="CE15">
        <f ca="1">IF($B15=0,0,IF(COUNTIF($CC$3:$CJ$3,TotalApuestas!CE10)=1,CE$5,0))</f>
        <v>20</v>
      </c>
      <c r="CF15">
        <f ca="1">IF($B15=0,0,IF(COUNTIF($CC$3:$CJ$3,TotalApuestas!CF10)=1,CF$5,0))</f>
        <v>20</v>
      </c>
      <c r="CG15">
        <f ca="1">IF($B15=0,0,IF(COUNTIF($CC$3:$CJ$3,TotalApuestas!CG10)=1,CG$5,0))</f>
        <v>20</v>
      </c>
      <c r="CH15">
        <f ca="1">IF($B15=0,0,IF(COUNTIF($CC$3:$CJ$3,TotalApuestas!CH10)=1,CH$5,0))</f>
        <v>0</v>
      </c>
      <c r="CI15">
        <f ca="1">IF($B15=0,0,IF(COUNTIF($CC$3:$CJ$3,TotalApuestas!CI10)=1,CI$5,0))</f>
        <v>20</v>
      </c>
      <c r="CJ15">
        <f ca="1">IF($B15=0,0,IF(COUNTIF($CC$3:$CJ$3,TotalApuestas!CJ10)=1,CJ$5,0))</f>
        <v>20</v>
      </c>
      <c r="CK15">
        <f ca="1">IF($B15=0,0,IF(COUNTIF($CK$3:$CN$3,TotalApuestas!CK10)=1,CK$5,0))</f>
        <v>25</v>
      </c>
      <c r="CL15">
        <f ca="1">IF($B15=0,0,IF(COUNTIF($CK$3:$CN$3,TotalApuestas!CL10)=1,CL$5,0))</f>
        <v>25</v>
      </c>
      <c r="CM15">
        <f ca="1">IF($B15=0,0,IF(COUNTIF($CK$3:$CN$3,TotalApuestas!CM10)=1,CM$5,0))</f>
        <v>25</v>
      </c>
      <c r="CN15">
        <f ca="1">IF($B15=0,0,IF(COUNTIF($CK$3:$CN$3,TotalApuestas!CN10)=1,CN$5,0))</f>
        <v>0</v>
      </c>
      <c r="CO15">
        <f ca="1">IF($B15=0,0,IF(COUNTIF($CO$3:$CP$3,TotalApuestas!CO10)=1,CO$5,0))</f>
        <v>30</v>
      </c>
      <c r="CP15">
        <f ca="1">IF($B15=0,0,IF(COUNTIF($CO$3:$CP$3,TotalApuestas!CP10)=1,CP$5,0))</f>
        <v>0</v>
      </c>
      <c r="CQ15">
        <f ca="1">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10</v>
      </c>
      <c r="CX15">
        <f ca="1">IF($B15=0,0,IF(CX$3=TotalApuestas!CX10,CX$5,0))</f>
        <v>0</v>
      </c>
      <c r="CY15">
        <f ca="1">IF($B15=0,0,IF(CY$3=TotalApuestas!CY10,CY$5,0))</f>
        <v>0</v>
      </c>
      <c r="CZ15">
        <f ca="1">IF($B15=0,0,IF(AND(CX$3=TotalApuestas!CX10,Resultado!CY$3=TotalApuestas!CY10),Resultado!CZ$5+VLOOKUP(CZ$4&amp;"bonus",Aux!$W$1:$X$46,2,0),IF(CZ$3=TotalApuestas!CZ10,CZ$5,0)))</f>
        <v>5</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10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f ca="1">+Resultado!BM3</f>
        <v>0</v>
      </c>
      <c r="BN1" s="84">
        <f ca="1">+Resultado!BN3</f>
        <v>1</v>
      </c>
      <c r="BO1" s="84">
        <f ca="1">+Resultado!BO3</f>
        <v>2</v>
      </c>
      <c r="BP1" s="84">
        <f ca="1">+Resultado!BP3</f>
        <v>1</v>
      </c>
      <c r="BQ1" s="84">
        <f ca="1">+Resultado!BQ3</f>
        <v>3</v>
      </c>
      <c r="BR1" s="84">
        <f ca="1">+Resultado!BR3</f>
        <v>2</v>
      </c>
      <c r="BS1" s="84">
        <f ca="1">+Resultado!BS3</f>
        <v>1</v>
      </c>
      <c r="BT1" s="84">
        <f ca="1">+Resultado!BT3</f>
        <v>1</v>
      </c>
      <c r="BU1" s="84" t="str">
        <f ca="1">+Resultado!BU3</f>
        <v>x</v>
      </c>
      <c r="BV1" s="84">
        <f ca="1">+Resultado!BV3</f>
        <v>2</v>
      </c>
      <c r="BW1" s="84">
        <f ca="1">+Resultado!BW3</f>
        <v>1</v>
      </c>
      <c r="BX1" s="84">
        <f ca="1">+Resultado!BX3</f>
        <v>1</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Canadá</v>
      </c>
      <c r="CG1" s="84" t="str">
        <f ca="1">+Resultado!CG3</f>
        <v>Colombia</v>
      </c>
      <c r="CH1" s="84" t="str">
        <f ca="1">+Resultado!CH3</f>
        <v>Panamá</v>
      </c>
      <c r="CI1" s="84" t="str">
        <f ca="1">+Resultado!CI3</f>
        <v>Uruguay</v>
      </c>
      <c r="CJ1" s="84" t="str">
        <f ca="1">+Resultado!CJ3</f>
        <v>Brasil</v>
      </c>
      <c r="CK1" s="84" t="str">
        <f ca="1">+Resultado!CK3</f>
        <v>Argentina</v>
      </c>
      <c r="CL1" s="84" t="str">
        <f ca="1">+Resultado!CL3</f>
        <v>Canadá</v>
      </c>
      <c r="CM1" s="84" t="str">
        <f ca="1">+Resultado!CM3</f>
        <v>Uruguay</v>
      </c>
      <c r="CN1" s="84" t="str">
        <f ca="1">+Resultado!CN3</f>
        <v>Colombia</v>
      </c>
      <c r="CO1" s="84" t="str">
        <f ca="1">+Resultado!CO3</f>
        <v>Argentina</v>
      </c>
      <c r="CP1" s="84" t="str">
        <f ca="1">+Resultado!CP3</f>
        <v>Colombia</v>
      </c>
      <c r="CQ1" s="84" t="str">
        <f ca="1">+Resultado!CQ3</f>
        <v>Argentina</v>
      </c>
      <c r="CR1" s="84">
        <f ca="1">+Resultado!CR3</f>
        <v>1</v>
      </c>
      <c r="CS1" s="84">
        <f ca="1">+Resultado!CS3</f>
        <v>1</v>
      </c>
      <c r="CT1" s="84" t="str">
        <f ca="1">+Resultado!CT3</f>
        <v>x</v>
      </c>
      <c r="CU1" s="84">
        <f ca="1">+Resultado!CU3</f>
        <v>1</v>
      </c>
      <c r="CV1" s="84">
        <f ca="1">+Resultado!CV3</f>
        <v>1</v>
      </c>
      <c r="CW1" s="84" t="str">
        <f ca="1">+Resultado!CW3</f>
        <v>x</v>
      </c>
      <c r="CX1" s="84">
        <f ca="1">+Resultado!CX3</f>
        <v>5</v>
      </c>
      <c r="CY1" s="84">
        <f ca="1">+Resultado!CY3</f>
        <v>0</v>
      </c>
      <c r="CZ1" s="84">
        <f ca="1">+Resultado!CZ3</f>
        <v>1</v>
      </c>
      <c r="DA1" s="84">
        <f ca="1">+Resultado!DA3</f>
        <v>0</v>
      </c>
      <c r="DB1" s="84">
        <f ca="1">+Resultado!DB3</f>
        <v>0</v>
      </c>
      <c r="DC1" s="84" t="str">
        <f ca="1">+Resultado!DC3</f>
        <v>x</v>
      </c>
      <c r="DD1" s="84">
        <f ca="1">+Resultado!DD3</f>
        <v>2</v>
      </c>
      <c r="DE1" s="84">
        <f ca="1">+Resultado!DE3</f>
        <v>0</v>
      </c>
      <c r="DF1" s="84">
        <f ca="1">+Resultado!DF3</f>
        <v>1</v>
      </c>
      <c r="DG1" s="84">
        <f ca="1">+Resultado!DG3</f>
        <v>0</v>
      </c>
      <c r="DH1" s="84">
        <f ca="1">+Resultado!DH3</f>
        <v>1</v>
      </c>
      <c r="DI1" s="84">
        <f ca="1">+Resultado!DI3</f>
        <v>2</v>
      </c>
      <c r="DJ1" s="84">
        <f ca="1">+Resultado!DJ3</f>
        <v>2</v>
      </c>
      <c r="DK1" s="84">
        <f ca="1">+Resultado!DK3</f>
        <v>2</v>
      </c>
      <c r="DL1" s="84" t="str">
        <f ca="1">+Resultado!DL3</f>
        <v>x</v>
      </c>
      <c r="DM1" s="84">
        <f ca="1">+Resultado!DM3</f>
        <v>1</v>
      </c>
      <c r="DN1" s="84">
        <f ca="1">+Resultado!DN3</f>
        <v>0</v>
      </c>
      <c r="DO1" s="84">
        <f ca="1">+Resultado!DO3</f>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2024-07-15T05:27:47Z</dcterms:modified>
</cp:coreProperties>
</file>