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F:\03. Excel\Archivos Excel\"/>
    </mc:Choice>
  </mc:AlternateContent>
  <xr:revisionPtr revIDLastSave="0" documentId="13_ncr:1_{C1BC3E26-5E91-4C23-9D9A-56A21BEC9B06}" xr6:coauthVersionLast="47" xr6:coauthVersionMax="47" xr10:uidLastSave="{00000000-0000-0000-0000-000000000000}"/>
  <bookViews>
    <workbookView xWindow="-98" yWindow="-98" windowWidth="28996" windowHeight="15796" activeTab="1"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Data" sheetId="36" state="hidden" r:id="rId10"/>
    <sheet name="TotalApuestas" sheetId="37" r:id="rId11"/>
    <sheet name="Resultado" sheetId="38" r:id="rId12"/>
    <sheet name="ClasificaciónPorra" sheetId="39" r:id="rId13"/>
    <sheet name="Seguimiento" sheetId="40"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46" l="1" a="1"/>
  <c r="B8" i="46" s="1"/>
  <c r="B8" i="45" a="1"/>
  <c r="B8" i="45" s="1"/>
  <c r="B8" i="44" a="1"/>
  <c r="B8" i="44" s="1"/>
  <c r="B8" i="4" a="1"/>
  <c r="B8" i="4" s="1"/>
  <c r="D15" i="23" l="1"/>
  <c r="CQ51" i="38"/>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27" i="1"/>
  <c r="N10" i="1"/>
  <c r="O17" i="1"/>
  <c r="N11" i="1"/>
  <c r="N21" i="1"/>
  <c r="N13" i="1"/>
  <c r="N9" i="1"/>
  <c r="N28" i="1"/>
  <c r="N23" i="1"/>
  <c r="O23" i="1"/>
  <c r="N6" i="1"/>
  <c r="O3" i="1"/>
  <c r="N4" i="1"/>
  <c r="O26" i="1"/>
  <c r="N5" i="1"/>
  <c r="O22" i="1"/>
  <c r="O32" i="1"/>
  <c r="O25" i="1"/>
  <c r="O6" i="1"/>
  <c r="O21" i="1"/>
  <c r="O19" i="1"/>
  <c r="O10" i="1"/>
  <c r="N33" i="1"/>
  <c r="N26" i="1"/>
  <c r="O15" i="1"/>
  <c r="O8" i="1"/>
  <c r="O33" i="1"/>
  <c r="N27" i="1"/>
  <c r="N29" i="1"/>
  <c r="O7" i="1"/>
  <c r="O24" i="1"/>
  <c r="N19" i="1"/>
  <c r="N3" i="1"/>
  <c r="O16" i="1"/>
  <c r="N16" i="1"/>
  <c r="N18" i="1"/>
  <c r="O11" i="1"/>
  <c r="O12" i="1"/>
  <c r="O9" i="1"/>
  <c r="O28" i="1"/>
  <c r="O30" i="1"/>
  <c r="O5" i="1"/>
  <c r="N17" i="1"/>
  <c r="O20" i="1"/>
  <c r="O2" i="1"/>
  <c r="N31" i="1"/>
  <c r="N7" i="1"/>
  <c r="O4" i="1"/>
  <c r="N14" i="1"/>
  <c r="O29" i="1"/>
  <c r="N30" i="1"/>
  <c r="N25" i="1"/>
  <c r="N8" i="1"/>
  <c r="N24" i="1"/>
  <c r="O18" i="1"/>
  <c r="N20" i="1"/>
  <c r="N12" i="1"/>
  <c r="O13" i="1"/>
  <c r="O14" i="1"/>
  <c r="N32" i="1"/>
  <c r="N15" i="1"/>
  <c r="N22" i="1"/>
  <c r="O31" i="1"/>
  <c r="N2"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CR5" i="38"/>
  <c r="X15" i="1"/>
  <c r="X16" i="1"/>
  <c r="X17" i="1"/>
  <c r="X18" i="1"/>
  <c r="X14" i="1"/>
  <c r="X5" i="1"/>
  <c r="X6" i="1"/>
  <c r="X7" i="1"/>
  <c r="X8" i="1"/>
  <c r="X9" i="1"/>
  <c r="X10" i="1"/>
  <c r="X11" i="1"/>
  <c r="X12" i="1"/>
  <c r="X13" i="1"/>
  <c r="X4" i="1"/>
  <c r="X2" i="1"/>
  <c r="X3" i="1"/>
  <c r="C14" i="23"/>
  <c r="C13" i="23"/>
  <c r="C12" i="23"/>
  <c r="D18" i="23"/>
  <c r="D6"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E7"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2" i="23"/>
  <c r="D21" i="23"/>
  <c r="D20" i="23"/>
  <c r="D19" i="23"/>
  <c r="C11" i="23"/>
  <c r="C10" i="23"/>
  <c r="C9" i="23"/>
  <c r="L14" i="23"/>
  <c r="J14" i="23"/>
  <c r="DI10" i="38" l="1"/>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D7" i="23"/>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C15" i="23"/>
  <c r="DH5" i="38"/>
  <c r="CV5" i="38"/>
  <c r="DG5" i="38"/>
  <c r="CU5" i="38"/>
  <c r="DE5" i="38"/>
  <c r="CS5" i="38"/>
  <c r="DD5" i="38"/>
  <c r="DN5" i="38"/>
  <c r="DB5" i="38"/>
  <c r="CY5" i="38"/>
  <c r="DM5" i="38"/>
  <c r="DA5" i="38"/>
  <c r="DK5" i="38"/>
  <c r="DJ5" i="38"/>
  <c r="CX5" i="38"/>
  <c r="C17" i="23"/>
  <c r="DF5" i="38"/>
  <c r="CT5" i="38"/>
  <c r="DO5" i="38"/>
  <c r="DC5" i="38"/>
  <c r="CW5" i="38"/>
  <c r="DI5" i="38"/>
  <c r="DL5" i="38"/>
  <c r="CZ5" i="38"/>
  <c r="C16" i="23"/>
  <c r="D12" i="23"/>
  <c r="D14" i="23" s="1"/>
  <c r="AU5" i="44"/>
  <c r="AS5" i="46"/>
  <c r="AR5" i="46"/>
  <c r="AR5" i="45"/>
  <c r="AS5" i="44"/>
  <c r="AU5" i="46"/>
  <c r="AT5" i="46"/>
  <c r="AS5" i="45"/>
  <c r="AT5" i="44"/>
  <c r="AT5" i="45"/>
  <c r="D10" i="23"/>
  <c r="AR5" i="44"/>
  <c r="AU5" i="45"/>
  <c r="D13" i="23" l="1"/>
  <c r="AL9" i="45"/>
  <c r="AL9" i="46"/>
  <c r="AL11" i="45"/>
  <c r="AL9" i="44"/>
  <c r="AL11" i="44"/>
  <c r="AL13" i="44"/>
  <c r="AL15" i="46"/>
  <c r="AL15" i="45"/>
  <c r="AL13" i="45"/>
  <c r="AL11" i="46"/>
  <c r="AL13" i="46"/>
  <c r="AL15" i="44"/>
  <c r="AD9" i="4"/>
  <c r="AR7" i="4" s="1"/>
  <c r="AN13" i="45" l="1"/>
  <c r="AN15" i="44"/>
  <c r="AN13" i="46"/>
  <c r="D17" i="23"/>
  <c r="D16"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P9" i="46" l="1"/>
  <c r="V9" i="46" s="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T9" i="46"/>
  <c r="P13" i="44"/>
  <c r="P15" i="44"/>
  <c r="E8" i="40"/>
  <c r="H8" i="40"/>
  <c r="E1" i="36"/>
  <c r="G9" i="4"/>
  <c r="F9" i="4" s="1"/>
  <c r="N9" i="4"/>
  <c r="H15" i="33" a="1"/>
  <c r="BZ3" i="38" a="1"/>
  <c r="CA3" i="38" a="1"/>
  <c r="N18" i="33" a="1"/>
  <c r="N15" i="33" a="1"/>
  <c r="H12" i="33" a="1"/>
  <c r="H18" i="33" a="1"/>
  <c r="N9" i="33" a="1"/>
  <c r="X9" i="46" l="1"/>
  <c r="H15" i="33"/>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G15" i="33"/>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H9" i="33" a="1"/>
  <c r="N12"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X5" i="39"/>
  <c r="X9" i="39"/>
  <c r="X8" i="39"/>
  <c r="X10" i="39"/>
  <c r="DC11" i="38"/>
  <c r="DC10" i="38"/>
  <c r="DC13" i="38"/>
  <c r="DC7" i="38"/>
  <c r="DC1" i="36"/>
  <c r="DC14" i="38"/>
  <c r="DC12" i="38"/>
  <c r="X12" i="39"/>
  <c r="CW14" i="38"/>
  <c r="X11" i="39"/>
  <c r="X6" i="39"/>
  <c r="X7" i="39"/>
  <c r="DC8" i="38"/>
  <c r="S15" i="33"/>
  <c r="N12" i="34" s="1"/>
  <c r="S12" i="33" l="1"/>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Y5" i="39" s="1"/>
  <c r="CK14" i="38"/>
  <c r="Y12" i="39" s="1"/>
  <c r="CM14" i="38"/>
  <c r="CN11" i="38"/>
  <c r="CN12" i="38"/>
  <c r="CL8" i="38"/>
  <c r="CL12" i="38"/>
  <c r="CL10" i="38"/>
  <c r="CK12" i="38"/>
  <c r="Y10" i="39" s="1"/>
  <c r="CM8" i="38"/>
  <c r="CM9" i="38"/>
  <c r="CM12" i="38"/>
  <c r="CM10" i="38"/>
  <c r="CL11" i="38"/>
  <c r="CL13" i="38"/>
  <c r="CL9" i="38"/>
  <c r="CL7" i="38"/>
  <c r="CK8" i="38"/>
  <c r="CN13" i="38"/>
  <c r="CK13" i="38"/>
  <c r="Y11" i="39" s="1"/>
  <c r="CK10" i="38"/>
  <c r="Y8" i="39" s="1"/>
  <c r="CM7" i="38"/>
  <c r="CN10" i="38"/>
  <c r="CN8" i="38"/>
  <c r="CM11" i="38"/>
  <c r="CL14" i="38"/>
  <c r="O15" i="35"/>
  <c r="CP3" i="38"/>
  <c r="O9" i="35"/>
  <c r="Y7" i="39" l="1"/>
  <c r="Y6" i="39"/>
  <c r="Y9" i="39"/>
  <c r="CP1" i="36"/>
  <c r="CO13" i="38"/>
  <c r="Z11" i="39" s="1"/>
  <c r="AA11" i="39" s="1"/>
  <c r="AB11" i="39" s="1"/>
  <c r="CP10" i="38"/>
  <c r="CO11" i="38"/>
  <c r="Z9" i="39" s="1"/>
  <c r="CP13" i="38"/>
  <c r="CP12" i="38"/>
  <c r="CO10" i="38"/>
  <c r="Z8" i="39" s="1"/>
  <c r="AA8" i="39" s="1"/>
  <c r="AB8" i="39" s="1"/>
  <c r="CP9" i="38"/>
  <c r="CO14" i="38"/>
  <c r="Z12" i="39" s="1"/>
  <c r="AA12" i="39" s="1"/>
  <c r="AB12" i="39" s="1"/>
  <c r="CP14" i="38"/>
  <c r="CO9" i="38"/>
  <c r="Z7" i="39" s="1"/>
  <c r="CP7" i="38"/>
  <c r="CP11" i="38"/>
  <c r="CO7" i="38"/>
  <c r="Z5" i="39" s="1"/>
  <c r="AA5" i="39" s="1"/>
  <c r="AB5" i="39" s="1"/>
  <c r="CO8" i="38"/>
  <c r="Z6" i="39" s="1"/>
  <c r="AA6" i="39" s="1"/>
  <c r="AB6" i="39" s="1"/>
  <c r="CO12" i="38"/>
  <c r="Z10" i="39" s="1"/>
  <c r="AA10" i="39" s="1"/>
  <c r="AB10" i="39" s="1"/>
  <c r="CP8" i="38"/>
  <c r="AA7" i="39" l="1"/>
  <c r="AB7" i="39" s="1"/>
  <c r="Q6" i="39" s="1"/>
  <c r="AA9" i="39"/>
  <c r="AB9" i="39" s="1"/>
  <c r="Q12" i="39" s="1"/>
  <c r="Q5" i="39" l="1"/>
  <c r="Q20" i="39"/>
  <c r="Q18" i="39"/>
  <c r="Q13" i="39"/>
  <c r="Q11" i="39"/>
  <c r="Q22" i="39"/>
  <c r="Q8" i="39"/>
  <c r="Q25" i="39"/>
  <c r="Q26" i="39"/>
  <c r="Q10" i="39"/>
  <c r="Q15" i="39"/>
  <c r="Q17" i="39"/>
  <c r="Q9" i="39"/>
  <c r="Q19" i="39"/>
  <c r="Q7" i="39"/>
  <c r="D11" i="39" s="1"/>
  <c r="S12" i="40" s="1"/>
  <c r="Q24" i="39"/>
  <c r="Q23" i="39"/>
  <c r="Q14" i="39"/>
  <c r="Q21" i="39"/>
  <c r="Q16" i="39"/>
  <c r="D12" i="39" l="1"/>
  <c r="S13" i="40" s="1"/>
  <c r="AA13" i="40" s="1" a="1"/>
  <c r="AA13" i="40" s="1"/>
  <c r="D18" i="39"/>
  <c r="S19" i="40" s="1"/>
  <c r="U19" i="40" s="1" a="1"/>
  <c r="U19" i="40" s="1"/>
  <c r="AA12" i="40" a="1"/>
  <c r="AA12" i="40" s="1"/>
  <c r="Z12" i="40" a="1"/>
  <c r="Z12" i="40" s="1"/>
  <c r="Y12" i="40" a="1"/>
  <c r="Y12" i="40" s="1"/>
  <c r="X12" i="40" a="1"/>
  <c r="X12" i="40" s="1"/>
  <c r="W12" i="40" a="1"/>
  <c r="W12" i="40" s="1"/>
  <c r="V12" i="40" a="1"/>
  <c r="V12" i="40" s="1"/>
  <c r="U12" i="40" a="1"/>
  <c r="U12" i="40" s="1"/>
  <c r="T12" i="40" a="1"/>
  <c r="T12"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H18" i="39"/>
  <c r="M18" i="39"/>
  <c r="P18" i="39" s="1"/>
  <c r="K18" i="39"/>
  <c r="F18" i="39"/>
  <c r="N18" i="39"/>
  <c r="J18" i="39"/>
  <c r="G18" i="39"/>
  <c r="I18" i="39"/>
  <c r="E18" i="39"/>
  <c r="E11" i="39"/>
  <c r="K11" i="39"/>
  <c r="M11" i="39"/>
  <c r="P11" i="39" s="1"/>
  <c r="L11" i="39"/>
  <c r="I11" i="39"/>
  <c r="G11" i="39"/>
  <c r="N11" i="39"/>
  <c r="J11" i="39"/>
  <c r="C16" i="40"/>
  <c r="F11" i="39"/>
  <c r="H11" i="39"/>
  <c r="M12" i="39" l="1"/>
  <c r="P12" i="39" s="1"/>
  <c r="J12" i="39"/>
  <c r="K12" i="39"/>
  <c r="N12" i="39"/>
  <c r="E12" i="39"/>
  <c r="I12" i="39"/>
  <c r="C17" i="40"/>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29" i="40" a="1"/>
  <c r="O29" i="40" s="1"/>
  <c r="L17" i="40" a="1"/>
  <c r="L17" i="40" s="1"/>
  <c r="M17" i="40"/>
  <c r="I17" i="40" a="1"/>
  <c r="I17" i="40" s="1"/>
  <c r="G17" i="40"/>
  <c r="F17" i="40" a="1"/>
  <c r="F17" i="40" s="1"/>
  <c r="D17" i="40"/>
  <c r="O17" i="40" a="1"/>
  <c r="O17" i="40" s="1"/>
  <c r="J17" i="40"/>
  <c r="M27" i="40"/>
  <c r="N27" i="40" s="1"/>
  <c r="O27" i="40" a="1"/>
  <c r="O27" i="40" s="1"/>
  <c r="L27" i="40" a="1"/>
  <c r="L27" i="40" s="1"/>
  <c r="O16" i="40" a="1"/>
  <c r="O16" i="40" s="1"/>
  <c r="M16" i="40"/>
  <c r="F16" i="40" a="1"/>
  <c r="F16" i="40" s="1"/>
  <c r="D16" i="40"/>
  <c r="L16" i="40" a="1"/>
  <c r="L16" i="40" s="1"/>
  <c r="J16" i="40"/>
  <c r="I16" i="40" a="1"/>
  <c r="I16" i="40" s="1"/>
  <c r="G16" i="40"/>
  <c r="I19" i="40" a="1"/>
  <c r="I19" i="40" s="1"/>
  <c r="O23" i="40" a="1"/>
  <c r="O23" i="40" s="1"/>
  <c r="M23" i="40"/>
  <c r="N23" i="40" s="1"/>
  <c r="G23" i="40"/>
  <c r="H23" i="40" s="1"/>
  <c r="L23" i="40" a="1"/>
  <c r="L23" i="40" s="1"/>
  <c r="F23" i="40" a="1"/>
  <c r="F23" i="40" s="1"/>
  <c r="J23" i="40"/>
  <c r="K23" i="40" s="1"/>
  <c r="I23" i="40" a="1"/>
  <c r="I23" i="40" s="1"/>
  <c r="D23" i="40"/>
  <c r="E23" i="40" s="1"/>
  <c r="J27" i="40" l="1"/>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E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H15" i="40" l="1"/>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<sst xmlns="http://schemas.openxmlformats.org/spreadsheetml/2006/main" count="656" uniqueCount="196">
  <si>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</si>
  <si>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</si>
  <si>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</si>
  <si>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</si>
  <si>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</si>
  <si>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</si>
  <si>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</si>
  <si>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</si>
  <si>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</si>
  <si>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</si>
  <si>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</si>
  <si>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</si>
  <si>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</si>
  <si>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</si>
  <si>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</si>
  <si>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</si>
  <si>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</si>
  <si>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</si>
  <si>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</si>
  <si>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</si>
  <si>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</si>
  <si>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</si>
  <si>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</si>
  <si>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</si>
  <si>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</si>
  <si>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</si>
  <si>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</si>
  <si>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</si>
  <si>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</si>
  <si>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</si>
  <si>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</si>
  <si>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</si>
  <si>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</si>
  <si>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</si>
  <si>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</si>
  <si>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</si>
  <si>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</si>
  <si>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</si>
  <si>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</si>
  <si>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</si>
  <si>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</si>
  <si>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</si>
  <si>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</si>
  <si>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</si>
  <si>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</si>
  <si>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</si>
  <si>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</si>
  <si>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</si>
  <si>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</si>
  <si>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</si>
  <si>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</si>
  <si>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</si>
  <si>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</si>
  <si>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</si>
  <si>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</si>
  <si>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</si>
  <si>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</si>
  <si>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</si>
  <si>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</si>
  <si>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</si>
  <si>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</si>
  <si>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</si>
  <si>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</si>
  <si>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</si>
  <si>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</si>
  <si>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</si>
  <si>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</si>
  <si>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</si>
  <si>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</si>
  <si>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</si>
  <si>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</si>
  <si>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</si>
  <si>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</si>
  <si>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</si>
  <si>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</si>
  <si>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</si>
  <si>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</si>
  <si>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</si>
  <si>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</si>
  <si>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</si>
  <si>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</si>
  <si>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</si>
  <si>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</si>
  <si>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</si>
  <si>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</si>
  <si>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</si>
  <si>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</si>
  <si>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</si>
  <si>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</si>
  <si>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</si>
  <si>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</si>
  <si>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</si>
  <si>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</si>
  <si>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</si>
  <si>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</si>
  <si>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</si>
  <si>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</si>
  <si>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</si>
  <si>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</si>
  <si>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</si>
  <si>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</si>
  <si>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</si>
  <si>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</si>
  <si>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</si>
  <si>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</si>
  <si>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</si>
  <si>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</si>
  <si>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</si>
  <si>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</si>
  <si>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</si>
  <si>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</si>
  <si>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</si>
  <si>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</si>
  <si>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</si>
  <si>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</si>
  <si>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</si>
  <si>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</si>
  <si>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</si>
  <si>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</si>
  <si>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</si>
  <si>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</si>
  <si>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</si>
  <si>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</si>
  <si>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</si>
  <si>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</si>
  <si>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</si>
  <si>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</si>
  <si>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</si>
  <si>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</si>
  <si>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</si>
  <si>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</si>
  <si>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</si>
  <si>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</si>
  <si>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</si>
  <si>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</si>
  <si>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</si>
  <si>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</si>
  <si>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</si>
  <si>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</si>
  <si>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</si>
  <si>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</si>
  <si>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</si>
  <si>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</si>
  <si>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</si>
  <si>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</si>
  <si>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</si>
  <si>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</si>
  <si>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</si>
  <si>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</si>
  <si>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</si>
  <si>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</si>
  <si>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</si>
  <si>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</si>
  <si>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</si>
  <si>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</si>
  <si>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</si>
  <si>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</si>
  <si>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</si>
  <si>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</si>
  <si>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</si>
  <si>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</si>
  <si>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</si>
  <si>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</si>
  <si>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</si>
  <si>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</si>
  <si>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</si>
  <si>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</si>
  <si>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</si>
  <si>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</si>
  <si>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</si>
  <si>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</si>
  <si>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</si>
  <si>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</si>
  <si>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</si>
  <si>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</si>
  <si>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</si>
  <si>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</si>
  <si>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</si>
  <si>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</si>
  <si>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</si>
  <si>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</si>
  <si>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</si>
  <si>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</si>
  <si>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</si>
  <si>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</si>
  <si>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</si>
  <si>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</si>
  <si>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</si>
  <si>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</si>
  <si>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</si>
  <si>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</si>
  <si>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</si>
  <si>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</si>
  <si>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t>
  </si>
  <si>
    <t>Aprendiz 
de Excel</t>
  </si>
  <si>
    <t>Vídeo YouTube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</si>
</sst>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 #,##0.00\ &quot;€&quot;_-;\-* #,##0.00\ &quot;€&quot;_-;_-* &quot;-&quot;??\ &quot;€&quot;_-;_-@_-"/>
    <numFmt numFmtId="43" formatCode="_-* #,##0.00_-;\-* #,##0.00_-;_-* &quot;-&quot;??_-;_-@_-"/>
    <numFmt numFmtId="164" formatCode=";;;"/>
    <numFmt numFmtId="165" formatCode="h:mm;@"/>
    <numFmt numFmtId="166" formatCode="dd/mm/yyyy\ hh:mm"/>
    <numFmt numFmtId="167" formatCode="\+#;\-#;0"/>
    <numFmt numFmtId="168" formatCode="_-* #,##0\ &quot;€&quot;_-;\-* #,##0\ &quot;€&quot;_-;_-* &quot;-&quot;??\ &quot;€&quot;_-;_-@_-"/>
    <numFmt numFmtId="169"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3">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299">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4"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4"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5"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4" fontId="0" fillId="0" borderId="0" xfId="2" applyNumberFormat="1" applyFont="1" applyFill="1"/>
    <xf numFmtId="164"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6" fontId="0" fillId="0" borderId="0" xfId="3" applyNumberFormat="1" applyFont="1" applyAlignment="1">
      <alignment horizontal="center"/>
    </xf>
    <xf numFmtId="0" fontId="2" fillId="9" borderId="0" xfId="0" applyFont="1" applyFill="1" applyAlignment="1">
      <alignment horizontal="center"/>
    </xf>
    <xf numFmtId="166"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5"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4"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7" fontId="0" fillId="3" borderId="34" xfId="0" applyNumberFormat="1" applyFill="1" applyBorder="1" applyAlignment="1">
      <alignment horizontal="center" vertical="center"/>
    </xf>
    <xf numFmtId="164" fontId="2" fillId="9" borderId="0" xfId="2" applyNumberFormat="1" applyFont="1" applyFill="1" applyAlignment="1">
      <alignment horizontal="center"/>
    </xf>
    <xf numFmtId="164" fontId="0" fillId="3" borderId="0" xfId="2" applyNumberFormat="1" applyFont="1" applyFill="1" applyAlignment="1">
      <alignment horizontal="center"/>
    </xf>
    <xf numFmtId="164" fontId="2" fillId="3" borderId="0" xfId="2" applyNumberFormat="1" applyFont="1" applyFill="1" applyAlignment="1">
      <alignment horizontal="center" vertical="center"/>
    </xf>
    <xf numFmtId="164" fontId="17" fillId="3" borderId="0" xfId="2" applyNumberFormat="1" applyFont="1" applyFill="1"/>
    <xf numFmtId="164" fontId="16" fillId="3" borderId="0" xfId="2" applyNumberFormat="1" applyFont="1" applyFill="1"/>
    <xf numFmtId="164" fontId="18" fillId="3" borderId="0" xfId="2" applyNumberFormat="1" applyFont="1" applyFill="1"/>
    <xf numFmtId="164" fontId="0" fillId="3" borderId="0" xfId="0" applyNumberFormat="1" applyFill="1" applyAlignment="1">
      <alignment horizontal="center"/>
    </xf>
    <xf numFmtId="164" fontId="0" fillId="3" borderId="0" xfId="2" applyNumberFormat="1" applyFont="1" applyFill="1" applyAlignment="1">
      <alignment horizontal="left" indent="1"/>
    </xf>
    <xf numFmtId="164"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0" fontId="25" fillId="6" borderId="3" xfId="0" applyFont="1" applyFill="1" applyBorder="1" applyAlignment="1">
      <alignment horizontal="center" vertical="center"/>
    </xf>
    <xf numFmtId="0" fontId="31" fillId="6" borderId="0" xfId="0" applyFont="1" applyFill="1" applyAlignment="1">
      <alignment horizontal="center" vertical="center"/>
    </xf>
    <xf numFmtId="0" fontId="32" fillId="0" borderId="0" xfId="0" applyFont="1" applyAlignment="1">
      <alignment horizontal="center" vertical="center"/>
    </xf>
    <xf numFmtId="0" fontId="0" fillId="0" borderId="0" xfId="0" applyAlignment="1">
      <alignment horizontal="center"/>
    </xf>
    <xf numFmtId="0" fontId="37" fillId="6" borderId="46" xfId="0" applyFont="1" applyFill="1" applyBorder="1" applyAlignment="1">
      <alignment horizontal="center" vertical="center"/>
    </xf>
    <xf numFmtId="0" fontId="13" fillId="20" borderId="15" xfId="0" applyFont="1" applyFill="1" applyBorder="1" applyAlignment="1">
      <alignment horizontal="center" vertical="center" wrapText="1"/>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168" fontId="0" fillId="0" borderId="0" xfId="6" applyNumberFormat="1" applyFont="1"/>
    <xf numFmtId="169" fontId="38" fillId="9" borderId="35" xfId="1" applyNumberFormat="1" applyFont="1" applyFill="1" applyBorder="1" applyAlignment="1">
      <alignment horizontal="center" vertical="center" wrapText="1"/>
    </xf>
    <xf numFmtId="169" fontId="38" fillId="9" borderId="41" xfId="1" applyNumberFormat="1" applyFont="1" applyFill="1" applyBorder="1" applyAlignment="1">
      <alignment horizontal="center" vertical="center"/>
    </xf>
    <xf numFmtId="169" fontId="38" fillId="2" borderId="35" xfId="1" applyNumberFormat="1" applyFont="1" applyFill="1" applyBorder="1" applyAlignment="1">
      <alignment horizontal="center" vertical="center" wrapText="1"/>
    </xf>
    <xf numFmtId="169" fontId="38" fillId="2" borderId="41" xfId="1" applyNumberFormat="1" applyFont="1" applyFill="1" applyBorder="1" applyAlignment="1">
      <alignment horizontal="center" vertical="center"/>
    </xf>
    <xf numFmtId="169" fontId="38" fillId="2" borderId="35" xfId="1" applyNumberFormat="1" applyFont="1" applyFill="1" applyBorder="1" applyAlignment="1">
      <alignment horizontal="center" vertical="center" wrapText="1"/>
    </xf>
    <xf numFmtId="43" fontId="1" fillId="3" borderId="0" xfId="3" applyFont="1" applyFill="1" applyAlignment="1">
      <alignment horizontal="center"/>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40">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2"/>
  <sheetViews>
    <sheetView showGridLines="0" zoomScale="90" zoomScaleNormal="90" workbookViewId="0">
      <selection activeCell="G21" sqref="G21"/>
    </sheetView>
  </sheetViews>
  <sheetFormatPr baseColWidth="10" defaultRowHeight="14.25" x14ac:dyDescent="0.45"/>
  <cols>
    <col min="2" max="2" width="45" customWidth="1"/>
    <col min="3" max="3" width="8.59765625" customWidth="1"/>
    <col min="4" max="4" width="10.86328125" customWidth="1"/>
    <col min="5" max="5" width="4.265625" customWidth="1"/>
    <col min="6" max="6" width="8.59765625" customWidth="1"/>
    <col min="7" max="7" width="23.59765625" customWidth="1"/>
    <col min="8" max="8" width="8.59765625" customWidth="1"/>
    <col min="9" max="9" width="20" customWidth="1"/>
    <col min="10" max="10" width="8.73046875" customWidth="1"/>
    <col min="11" max="11" width="12" customWidth="1"/>
  </cols>
  <sheetData>
    <row r="1" spans="2:13" ht="27.75" x14ac:dyDescent="1.05">
      <c r="B1" s="261" t="s">
        <v>177</v>
      </c>
      <c r="C1" s="261"/>
      <c r="D1" s="261"/>
      <c r="E1" s="261"/>
      <c r="F1" s="261"/>
      <c r="G1" s="261"/>
      <c r="H1" s="261"/>
      <c r="I1" s="261"/>
      <c r="J1" s="261"/>
      <c r="K1" s="261"/>
      <c r="L1" s="261"/>
    </row>
    <row r="3" spans="2:13" ht="43.5" customHeight="1" x14ac:dyDescent="0.45">
      <c r="B3" s="262" t="s">
        <v>65</v>
      </c>
      <c r="C3" s="262"/>
      <c r="D3" s="262"/>
      <c r="E3" s="262"/>
      <c r="F3" s="262"/>
      <c r="G3" s="262"/>
    </row>
    <row r="4" spans="2:13" ht="14.65" thickBot="1" x14ac:dyDescent="0.5"/>
    <row r="5" spans="2:13" ht="14.65" thickBot="1" x14ac:dyDescent="0.5">
      <c r="B5" s="86"/>
      <c r="C5" s="87" t="s">
        <v>66</v>
      </c>
      <c r="D5" s="87" t="s">
        <v>67</v>
      </c>
      <c r="G5" s="263" t="s">
        <v>68</v>
      </c>
      <c r="H5" s="264"/>
      <c r="I5" s="264"/>
      <c r="J5" s="264"/>
      <c r="K5" s="264"/>
      <c r="L5" s="265"/>
    </row>
    <row r="6" spans="2:13" x14ac:dyDescent="0.45">
      <c r="B6" s="89" t="s">
        <v>69</v>
      </c>
      <c r="C6" s="90">
        <v>2</v>
      </c>
      <c r="D6" s="90">
        <f>+C6*24</f>
        <v>48</v>
      </c>
      <c r="E6" s="127"/>
      <c r="G6" s="116" t="s">
        <v>70</v>
      </c>
      <c r="H6" s="117"/>
      <c r="I6" s="116" t="s">
        <v>71</v>
      </c>
      <c r="J6" s="117"/>
      <c r="K6" s="116" t="s">
        <v>72</v>
      </c>
      <c r="L6" s="117"/>
      <c r="M6" s="88"/>
    </row>
    <row r="7" spans="2:13" x14ac:dyDescent="0.45">
      <c r="B7" s="91" t="s">
        <v>73</v>
      </c>
      <c r="C7" s="92">
        <v>1</v>
      </c>
      <c r="D7" s="92">
        <f>+D6</f>
        <v>48</v>
      </c>
      <c r="E7" s="127"/>
      <c r="G7" s="111" t="s">
        <v>74</v>
      </c>
      <c r="H7" s="93">
        <v>0.08</v>
      </c>
      <c r="I7" s="111" t="s">
        <v>74</v>
      </c>
      <c r="J7" s="93">
        <v>0.1</v>
      </c>
      <c r="K7" s="111" t="s">
        <v>74</v>
      </c>
      <c r="L7" s="93">
        <v>0.15</v>
      </c>
    </row>
    <row r="8" spans="2:13" ht="14.65" thickBot="1" x14ac:dyDescent="0.5">
      <c r="B8" s="94" t="s">
        <v>75</v>
      </c>
      <c r="C8" s="95">
        <v>2</v>
      </c>
      <c r="D8" s="95">
        <f>+D6</f>
        <v>48</v>
      </c>
      <c r="E8" s="127"/>
      <c r="G8" s="111" t="s">
        <v>76</v>
      </c>
      <c r="H8" s="93">
        <v>0.06</v>
      </c>
      <c r="I8" s="111" t="s">
        <v>76</v>
      </c>
      <c r="J8" s="93">
        <v>7.0000000000000007E-2</v>
      </c>
      <c r="K8" s="111" t="s">
        <v>76</v>
      </c>
      <c r="L8" s="93">
        <v>0.12</v>
      </c>
    </row>
    <row r="9" spans="2:13" x14ac:dyDescent="0.45">
      <c r="B9" s="96" t="s">
        <v>80</v>
      </c>
      <c r="C9" s="90">
        <f>+C6*2</f>
        <v>4</v>
      </c>
      <c r="D9" s="90">
        <f>+C9*4</f>
        <v>16</v>
      </c>
      <c r="E9" s="127"/>
      <c r="G9" s="111" t="s">
        <v>77</v>
      </c>
      <c r="H9" s="93">
        <v>0.03</v>
      </c>
      <c r="I9" s="111" t="s">
        <v>77</v>
      </c>
      <c r="J9" s="93">
        <v>0.05</v>
      </c>
      <c r="K9" s="111" t="s">
        <v>77</v>
      </c>
      <c r="L9" s="93">
        <v>7.0000000000000007E-2</v>
      </c>
    </row>
    <row r="10" spans="2:13" x14ac:dyDescent="0.45">
      <c r="B10" s="97" t="s">
        <v>82</v>
      </c>
      <c r="C10" s="92">
        <f>+C7*2</f>
        <v>2</v>
      </c>
      <c r="D10" s="92">
        <f>+D9</f>
        <v>16</v>
      </c>
      <c r="E10" s="127"/>
      <c r="G10" s="111" t="s">
        <v>78</v>
      </c>
      <c r="H10" s="93">
        <v>0.02</v>
      </c>
      <c r="I10" s="111" t="s">
        <v>78</v>
      </c>
      <c r="J10" s="93">
        <v>0.03</v>
      </c>
      <c r="K10" s="111" t="s">
        <v>78</v>
      </c>
      <c r="L10" s="93">
        <v>0.05</v>
      </c>
    </row>
    <row r="11" spans="2:13" ht="14.65" thickBot="1" x14ac:dyDescent="0.5">
      <c r="B11" s="100" t="s">
        <v>84</v>
      </c>
      <c r="C11" s="95">
        <f>+C8*2</f>
        <v>4</v>
      </c>
      <c r="D11" s="95">
        <f>+D9</f>
        <v>16</v>
      </c>
      <c r="E11" s="127"/>
      <c r="G11" s="111" t="s">
        <v>79</v>
      </c>
      <c r="H11" s="93">
        <v>0.01</v>
      </c>
      <c r="I11" s="111" t="s">
        <v>79</v>
      </c>
      <c r="J11" s="93">
        <v>0.01</v>
      </c>
      <c r="K11" s="111" t="s">
        <v>79</v>
      </c>
      <c r="L11" s="93">
        <v>0.03</v>
      </c>
    </row>
    <row r="12" spans="2:13" x14ac:dyDescent="0.45">
      <c r="B12" s="101" t="s">
        <v>85</v>
      </c>
      <c r="C12" s="90">
        <f>C9*2</f>
        <v>8</v>
      </c>
      <c r="D12" s="90">
        <f>+C12*2</f>
        <v>16</v>
      </c>
      <c r="E12" s="127"/>
      <c r="G12" s="111" t="s">
        <v>81</v>
      </c>
      <c r="H12" s="93">
        <v>0.02</v>
      </c>
      <c r="I12" s="111" t="s">
        <v>81</v>
      </c>
      <c r="J12" s="93">
        <v>0.02</v>
      </c>
      <c r="K12" s="111" t="s">
        <v>81</v>
      </c>
      <c r="L12" s="93">
        <v>0.02</v>
      </c>
    </row>
    <row r="13" spans="2:13" ht="14.65" thickBot="1" x14ac:dyDescent="0.5">
      <c r="B13" s="102" t="s">
        <v>86</v>
      </c>
      <c r="C13" s="92">
        <f>C10*2</f>
        <v>4</v>
      </c>
      <c r="D13" s="92">
        <f>+D12</f>
        <v>16</v>
      </c>
      <c r="E13" s="127"/>
      <c r="G13" s="112" t="s">
        <v>83</v>
      </c>
      <c r="H13" s="98">
        <v>0.01</v>
      </c>
      <c r="I13" s="112"/>
      <c r="J13" s="98"/>
      <c r="K13" s="112"/>
      <c r="L13" s="99"/>
    </row>
    <row r="14" spans="2:13" ht="14.65" thickBot="1" x14ac:dyDescent="0.5">
      <c r="B14" s="103" t="s">
        <v>87</v>
      </c>
      <c r="C14" s="95">
        <f>C11*2</f>
        <v>8</v>
      </c>
      <c r="D14" s="95">
        <f>+D12</f>
        <v>16</v>
      </c>
      <c r="E14" s="127"/>
      <c r="G14" s="111" t="s">
        <v>98</v>
      </c>
      <c r="H14" s="114">
        <f>SUM(H7:H12)+H13*6</f>
        <v>0.28000000000000003</v>
      </c>
      <c r="I14" s="111" t="s">
        <v>98</v>
      </c>
      <c r="J14" s="114">
        <f>SUM(J7:J12)</f>
        <v>0.28000000000000003</v>
      </c>
      <c r="K14" s="111" t="s">
        <v>98</v>
      </c>
      <c r="L14" s="114">
        <f>SUM(L7:L12)</f>
        <v>0.44000000000000006</v>
      </c>
    </row>
    <row r="15" spans="2:13" x14ac:dyDescent="0.45">
      <c r="B15" s="104" t="s">
        <v>88</v>
      </c>
      <c r="C15" s="90">
        <f>+C12*2</f>
        <v>16</v>
      </c>
      <c r="D15" s="90">
        <f>+C15*2</f>
        <v>32</v>
      </c>
      <c r="E15" s="127"/>
    </row>
    <row r="16" spans="2:13" x14ac:dyDescent="0.45">
      <c r="B16" s="105" t="s">
        <v>89</v>
      </c>
      <c r="C16" s="92">
        <f>+C13*2</f>
        <v>8</v>
      </c>
      <c r="D16" s="92">
        <f>+D15</f>
        <v>32</v>
      </c>
      <c r="E16" s="127"/>
    </row>
    <row r="17" spans="2:7" ht="14.65" thickBot="1" x14ac:dyDescent="0.5">
      <c r="B17" s="106" t="s">
        <v>90</v>
      </c>
      <c r="C17" s="95">
        <f>+C14*2</f>
        <v>16</v>
      </c>
      <c r="D17" s="95">
        <f>+D15</f>
        <v>32</v>
      </c>
      <c r="E17" s="127"/>
    </row>
    <row r="18" spans="2:7" x14ac:dyDescent="0.45">
      <c r="B18" s="253" t="s">
        <v>105</v>
      </c>
      <c r="C18" s="107">
        <v>4</v>
      </c>
      <c r="D18" s="90">
        <f>+C18*4</f>
        <v>16</v>
      </c>
      <c r="E18" s="127"/>
    </row>
    <row r="19" spans="2:7" x14ac:dyDescent="0.45">
      <c r="B19" s="254" t="s">
        <v>91</v>
      </c>
      <c r="C19" s="108">
        <v>6</v>
      </c>
      <c r="D19" s="92">
        <f>+C19*8</f>
        <v>48</v>
      </c>
      <c r="E19" s="127"/>
    </row>
    <row r="20" spans="2:7" x14ac:dyDescent="0.45">
      <c r="B20" s="254" t="s">
        <v>92</v>
      </c>
      <c r="C20" s="108">
        <v>8</v>
      </c>
      <c r="D20" s="92">
        <f>+C20*4</f>
        <v>32</v>
      </c>
      <c r="E20" s="127"/>
    </row>
    <row r="21" spans="2:7" x14ac:dyDescent="0.45">
      <c r="B21" s="254" t="s">
        <v>93</v>
      </c>
      <c r="C21" s="108">
        <v>10</v>
      </c>
      <c r="D21" s="92">
        <f>+C21*2</f>
        <v>20</v>
      </c>
      <c r="E21" s="127"/>
    </row>
    <row r="22" spans="2:7" ht="14.65" thickBot="1" x14ac:dyDescent="0.5">
      <c r="B22" s="255" t="s">
        <v>94</v>
      </c>
      <c r="C22" s="109">
        <v>25</v>
      </c>
      <c r="D22" s="95">
        <f t="shared" ref="D22" si="0">+C22</f>
        <v>25</v>
      </c>
      <c r="E22" s="127"/>
    </row>
    <row r="23" spans="2:7" x14ac:dyDescent="0.45">
      <c r="E23" s="127"/>
    </row>
    <row r="24" spans="2:7" x14ac:dyDescent="0.45">
      <c r="E24" s="127"/>
    </row>
    <row r="25" spans="2:7" x14ac:dyDescent="0.45">
      <c r="E25" s="127"/>
    </row>
    <row r="27" spans="2:7" ht="14.65" thickBot="1" x14ac:dyDescent="0.5"/>
    <row r="28" spans="2:7" ht="14.65" thickBot="1" x14ac:dyDescent="0.5">
      <c r="B28" s="113" t="s">
        <v>95</v>
      </c>
      <c r="C28" s="266" t="s">
        <v>193</v>
      </c>
      <c r="D28" s="267"/>
      <c r="E28" s="267"/>
      <c r="F28" s="267"/>
      <c r="G28" s="268"/>
    </row>
    <row r="29" spans="2:7" ht="14.65" thickBot="1" x14ac:dyDescent="0.5">
      <c r="B29" s="110"/>
    </row>
    <row r="30" spans="2:7" ht="14.65" thickBot="1" x14ac:dyDescent="0.5">
      <c r="B30" s="113" t="s">
        <v>96</v>
      </c>
      <c r="C30" s="266"/>
      <c r="D30" s="267"/>
      <c r="E30" s="267"/>
      <c r="F30" s="267"/>
      <c r="G30" s="268"/>
    </row>
    <row r="31" spans="2:7" ht="14.65" thickBot="1" x14ac:dyDescent="0.5"/>
    <row r="32" spans="2:7" ht="14.65" thickBot="1" x14ac:dyDescent="0.5">
      <c r="B32" s="113" t="s">
        <v>97</v>
      </c>
      <c r="C32" s="259"/>
      <c r="D32" s="260"/>
      <c r="F32" s="113" t="s">
        <v>176</v>
      </c>
      <c r="G32" s="243">
        <v>-4</v>
      </c>
    </row>
  </sheetData>
  <mergeCells count="6">
    <mergeCell ref="C32:D32"/>
    <mergeCell ref="B1:L1"/>
    <mergeCell ref="B3:G3"/>
    <mergeCell ref="G5:L5"/>
    <mergeCell ref="C28:G28"/>
    <mergeCell ref="C30:G30"/>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tabSelected="1" zoomScaleNormal="100" workbookViewId="0">
      <selection activeCell="H9" sqref="H9"/>
    </sheetView>
  </sheetViews>
  <sheetFormatPr baseColWidth="10" defaultColWidth="14.3984375" defaultRowHeight="15" customHeight="1" x14ac:dyDescent="0.45"/>
  <cols>
    <col min="1" max="1" width="3.59765625" style="50" customWidth="1"/>
    <col min="2" max="2" width="3.73046875" style="50" customWidth="1"/>
    <col min="3" max="3" width="7.73046875" style="50" customWidth="1"/>
    <col min="4" max="4" width="6.73046875" style="50" customWidth="1"/>
    <col min="5" max="5" width="2.59765625" style="50" customWidth="1"/>
    <col min="6" max="6" width="5.73046875" style="50" customWidth="1"/>
    <col min="7" max="7" width="19.73046875" style="50" customWidth="1"/>
    <col min="8" max="8" width="6.73046875" style="50" customWidth="1"/>
    <col min="9" max="9" width="2.73046875" style="50" customWidth="1"/>
    <col min="10" max="10" width="6.73046875" style="50" customWidth="1"/>
    <col min="11" max="11" width="19.73046875" style="50" customWidth="1"/>
    <col min="12" max="12" width="5.73046875" style="50" customWidth="1"/>
    <col min="13" max="13" width="2.59765625" style="50" customWidth="1"/>
    <col min="14" max="14" width="17.73046875" style="50" customWidth="1"/>
    <col min="15" max="15" width="2.73046875" style="50" customWidth="1"/>
    <col min="16" max="16" width="18.73046875" style="50" customWidth="1"/>
    <col min="17" max="17" width="5.73046875" style="50" customWidth="1"/>
    <col min="18" max="18" width="1.73046875" style="50" customWidth="1"/>
    <col min="19" max="25" width="4" style="50" customWidth="1"/>
    <col min="26" max="26" width="6.06640625" style="54" customWidth="1"/>
    <col min="27" max="29" width="5" style="53" customWidth="1"/>
    <col min="30" max="30" width="14.86328125" style="53" customWidth="1"/>
    <col min="31" max="37" width="5" style="53" customWidth="1"/>
    <col min="38" max="40" width="8.59765625" style="53" customWidth="1"/>
    <col min="41" max="42" width="5" style="53" customWidth="1"/>
    <col min="43" max="43" width="7.73046875" style="54" customWidth="1"/>
    <col min="44" max="44" width="14.3984375" style="54"/>
    <col min="45" max="45" width="15.06640625" style="50" customWidth="1"/>
    <col min="46" max="16384" width="14.3984375" style="50"/>
  </cols>
  <sheetData>
    <row r="1" spans="2:47" s="54" customFormat="1" ht="18" x14ac:dyDescent="0.45">
      <c r="B1" s="49"/>
      <c r="C1" s="50"/>
      <c r="D1" s="50"/>
      <c r="E1" s="50"/>
      <c r="F1" s="50"/>
      <c r="G1" s="50"/>
      <c r="H1" s="51"/>
      <c r="I1" s="51"/>
      <c r="J1" s="51"/>
      <c r="K1" s="51"/>
      <c r="L1" s="51"/>
      <c r="M1" s="51"/>
      <c r="N1" s="51"/>
      <c r="O1" s="51"/>
      <c r="P1" s="51"/>
      <c r="Q1" s="51"/>
      <c r="R1" s="51"/>
      <c r="S1" s="269"/>
      <c r="T1" s="269"/>
      <c r="U1" s="269"/>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4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ht="14.25" x14ac:dyDescent="0.4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4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4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05" customHeight="1" thickBot="1" x14ac:dyDescent="0.5">
      <c r="B6" s="183" t="s">
        <v>34</v>
      </c>
      <c r="C6" s="184" t="s">
        <v>35</v>
      </c>
      <c r="D6" s="184" t="s">
        <v>36</v>
      </c>
      <c r="E6" s="275" t="s">
        <v>37</v>
      </c>
      <c r="F6" s="271"/>
      <c r="G6" s="271"/>
      <c r="H6" s="271"/>
      <c r="I6" s="271"/>
      <c r="J6" s="271"/>
      <c r="K6" s="271"/>
      <c r="L6" s="271"/>
      <c r="M6" s="276"/>
      <c r="N6" s="185" t="s">
        <v>38</v>
      </c>
      <c r="O6" s="61"/>
      <c r="P6" s="270" t="s">
        <v>39</v>
      </c>
      <c r="Q6" s="271"/>
      <c r="R6" s="271"/>
      <c r="S6" s="272"/>
      <c r="T6" s="272"/>
      <c r="U6" s="272"/>
      <c r="V6" s="272"/>
      <c r="W6" s="272"/>
      <c r="X6" s="272"/>
      <c r="Y6" s="273"/>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4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050000000000001" customHeight="1" x14ac:dyDescent="0.4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05" customHeight="1" x14ac:dyDescent="0.45">
      <c r="B9" s="27">
        <v>1</v>
      </c>
      <c r="C9" s="28">
        <f>+VLOOKUP(B9,Aux!F:AB,4,0)</f>
        <v>45463.833333333336</v>
      </c>
      <c r="D9" s="29">
        <f>+VLOOKUP(B9,Aux!F:AB,4,0)</f>
        <v>45463.833333333336</v>
      </c>
      <c r="E9" s="169"/>
      <c r="F9" s="169" t="e" vm="1">
        <f>IFERROR(VLOOKUP(G9,Aux!$A:$C,3,0),"")</f>
        <v>#VALUE!</v>
      </c>
      <c r="G9" s="30" t="str">
        <f>+VLOOKUP(B9,Aux!F:S,5,0)</f>
        <v>Argentina</v>
      </c>
      <c r="H9" s="258"/>
      <c r="I9" s="257" t="s">
        <v>41</v>
      </c>
      <c r="J9" s="258"/>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Argentina</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050000000000001" customHeight="1" x14ac:dyDescent="0.4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05" customHeight="1" x14ac:dyDescent="0.45">
      <c r="B11" s="27">
        <v>2</v>
      </c>
      <c r="C11" s="28">
        <f>+VLOOKUP(B11,Aux!F:AB,4,0)</f>
        <v>45464.833333333336</v>
      </c>
      <c r="D11" s="29">
        <f>+VLOOKUP(B11,Aux!F:AB,4,0)</f>
        <v>45464.833333333336</v>
      </c>
      <c r="E11" s="169"/>
      <c r="F11" s="169" t="e" vm="3">
        <f>IFERROR(VLOOKUP(G11,Aux!$A:$C,3,0),"")</f>
        <v>#VALUE!</v>
      </c>
      <c r="G11" s="30" t="str">
        <f>+VLOOKUP(B11,Aux!F:S,5,0)</f>
        <v>Perú</v>
      </c>
      <c r="H11" s="258"/>
      <c r="I11" s="257" t="s">
        <v>41</v>
      </c>
      <c r="J11" s="258"/>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0</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050000000000001" customHeight="1" x14ac:dyDescent="0.4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05" customHeight="1" x14ac:dyDescent="0.4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0</v>
      </c>
      <c r="AF13" s="53">
        <f t="shared" si="1"/>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050000000000001" customHeight="1" x14ac:dyDescent="0.4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05" customHeight="1" x14ac:dyDescent="0.4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Canadá</v>
      </c>
      <c r="AE15" s="53">
        <f t="shared" si="0"/>
        <v>0</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050000000000001" customHeight="1" x14ac:dyDescent="0.4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05" customHeight="1" thickBot="1" x14ac:dyDescent="0.5">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74"/>
      <c r="Q17" s="274"/>
      <c r="R17" s="274"/>
      <c r="S17" s="274"/>
      <c r="T17" s="274"/>
      <c r="U17" s="274"/>
      <c r="V17" s="274"/>
      <c r="W17" s="274"/>
      <c r="X17" s="274"/>
      <c r="Y17" s="274"/>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050000000000001" customHeight="1" thickTop="1" x14ac:dyDescent="0.4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05" customHeight="1" x14ac:dyDescent="0.4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050000000000001" customHeight="1" x14ac:dyDescent="0.4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5">
      <c r="K22" s="292"/>
    </row>
    <row r="23" spans="2:47" ht="15" customHeight="1" x14ac:dyDescent="0.45">
      <c r="K23" s="293" t="s">
        <v>194</v>
      </c>
    </row>
    <row r="24" spans="2:47" ht="15" customHeight="1" thickBot="1" x14ac:dyDescent="0.5">
      <c r="K24" s="294"/>
    </row>
    <row r="25" spans="2:47" ht="15" customHeight="1" x14ac:dyDescent="0.45">
      <c r="K25" s="295" t="s">
        <v>195</v>
      </c>
    </row>
    <row r="26" spans="2:47" ht="15" customHeight="1" thickBot="1" x14ac:dyDescent="0.5">
      <c r="K26" s="296"/>
    </row>
  </sheetData>
  <mergeCells count="6">
    <mergeCell ref="K25:K26"/>
    <mergeCell ref="S1:U1"/>
    <mergeCell ref="P6:Y6"/>
    <mergeCell ref="P17:Y17"/>
    <mergeCell ref="E6:M6"/>
    <mergeCell ref="K23:K24"/>
  </mergeCells>
  <conditionalFormatting sqref="H9 H11 H13 H15 H17 H19">
    <cfRule type="expression" dxfId="139" priority="3">
      <formula>#REF!="P"</formula>
    </cfRule>
    <cfRule type="expression" dxfId="138" priority="4">
      <formula>#REF!="E"</formula>
    </cfRule>
    <cfRule type="expression" dxfId="137" priority="5">
      <formula>#REF!="G"</formula>
    </cfRule>
  </conditionalFormatting>
  <conditionalFormatting sqref="J9 J11 J13 J15 J17 J19">
    <cfRule type="expression" dxfId="136" priority="6">
      <formula>#REF!="P"</formula>
    </cfRule>
    <cfRule type="expression" dxfId="135" priority="7">
      <formula>#REF!="E"</formula>
    </cfRule>
    <cfRule type="expression" dxfId="134" priority="8">
      <formula>#REF!="G"</formula>
    </cfRule>
  </conditionalFormatting>
  <conditionalFormatting sqref="K22:K27">
    <cfRule type="expression" dxfId="133" priority="1">
      <formula>$L22&lt;&gt;""</formula>
    </cfRule>
    <cfRule type="expression" dxfId="132"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H9" sqref="H9"/>
    </sheetView>
  </sheetViews>
  <sheetFormatPr baseColWidth="10" defaultColWidth="14.3984375" defaultRowHeight="15" customHeight="1" x14ac:dyDescent="0.45"/>
  <cols>
    <col min="1" max="1" width="3.59765625" style="50" customWidth="1"/>
    <col min="2" max="2" width="3.73046875" style="50" customWidth="1"/>
    <col min="3" max="3" width="7.73046875" style="50" customWidth="1"/>
    <col min="4" max="4" width="6.73046875" style="50" customWidth="1"/>
    <col min="5" max="5" width="2.59765625" style="50" customWidth="1"/>
    <col min="6" max="6" width="5.73046875" style="50" customWidth="1"/>
    <col min="7" max="7" width="19.73046875" style="50" customWidth="1"/>
    <col min="8" max="8" width="6.73046875" style="50" customWidth="1"/>
    <col min="9" max="9" width="2.73046875" style="50" customWidth="1"/>
    <col min="10" max="10" width="6.73046875" style="50" customWidth="1"/>
    <col min="11" max="11" width="19.73046875" style="50" customWidth="1"/>
    <col min="12" max="12" width="5.73046875" style="50" customWidth="1"/>
    <col min="13" max="13" width="2.59765625" style="50" customWidth="1"/>
    <col min="14" max="14" width="17.73046875" style="50" customWidth="1"/>
    <col min="15" max="15" width="2.73046875" style="50" customWidth="1"/>
    <col min="16" max="16" width="18.73046875" style="50" customWidth="1"/>
    <col min="17" max="17" width="5.73046875" style="50" customWidth="1"/>
    <col min="18" max="18" width="1.73046875" style="50" customWidth="1"/>
    <col min="19" max="25" width="4" style="50" customWidth="1"/>
    <col min="26" max="26" width="6.06640625" style="54" customWidth="1"/>
    <col min="27" max="29" width="5" style="53" customWidth="1"/>
    <col min="30" max="30" width="14.86328125" style="53" customWidth="1"/>
    <col min="31" max="37" width="5" style="53" customWidth="1"/>
    <col min="38" max="40" width="8.59765625" style="53" customWidth="1"/>
    <col min="41" max="42" width="5" style="53" customWidth="1"/>
    <col min="43" max="43" width="7.73046875" style="54" customWidth="1"/>
    <col min="44" max="44" width="14.3984375" style="54"/>
    <col min="45" max="45" width="15.06640625" style="50" customWidth="1"/>
    <col min="46" max="16384" width="14.3984375" style="50"/>
  </cols>
  <sheetData>
    <row r="1" spans="2:47" s="54" customFormat="1" ht="18" x14ac:dyDescent="0.45">
      <c r="B1" s="49"/>
      <c r="C1" s="50"/>
      <c r="D1" s="50"/>
      <c r="E1" s="50"/>
      <c r="F1" s="50"/>
      <c r="G1" s="50"/>
      <c r="H1" s="51"/>
      <c r="I1" s="51"/>
      <c r="J1" s="51"/>
      <c r="K1" s="51"/>
      <c r="L1" s="51"/>
      <c r="M1" s="51"/>
      <c r="N1" s="51"/>
      <c r="O1" s="51"/>
      <c r="P1" s="51"/>
      <c r="Q1" s="51"/>
      <c r="R1" s="51"/>
      <c r="S1" s="269"/>
      <c r="T1" s="269"/>
      <c r="U1" s="269"/>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4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ht="14.25" x14ac:dyDescent="0.4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4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4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05" customHeight="1" thickBot="1" x14ac:dyDescent="0.5">
      <c r="B6" s="183" t="s">
        <v>34</v>
      </c>
      <c r="C6" s="184" t="s">
        <v>35</v>
      </c>
      <c r="D6" s="184" t="s">
        <v>36</v>
      </c>
      <c r="E6" s="275" t="s">
        <v>37</v>
      </c>
      <c r="F6" s="271"/>
      <c r="G6" s="271"/>
      <c r="H6" s="271"/>
      <c r="I6" s="271"/>
      <c r="J6" s="271"/>
      <c r="K6" s="271"/>
      <c r="L6" s="271"/>
      <c r="M6" s="276"/>
      <c r="N6" s="185" t="s">
        <v>38</v>
      </c>
      <c r="O6" s="61"/>
      <c r="P6" s="270" t="s">
        <v>39</v>
      </c>
      <c r="Q6" s="271"/>
      <c r="R6" s="271"/>
      <c r="S6" s="272"/>
      <c r="T6" s="272"/>
      <c r="U6" s="272"/>
      <c r="V6" s="272"/>
      <c r="W6" s="272"/>
      <c r="X6" s="272"/>
      <c r="Y6" s="273"/>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4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050000000000001" customHeight="1" x14ac:dyDescent="0.4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05" customHeight="1" x14ac:dyDescent="0.45">
      <c r="B9" s="27">
        <v>3</v>
      </c>
      <c r="C9" s="28">
        <f>+VLOOKUP(B9,Aux!F:AB,4,0)</f>
        <v>45465.75</v>
      </c>
      <c r="D9" s="29">
        <f>+VLOOKUP(B9,Aux!F:AB,4,0)</f>
        <v>45465.75</v>
      </c>
      <c r="E9" s="169"/>
      <c r="F9" s="169" t="e" vm="5">
        <f>IFERROR(VLOOKUP(G9,Aux!$A:$C,3,0),"")</f>
        <v>#VALUE!</v>
      </c>
      <c r="G9" s="30" t="str">
        <f>+VLOOKUP(B9,Aux!F:S,5,0)</f>
        <v>Ecuador</v>
      </c>
      <c r="H9" s="258"/>
      <c r="I9" s="257" t="s">
        <v>41</v>
      </c>
      <c r="J9" s="258"/>
      <c r="K9" s="38" t="str">
        <f>+VLOOKUP(B9,Aux!F:S,6,0)</f>
        <v>Venezuela</v>
      </c>
      <c r="L9" s="169" t="e" vm="6">
        <f>IFERROR(VLOOKUP(K9,Aux!$A:$C,3,0),"")</f>
        <v>#VALUE!</v>
      </c>
      <c r="M9" s="38"/>
      <c r="N9" s="46" t="str">
        <f>+_xlfn.XLOOKUP(B9,Aux!F:F,Aux!L:L)</f>
        <v>Levi's® Stadium - SANTA CLARA, CA</v>
      </c>
      <c r="O9"/>
      <c r="P9" s="156" t="str">
        <f>+INDEX($AD$9:$AD$16,MATCH(1,$AO$9:$AO$15,0))</f>
        <v>México</v>
      </c>
      <c r="Q9" s="157" t="e" vm="7">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México</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050000000000001" customHeight="1" x14ac:dyDescent="0.4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05" customHeight="1" x14ac:dyDescent="0.45">
      <c r="B11" s="27">
        <v>4</v>
      </c>
      <c r="C11" s="28">
        <f>+VLOOKUP(B11,Aux!F:AB,4,0)</f>
        <v>45465.875000000007</v>
      </c>
      <c r="D11" s="29">
        <f>+VLOOKUP(B11,Aux!F:AB,4,0)</f>
        <v>45465.875000000007</v>
      </c>
      <c r="E11" s="169"/>
      <c r="F11" s="169" t="e" vm="7">
        <f>IFERROR(VLOOKUP(G11,Aux!$A:$C,3,0),"")</f>
        <v>#VALUE!</v>
      </c>
      <c r="G11" s="30" t="str">
        <f>+VLOOKUP(B11,Aux!F:S,5,0)</f>
        <v>México</v>
      </c>
      <c r="H11" s="258"/>
      <c r="I11" s="257" t="s">
        <v>41</v>
      </c>
      <c r="J11" s="258"/>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Ecuador</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050000000000001" customHeight="1" x14ac:dyDescent="0.4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05" customHeight="1" x14ac:dyDescent="0.4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Venezuela</v>
      </c>
      <c r="Q13" s="157" t="e" vm="6">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Venezuela</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050000000000001" customHeight="1" x14ac:dyDescent="0.4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05" customHeight="1" x14ac:dyDescent="0.4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Jamaica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050000000000001" customHeight="1" x14ac:dyDescent="0.4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05" customHeight="1" thickBot="1" x14ac:dyDescent="0.5">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74"/>
      <c r="Q17" s="274"/>
      <c r="R17" s="274"/>
      <c r="S17" s="274"/>
      <c r="T17" s="274"/>
      <c r="U17" s="274"/>
      <c r="V17" s="274"/>
      <c r="W17" s="274"/>
      <c r="X17" s="274"/>
      <c r="Y17" s="274"/>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050000000000001" customHeight="1" thickTop="1" x14ac:dyDescent="0.4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05" customHeight="1" x14ac:dyDescent="0.4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050000000000001" customHeight="1" x14ac:dyDescent="0.4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5">
      <c r="K22" s="292"/>
    </row>
    <row r="23" spans="2:47" ht="15" customHeight="1" x14ac:dyDescent="0.45">
      <c r="K23" s="293" t="s">
        <v>194</v>
      </c>
    </row>
    <row r="24" spans="2:47" ht="15" customHeight="1" thickBot="1" x14ac:dyDescent="0.5">
      <c r="K24" s="294"/>
    </row>
    <row r="25" spans="2:47" ht="15" customHeight="1" x14ac:dyDescent="0.45">
      <c r="K25" s="295" t="s">
        <v>195</v>
      </c>
    </row>
    <row r="26" spans="2:47" ht="15" customHeight="1" thickBot="1" x14ac:dyDescent="0.5">
      <c r="K26" s="296"/>
    </row>
  </sheetData>
  <mergeCells count="6">
    <mergeCell ref="K25:K26"/>
    <mergeCell ref="S1:U1"/>
    <mergeCell ref="E6:M6"/>
    <mergeCell ref="P6:Y6"/>
    <mergeCell ref="P17:Y17"/>
    <mergeCell ref="K23:K24"/>
  </mergeCells>
  <conditionalFormatting sqref="H9 H11 H13 H15 H17 H19">
    <cfRule type="expression" dxfId="131" priority="3">
      <formula>#REF!="P"</formula>
    </cfRule>
    <cfRule type="expression" dxfId="130" priority="4">
      <formula>#REF!="E"</formula>
    </cfRule>
    <cfRule type="expression" dxfId="129" priority="5">
      <formula>#REF!="G"</formula>
    </cfRule>
  </conditionalFormatting>
  <conditionalFormatting sqref="J9 J11 J13 J15 J17 J19">
    <cfRule type="expression" dxfId="128" priority="6">
      <formula>#REF!="P"</formula>
    </cfRule>
    <cfRule type="expression" dxfId="127" priority="7">
      <formula>#REF!="E"</formula>
    </cfRule>
    <cfRule type="expression" dxfId="126" priority="8">
      <formula>#REF!="G"</formula>
    </cfRule>
  </conditionalFormatting>
  <conditionalFormatting sqref="K22:K27">
    <cfRule type="expression" dxfId="125" priority="1">
      <formula>$L22&lt;&gt;""</formula>
    </cfRule>
    <cfRule type="expression" dxfId="124"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3984375" defaultRowHeight="15" customHeight="1" x14ac:dyDescent="0.45"/>
  <cols>
    <col min="1" max="1" width="3.59765625" style="50" customWidth="1"/>
    <col min="2" max="2" width="3.73046875" style="50" customWidth="1"/>
    <col min="3" max="3" width="7.73046875" style="50" customWidth="1"/>
    <col min="4" max="4" width="6.73046875" style="50" customWidth="1"/>
    <col min="5" max="5" width="2.59765625" style="50" customWidth="1"/>
    <col min="6" max="6" width="5.73046875" style="50" customWidth="1"/>
    <col min="7" max="7" width="19.73046875" style="50" customWidth="1"/>
    <col min="8" max="8" width="6.73046875" style="50" customWidth="1"/>
    <col min="9" max="9" width="2.73046875" style="50" customWidth="1"/>
    <col min="10" max="10" width="6.73046875" style="50" customWidth="1"/>
    <col min="11" max="11" width="19.73046875" style="50" customWidth="1"/>
    <col min="12" max="12" width="5.73046875" style="50" customWidth="1"/>
    <col min="13" max="13" width="2.59765625" style="50" customWidth="1"/>
    <col min="14" max="14" width="17.73046875" style="50" customWidth="1"/>
    <col min="15" max="15" width="2.73046875" style="50" customWidth="1"/>
    <col min="16" max="16" width="18.73046875" style="50" customWidth="1"/>
    <col min="17" max="17" width="5.73046875" style="50" customWidth="1"/>
    <col min="18" max="18" width="1.73046875" style="50" customWidth="1"/>
    <col min="19" max="25" width="4" style="50" customWidth="1"/>
    <col min="26" max="26" width="6.06640625" style="54" customWidth="1"/>
    <col min="27" max="29" width="5" style="53" customWidth="1"/>
    <col min="30" max="30" width="14.86328125" style="53" customWidth="1"/>
    <col min="31" max="37" width="5" style="53" customWidth="1"/>
    <col min="38" max="40" width="8.59765625" style="53" customWidth="1"/>
    <col min="41" max="42" width="5" style="53" customWidth="1"/>
    <col min="43" max="43" width="7.73046875" style="54" customWidth="1"/>
    <col min="44" max="44" width="14.3984375" style="54"/>
    <col min="45" max="45" width="15.06640625" style="50" customWidth="1"/>
    <col min="46" max="16384" width="14.3984375" style="50"/>
  </cols>
  <sheetData>
    <row r="1" spans="2:47" s="54" customFormat="1" ht="18" x14ac:dyDescent="0.45">
      <c r="B1" s="49"/>
      <c r="C1" s="50"/>
      <c r="D1" s="50"/>
      <c r="E1" s="50"/>
      <c r="F1" s="50"/>
      <c r="G1" s="50"/>
      <c r="H1" s="51"/>
      <c r="I1" s="51"/>
      <c r="J1" s="51"/>
      <c r="K1" s="51"/>
      <c r="L1" s="51"/>
      <c r="M1" s="51"/>
      <c r="N1" s="51"/>
      <c r="O1" s="51"/>
      <c r="P1" s="51"/>
      <c r="Q1" s="51"/>
      <c r="R1" s="51"/>
      <c r="S1" s="269"/>
      <c r="T1" s="269"/>
      <c r="U1" s="269"/>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4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ht="14.25" x14ac:dyDescent="0.4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4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4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05" customHeight="1" thickBot="1" x14ac:dyDescent="0.5">
      <c r="B6" s="183" t="s">
        <v>34</v>
      </c>
      <c r="C6" s="184" t="s">
        <v>35</v>
      </c>
      <c r="D6" s="184" t="s">
        <v>36</v>
      </c>
      <c r="E6" s="275" t="s">
        <v>37</v>
      </c>
      <c r="F6" s="271"/>
      <c r="G6" s="271"/>
      <c r="H6" s="271"/>
      <c r="I6" s="271"/>
      <c r="J6" s="271"/>
      <c r="K6" s="271"/>
      <c r="L6" s="271"/>
      <c r="M6" s="276"/>
      <c r="N6" s="185" t="s">
        <v>38</v>
      </c>
      <c r="O6" s="61"/>
      <c r="P6" s="270" t="s">
        <v>39</v>
      </c>
      <c r="Q6" s="271"/>
      <c r="R6" s="271"/>
      <c r="S6" s="272"/>
      <c r="T6" s="272"/>
      <c r="U6" s="272"/>
      <c r="V6" s="272"/>
      <c r="W6" s="272"/>
      <c r="X6" s="272"/>
      <c r="Y6" s="273"/>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4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050000000000001" customHeight="1" x14ac:dyDescent="0.4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05" customHeight="1" x14ac:dyDescent="0.45">
      <c r="B9" s="27">
        <v>5</v>
      </c>
      <c r="C9" s="28">
        <f>+VLOOKUP(B9,Aux!F:AB,4,0)</f>
        <v>45466.750000000007</v>
      </c>
      <c r="D9" s="29">
        <f>+VLOOKUP(B9,Aux!F:AB,4,0)</f>
        <v>45466.750000000007</v>
      </c>
      <c r="E9" s="169"/>
      <c r="F9" s="169" t="e" vm="9">
        <f>IFERROR(VLOOKUP(G9,Aux!$A:$C,3,0),"")</f>
        <v>#VALUE!</v>
      </c>
      <c r="G9" s="30" t="str">
        <f>+VLOOKUP(B9,Aux!F:S,5,0)</f>
        <v>Estados Unidos</v>
      </c>
      <c r="H9" s="258"/>
      <c r="I9" s="257" t="s">
        <v>41</v>
      </c>
      <c r="J9" s="258"/>
      <c r="K9" s="38" t="str">
        <f>+VLOOKUP(B9,Aux!F:S,6,0)</f>
        <v>Bolivia</v>
      </c>
      <c r="L9" s="169" t="e" vm="10">
        <f>IFERROR(VLOOKUP(K9,Aux!$A:$C,3,0),"")</f>
        <v>#VALUE!</v>
      </c>
      <c r="M9" s="38"/>
      <c r="N9" s="46" t="str">
        <f>+_xlfn.XLOOKUP(B9,Aux!F:F,Aux!L:L)</f>
        <v>AT&amp;T Stadium - ARLINGTON, TX</v>
      </c>
      <c r="O9"/>
      <c r="P9" s="156" t="str">
        <f>+INDEX($AD$9:$AD$16,MATCH(1,$AO$9:$AO$15,0))</f>
        <v>Estados Unidos</v>
      </c>
      <c r="Q9" s="157" t="e" vm="9">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Estados Unidos</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050000000000001" customHeight="1" x14ac:dyDescent="0.4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05" customHeight="1" x14ac:dyDescent="0.45">
      <c r="B11" s="27">
        <v>6</v>
      </c>
      <c r="C11" s="28">
        <f>+VLOOKUP(B11,Aux!F:AB,4,0)</f>
        <v>45466.875</v>
      </c>
      <c r="D11" s="29">
        <f>+VLOOKUP(B11,Aux!F:AB,4,0)</f>
        <v>45466.875</v>
      </c>
      <c r="E11" s="169"/>
      <c r="F11" s="169" t="e" vm="11">
        <f>IFERROR(VLOOKUP(G11,Aux!$A:$C,3,0),"")</f>
        <v>#VALUE!</v>
      </c>
      <c r="G11" s="30" t="str">
        <f>+VLOOKUP(B11,Aux!F:S,5,0)</f>
        <v>Uruguay</v>
      </c>
      <c r="H11" s="258"/>
      <c r="I11" s="257" t="s">
        <v>41</v>
      </c>
      <c r="J11" s="258"/>
      <c r="K11" s="38" t="str">
        <f>+VLOOKUP(B11,Aux!F:S,6,0)</f>
        <v>Panamá</v>
      </c>
      <c r="L11" s="169" t="e" vm="12">
        <f>IFERROR(VLOOKUP(K11,Aux!$A:$C,3,0),"")</f>
        <v>#VALUE!</v>
      </c>
      <c r="M11" s="38"/>
      <c r="N11" s="46" t="str">
        <f>+_xlfn.XLOOKUP(B11,Aux!F:F,Aux!L:L)</f>
        <v>Hard Rock Stadium - MIAMI, FL</v>
      </c>
      <c r="O11"/>
      <c r="P11" s="156" t="str">
        <f>+INDEX($AD$9:$AD$16,MATCH(2,$AO$9:$AO$15,0))</f>
        <v>Uruguay</v>
      </c>
      <c r="Q11" s="157" t="e" vm="11">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Uruguay</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050000000000001" customHeight="1" x14ac:dyDescent="0.4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05" customHeight="1" x14ac:dyDescent="0.4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Panamá</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050000000000001" customHeight="1" x14ac:dyDescent="0.4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05" customHeight="1" x14ac:dyDescent="0.4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Bolivia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050000000000001" customHeight="1" x14ac:dyDescent="0.4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05" customHeight="1" thickBot="1" x14ac:dyDescent="0.5">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74"/>
      <c r="Q17" s="274"/>
      <c r="R17" s="274"/>
      <c r="S17" s="274"/>
      <c r="T17" s="274"/>
      <c r="U17" s="274"/>
      <c r="V17" s="274"/>
      <c r="W17" s="274"/>
      <c r="X17" s="274"/>
      <c r="Y17" s="274"/>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050000000000001" customHeight="1" thickTop="1" x14ac:dyDescent="0.4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05" customHeight="1" x14ac:dyDescent="0.4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050000000000001" customHeight="1" x14ac:dyDescent="0.4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5">
      <c r="K22" s="292"/>
    </row>
    <row r="23" spans="2:47" ht="15" customHeight="1" x14ac:dyDescent="0.45">
      <c r="K23" s="293" t="s">
        <v>194</v>
      </c>
    </row>
    <row r="24" spans="2:47" ht="15" customHeight="1" thickBot="1" x14ac:dyDescent="0.5">
      <c r="K24" s="294"/>
    </row>
    <row r="25" spans="2:47" ht="15" customHeight="1" x14ac:dyDescent="0.45">
      <c r="K25" s="295" t="s">
        <v>195</v>
      </c>
    </row>
    <row r="26" spans="2:47" ht="15" customHeight="1" thickBot="1" x14ac:dyDescent="0.5">
      <c r="K26" s="296"/>
    </row>
  </sheetData>
  <mergeCells count="6">
    <mergeCell ref="K25:K26"/>
    <mergeCell ref="S1:U1"/>
    <mergeCell ref="E6:M6"/>
    <mergeCell ref="P6:Y6"/>
    <mergeCell ref="P17:Y17"/>
    <mergeCell ref="K23:K24"/>
  </mergeCells>
  <conditionalFormatting sqref="H9 H11 H13 H15 H17 H19">
    <cfRule type="expression" dxfId="123" priority="3">
      <formula>#REF!="P"</formula>
    </cfRule>
    <cfRule type="expression" dxfId="122" priority="4">
      <formula>#REF!="E"</formula>
    </cfRule>
    <cfRule type="expression" dxfId="121" priority="5">
      <formula>#REF!="G"</formula>
    </cfRule>
  </conditionalFormatting>
  <conditionalFormatting sqref="J9 J11 J13 J15 J17 J19">
    <cfRule type="expression" dxfId="120" priority="6">
      <formula>#REF!="P"</formula>
    </cfRule>
    <cfRule type="expression" dxfId="119" priority="7">
      <formula>#REF!="E"</formula>
    </cfRule>
    <cfRule type="expression" dxfId="118" priority="8">
      <formula>#REF!="G"</formula>
    </cfRule>
  </conditionalFormatting>
  <conditionalFormatting sqref="K22:K27">
    <cfRule type="expression" dxfId="117" priority="1">
      <formula>$L22&lt;&gt;""</formula>
    </cfRule>
    <cfRule type="expression" dxfId="116"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H9" sqref="H9"/>
    </sheetView>
  </sheetViews>
  <sheetFormatPr baseColWidth="10" defaultColWidth="14.3984375" defaultRowHeight="15" customHeight="1" x14ac:dyDescent="0.45"/>
  <cols>
    <col min="1" max="1" width="3.59765625" style="50" customWidth="1"/>
    <col min="2" max="2" width="3.73046875" style="50" customWidth="1"/>
    <col min="3" max="3" width="7.73046875" style="50" customWidth="1"/>
    <col min="4" max="4" width="6.73046875" style="50" customWidth="1"/>
    <col min="5" max="5" width="2.59765625" style="50" customWidth="1"/>
    <col min="6" max="6" width="5.73046875" style="50" customWidth="1"/>
    <col min="7" max="7" width="19.73046875" style="50" customWidth="1"/>
    <col min="8" max="8" width="6.73046875" style="50" customWidth="1"/>
    <col min="9" max="9" width="2.73046875" style="50" customWidth="1"/>
    <col min="10" max="10" width="6.73046875" style="50" customWidth="1"/>
    <col min="11" max="11" width="19.73046875" style="50" customWidth="1"/>
    <col min="12" max="12" width="5.73046875" style="50" customWidth="1"/>
    <col min="13" max="13" width="2.59765625" style="50" customWidth="1"/>
    <col min="14" max="14" width="17.73046875" style="50" customWidth="1"/>
    <col min="15" max="15" width="2.73046875" style="50" customWidth="1"/>
    <col min="16" max="16" width="18.73046875" style="50" customWidth="1"/>
    <col min="17" max="17" width="5.73046875" style="50" customWidth="1"/>
    <col min="18" max="18" width="1.73046875" style="50" customWidth="1"/>
    <col min="19" max="25" width="4" style="50" customWidth="1"/>
    <col min="26" max="26" width="6.06640625" style="54" customWidth="1"/>
    <col min="27" max="29" width="5" style="53" customWidth="1"/>
    <col min="30" max="30" width="14.86328125" style="53" customWidth="1"/>
    <col min="31" max="37" width="5" style="53" customWidth="1"/>
    <col min="38" max="40" width="8.59765625" style="53" customWidth="1"/>
    <col min="41" max="42" width="5" style="53" customWidth="1"/>
    <col min="43" max="43" width="7.73046875" style="54" customWidth="1"/>
    <col min="44" max="44" width="14.3984375" style="54"/>
    <col min="45" max="45" width="15.06640625" style="50" customWidth="1"/>
    <col min="46" max="16384" width="14.3984375" style="50"/>
  </cols>
  <sheetData>
    <row r="1" spans="2:47" s="54" customFormat="1" ht="18" x14ac:dyDescent="0.45">
      <c r="B1" s="49"/>
      <c r="C1" s="50"/>
      <c r="D1" s="50"/>
      <c r="E1" s="50"/>
      <c r="F1" s="50"/>
      <c r="G1" s="50"/>
      <c r="H1" s="51"/>
      <c r="I1" s="51"/>
      <c r="J1" s="51"/>
      <c r="K1" s="51"/>
      <c r="L1" s="51"/>
      <c r="M1" s="51"/>
      <c r="N1" s="51"/>
      <c r="O1" s="51"/>
      <c r="P1" s="51"/>
      <c r="Q1" s="51"/>
      <c r="R1" s="51"/>
      <c r="S1" s="269"/>
      <c r="T1" s="269"/>
      <c r="U1" s="269"/>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4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ht="14.25" x14ac:dyDescent="0.4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4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4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05" customHeight="1" thickBot="1" x14ac:dyDescent="0.5">
      <c r="B6" s="183" t="s">
        <v>34</v>
      </c>
      <c r="C6" s="184" t="s">
        <v>35</v>
      </c>
      <c r="D6" s="184" t="s">
        <v>36</v>
      </c>
      <c r="E6" s="275" t="s">
        <v>37</v>
      </c>
      <c r="F6" s="271"/>
      <c r="G6" s="271"/>
      <c r="H6" s="271"/>
      <c r="I6" s="271"/>
      <c r="J6" s="271"/>
      <c r="K6" s="271"/>
      <c r="L6" s="271"/>
      <c r="M6" s="276"/>
      <c r="N6" s="185" t="s">
        <v>38</v>
      </c>
      <c r="O6" s="61"/>
      <c r="P6" s="270" t="s">
        <v>39</v>
      </c>
      <c r="Q6" s="271"/>
      <c r="R6" s="271"/>
      <c r="S6" s="272"/>
      <c r="T6" s="272"/>
      <c r="U6" s="272"/>
      <c r="V6" s="272"/>
      <c r="W6" s="272"/>
      <c r="X6" s="272"/>
      <c r="Y6" s="273"/>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4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050000000000001" customHeight="1" x14ac:dyDescent="0.4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05" customHeight="1" x14ac:dyDescent="0.45">
      <c r="B9" s="27">
        <v>7</v>
      </c>
      <c r="C9" s="28">
        <f>+VLOOKUP(B9,Aux!F:AB,4,0)</f>
        <v>45467.750000000007</v>
      </c>
      <c r="D9" s="29">
        <f>+VLOOKUP(B9,Aux!F:AB,4,0)</f>
        <v>45467.750000000007</v>
      </c>
      <c r="E9" s="169"/>
      <c r="F9" s="169" t="e" vm="13">
        <f>IFERROR(VLOOKUP(G9,Aux!$A:$C,3,0),"")</f>
        <v>#VALUE!</v>
      </c>
      <c r="G9" s="30" t="str">
        <f>+VLOOKUP(B9,Aux!F:S,5,0)</f>
        <v>Colombia</v>
      </c>
      <c r="H9" s="258"/>
      <c r="I9" s="257" t="s">
        <v>41</v>
      </c>
      <c r="J9" s="258"/>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Brasil</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050000000000001" customHeight="1" x14ac:dyDescent="0.4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05" customHeight="1" x14ac:dyDescent="0.45">
      <c r="B11" s="27">
        <v>8</v>
      </c>
      <c r="C11" s="28">
        <f>+VLOOKUP(B11,Aux!F:AB,4,0)</f>
        <v>45467.875</v>
      </c>
      <c r="D11" s="29">
        <f>+VLOOKUP(B11,Aux!F:AB,4,0)</f>
        <v>45467.875</v>
      </c>
      <c r="E11" s="169"/>
      <c r="F11" s="169" t="e" vm="15">
        <f>IFERROR(VLOOKUP(G11,Aux!$A:$C,3,0),"")</f>
        <v>#VALUE!</v>
      </c>
      <c r="G11" s="30" t="str">
        <f>+VLOOKUP(B11,Aux!F:S,5,0)</f>
        <v>Brasil</v>
      </c>
      <c r="H11" s="258"/>
      <c r="I11" s="257" t="s">
        <v>41</v>
      </c>
      <c r="J11" s="258"/>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050000000000001" customHeight="1" x14ac:dyDescent="0.4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05" customHeight="1" x14ac:dyDescent="0.4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050000000000001" customHeight="1" x14ac:dyDescent="0.4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05" customHeight="1" x14ac:dyDescent="0.4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Costa Rica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050000000000001" customHeight="1" x14ac:dyDescent="0.4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05" customHeight="1" thickBot="1" x14ac:dyDescent="0.5">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74"/>
      <c r="Q17" s="274"/>
      <c r="R17" s="274"/>
      <c r="S17" s="274"/>
      <c r="T17" s="274"/>
      <c r="U17" s="274"/>
      <c r="V17" s="274"/>
      <c r="W17" s="274"/>
      <c r="X17" s="274"/>
      <c r="Y17" s="274"/>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050000000000001" customHeight="1" thickTop="1" x14ac:dyDescent="0.4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05" customHeight="1" x14ac:dyDescent="0.4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050000000000001" customHeight="1" x14ac:dyDescent="0.4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5">
      <c r="K22" s="292"/>
    </row>
    <row r="23" spans="2:47" ht="15" customHeight="1" x14ac:dyDescent="0.45">
      <c r="K23" s="293" t="s">
        <v>194</v>
      </c>
    </row>
    <row r="24" spans="2:47" ht="15" customHeight="1" thickBot="1" x14ac:dyDescent="0.5">
      <c r="K24" s="294"/>
    </row>
    <row r="25" spans="2:47" ht="15" customHeight="1" x14ac:dyDescent="0.45">
      <c r="K25" s="295" t="s">
        <v>195</v>
      </c>
    </row>
    <row r="26" spans="2:47" ht="15" customHeight="1" thickBot="1" x14ac:dyDescent="0.5">
      <c r="K26" s="296"/>
    </row>
  </sheetData>
  <mergeCells count="6">
    <mergeCell ref="K25:K26"/>
    <mergeCell ref="S1:U1"/>
    <mergeCell ref="E6:M6"/>
    <mergeCell ref="P6:Y6"/>
    <mergeCell ref="P17:Y17"/>
    <mergeCell ref="K23:K24"/>
  </mergeCells>
  <conditionalFormatting sqref="H9 H11 H13 H15 H17 H19">
    <cfRule type="expression" dxfId="115" priority="3">
      <formula>#REF!="P"</formula>
    </cfRule>
    <cfRule type="expression" dxfId="114" priority="4">
      <formula>#REF!="E"</formula>
    </cfRule>
    <cfRule type="expression" dxfId="113" priority="5">
      <formula>#REF!="G"</formula>
    </cfRule>
  </conditionalFormatting>
  <conditionalFormatting sqref="J9 J11 J13 J15 J17 J19">
    <cfRule type="expression" dxfId="112" priority="6">
      <formula>#REF!="P"</formula>
    </cfRule>
    <cfRule type="expression" dxfId="111" priority="7">
      <formula>#REF!="E"</formula>
    </cfRule>
    <cfRule type="expression" dxfId="110" priority="8">
      <formula>#REF!="G"</formula>
    </cfRule>
  </conditionalFormatting>
  <conditionalFormatting sqref="K22:K27">
    <cfRule type="expression" dxfId="109" priority="1">
      <formula>$L22&lt;&gt;""</formula>
    </cfRule>
    <cfRule type="expression" dxfId="108"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J9" sqref="J9"/>
    </sheetView>
  </sheetViews>
  <sheetFormatPr baseColWidth="10" defaultColWidth="14.3984375" defaultRowHeight="15" customHeight="1" x14ac:dyDescent="0.45"/>
  <cols>
    <col min="1" max="2" width="4.265625" style="82" customWidth="1"/>
    <col min="3" max="3" width="3.73046875" customWidth="1"/>
    <col min="4" max="4" width="7.73046875" customWidth="1"/>
    <col min="5" max="5" width="6.73046875" customWidth="1"/>
    <col min="6" max="6" width="2.59765625" customWidth="1"/>
    <col min="7" max="7" width="5.73046875" customWidth="1"/>
    <col min="8" max="8" width="19.73046875" customWidth="1"/>
    <col min="9" max="9" width="2" customWidth="1"/>
    <col min="10" max="10" width="6.73046875" customWidth="1"/>
    <col min="11" max="11" width="2.73046875" customWidth="1"/>
    <col min="12" max="12" width="6.73046875" customWidth="1"/>
    <col min="13" max="13" width="2" customWidth="1"/>
    <col min="14" max="14" width="19.73046875" customWidth="1"/>
    <col min="15" max="15" width="5.73046875" customWidth="1"/>
    <col min="16" max="16" width="2.59765625" customWidth="1"/>
    <col min="17" max="17" width="37.59765625" customWidth="1"/>
    <col min="18" max="18" width="0.86328125" customWidth="1"/>
    <col min="19" max="19" width="19.59765625" customWidth="1"/>
    <col min="20" max="27" width="12.73046875" customWidth="1"/>
  </cols>
  <sheetData>
    <row r="7" spans="1:19" ht="18" customHeight="1" x14ac:dyDescent="0.45">
      <c r="C7" s="73" t="s">
        <v>34</v>
      </c>
      <c r="D7" s="74" t="s">
        <v>35</v>
      </c>
      <c r="E7" s="74" t="s">
        <v>36</v>
      </c>
      <c r="F7" s="179"/>
      <c r="G7" s="179"/>
      <c r="H7" s="277" t="s">
        <v>61</v>
      </c>
      <c r="I7" s="277"/>
      <c r="J7" s="277"/>
      <c r="K7" s="277"/>
      <c r="L7" s="277"/>
      <c r="M7" s="277"/>
      <c r="N7" s="277"/>
      <c r="O7" s="177"/>
      <c r="P7" s="177"/>
      <c r="Q7" s="75" t="s">
        <v>38</v>
      </c>
      <c r="S7" s="76" t="s">
        <v>49</v>
      </c>
    </row>
    <row r="8" spans="1:19" ht="15" customHeight="1" thickBot="1" x14ac:dyDescent="0.5">
      <c r="C8" s="5"/>
      <c r="D8" s="69"/>
      <c r="E8" s="70"/>
      <c r="F8" s="6"/>
      <c r="G8" s="6"/>
      <c r="H8" s="6"/>
      <c r="I8" s="6"/>
      <c r="J8" s="6"/>
      <c r="K8" s="6"/>
      <c r="L8" s="6"/>
      <c r="M8" s="6"/>
      <c r="N8" s="6"/>
      <c r="O8" s="6"/>
      <c r="P8" s="6"/>
      <c r="Q8" s="5"/>
    </row>
    <row r="9" spans="1:19" ht="15" customHeight="1" thickBot="1" x14ac:dyDescent="0.5">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45">
      <c r="C10" s="15"/>
      <c r="D10" s="19"/>
      <c r="E10" s="20"/>
      <c r="F10" s="181"/>
      <c r="G10" s="181"/>
      <c r="H10" s="21" t="s">
        <v>51</v>
      </c>
      <c r="I10" s="6"/>
      <c r="J10" s="9"/>
      <c r="K10" s="22" t="s">
        <v>41</v>
      </c>
      <c r="L10" s="9"/>
      <c r="M10" s="23"/>
      <c r="N10" s="23"/>
      <c r="O10" s="23"/>
      <c r="P10" s="23"/>
      <c r="Q10" s="175"/>
      <c r="S10" s="24"/>
    </row>
    <row r="11" spans="1:19" ht="15" customHeight="1" thickBot="1" x14ac:dyDescent="0.5">
      <c r="C11" s="15"/>
      <c r="D11" s="19"/>
      <c r="E11" s="20"/>
      <c r="F11" s="181"/>
      <c r="G11" s="181"/>
      <c r="H11" s="23"/>
      <c r="I11" s="6"/>
      <c r="J11" s="6"/>
      <c r="K11" s="8"/>
      <c r="L11" s="6"/>
      <c r="M11" s="6"/>
      <c r="N11" s="23"/>
      <c r="O11" s="23"/>
      <c r="P11" s="23"/>
      <c r="Q11" s="175"/>
      <c r="S11" s="24"/>
    </row>
    <row r="12" spans="1:19" ht="15" customHeight="1" thickBot="1" x14ac:dyDescent="0.5">
      <c r="A12" s="171" t="s">
        <v>54</v>
      </c>
      <c r="B12" s="171" t="s">
        <v>55</v>
      </c>
      <c r="C12" s="15">
        <f>C9+1</f>
        <v>26</v>
      </c>
      <c r="D12" s="71">
        <f>+VLOOKUP(C12,Aux!F:Z,4,0)</f>
        <v>45478.875000000007</v>
      </c>
      <c r="E12" s="72">
        <f>+VLOOKUP(C12,Aux!F:Z,4,0)</f>
        <v>45478.875000000007</v>
      </c>
      <c r="F12" s="180"/>
      <c r="G12" s="180" t="e" vm="7">
        <f ca="1">IFERROR(VLOOKUP(H12,Aux!$A:$C,3,0),"")</f>
        <v>#VALUE!</v>
      </c>
      <c r="H12" s="7" t="str" cm="1">
        <f t="array" aca="1" ref="H12" ca="1">INDIRECT(RIGHT(A12,1)&amp;"!P"&amp;7+LEFT(A12,1)*2)</f>
        <v>México</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45">
      <c r="C13" s="15"/>
      <c r="D13" s="19"/>
      <c r="E13" s="20"/>
      <c r="F13" s="181"/>
      <c r="G13" s="181"/>
      <c r="H13" s="21" t="s">
        <v>51</v>
      </c>
      <c r="I13" s="6"/>
      <c r="J13" s="9"/>
      <c r="K13" s="22" t="s">
        <v>41</v>
      </c>
      <c r="L13" s="9"/>
      <c r="M13" s="23"/>
      <c r="N13" s="23"/>
      <c r="O13" s="23"/>
      <c r="P13" s="23"/>
      <c r="Q13" s="175"/>
      <c r="S13" s="24"/>
    </row>
    <row r="14" spans="1:19" ht="15" customHeight="1" thickBot="1" x14ac:dyDescent="0.5">
      <c r="C14" s="15"/>
      <c r="D14" s="19"/>
      <c r="E14" s="20"/>
      <c r="F14" s="181"/>
      <c r="G14" s="181"/>
      <c r="H14" s="23"/>
      <c r="I14" s="6"/>
      <c r="J14" s="6"/>
      <c r="K14" s="8"/>
      <c r="L14" s="6"/>
      <c r="M14" s="6"/>
      <c r="N14" s="23"/>
      <c r="O14" s="23"/>
      <c r="P14" s="23"/>
      <c r="Q14" s="175"/>
      <c r="S14" s="24"/>
    </row>
    <row r="15" spans="1:19" ht="15" customHeight="1" thickBot="1" x14ac:dyDescent="0.5">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c r="K15" s="8" t="s">
        <v>41</v>
      </c>
      <c r="L15" s="16"/>
      <c r="M15" s="6"/>
      <c r="N15" s="17" t="str" cm="1">
        <f t="array" aca="1" ref="N15" ca="1">INDIRECT(RIGHT(B15,1)&amp;"!P"&amp;7+LEFT(B15,1)*2)</f>
        <v>Uruguay</v>
      </c>
      <c r="O15" s="180" t="e" vm="11">
        <f ca="1">IFERROR(VLOOKUP(N15,Aux!$A:$C,3,0),"")</f>
        <v>#VALUE!</v>
      </c>
      <c r="P15" s="17"/>
      <c r="Q15" s="175" t="str">
        <f>+VLOOKUP(C15,Aux!F:L,7,0)</f>
        <v>Allegiant Stadium - LAS VEGAS, NV</v>
      </c>
      <c r="S15" s="18" t="str">
        <f>IF(OR(J15="",L15=""),"",IF(J15&gt;L15,H15,IF(J15&lt;L15,N15,IF(OR(J16="",L16=""),"",IF(J16&gt;L16,H15,N15)))))</f>
        <v/>
      </c>
    </row>
    <row r="16" spans="1:19" ht="15" customHeight="1" x14ac:dyDescent="0.45">
      <c r="C16" s="15"/>
      <c r="D16" s="19"/>
      <c r="E16" s="20"/>
      <c r="F16" s="181"/>
      <c r="G16" s="181"/>
      <c r="H16" s="21" t="s">
        <v>51</v>
      </c>
      <c r="I16" s="6"/>
      <c r="J16" s="9"/>
      <c r="K16" s="22" t="s">
        <v>41</v>
      </c>
      <c r="L16" s="9"/>
      <c r="M16" s="23"/>
      <c r="N16" s="23"/>
      <c r="O16" s="23"/>
      <c r="P16" s="23"/>
      <c r="Q16" s="175"/>
      <c r="S16" s="24"/>
    </row>
    <row r="17" spans="1:19" ht="15" customHeight="1" thickBot="1" x14ac:dyDescent="0.5">
      <c r="C17" s="15"/>
      <c r="D17" s="19"/>
      <c r="E17" s="20"/>
      <c r="F17" s="181"/>
      <c r="G17" s="181"/>
      <c r="H17" s="23"/>
      <c r="I17" s="6"/>
      <c r="J17" s="6"/>
      <c r="K17" s="8"/>
      <c r="L17" s="6"/>
      <c r="M17" s="6"/>
      <c r="N17" s="23"/>
      <c r="O17" s="23"/>
      <c r="P17" s="23"/>
      <c r="Q17" s="175"/>
      <c r="S17" s="24"/>
    </row>
    <row r="18" spans="1:19" ht="15" customHeight="1" thickBot="1" x14ac:dyDescent="0.5">
      <c r="A18" s="171" t="s">
        <v>52</v>
      </c>
      <c r="B18" s="171" t="s">
        <v>53</v>
      </c>
      <c r="C18" s="15">
        <f>+C15+1</f>
        <v>28</v>
      </c>
      <c r="D18" s="71">
        <f>+VLOOKUP(C18,Aux!F:Z,4,0)</f>
        <v>45480.875</v>
      </c>
      <c r="E18" s="72">
        <f>+VLOOKUP(C18,Aux!F:Z,4,0)</f>
        <v>45480.875</v>
      </c>
      <c r="F18" s="180"/>
      <c r="G18" s="180" t="e" vm="9">
        <f ca="1">IFERROR(VLOOKUP(H18,Aux!$A:$C,3,0),"")</f>
        <v>#VALUE!</v>
      </c>
      <c r="H18" s="7" t="str" cm="1">
        <f t="array" aca="1" ref="H18" ca="1">INDIRECT(RIGHT(A18,1)&amp;"!P"&amp;7+LEFT(A18,1)*2)</f>
        <v>Estados Unidos</v>
      </c>
      <c r="I18" s="25"/>
      <c r="J18" s="16"/>
      <c r="K18" s="8" t="s">
        <v>41</v>
      </c>
      <c r="L18" s="16"/>
      <c r="M18" s="6"/>
      <c r="N18" s="17" t="str" cm="1">
        <f t="array" aca="1" ref="N18" ca="1">INDIRECT(RIGHT(B18,1)&amp;"!P"&amp;7+LEFT(B18,1)*2)</f>
        <v>Colombia</v>
      </c>
      <c r="O18" s="180" t="e" vm="13">
        <f ca="1">IFERROR(VLOOKUP(N18,Aux!$A:$C,3,0),"")</f>
        <v>#VALUE!</v>
      </c>
      <c r="P18" s="17"/>
      <c r="Q18" s="175" t="str">
        <f>+VLOOKUP(C18,Aux!F:L,7,0)</f>
        <v>State Farm Stadium - GLENDALE, AZ</v>
      </c>
      <c r="S18" s="18" t="str">
        <f>IF(OR(J18="",L18=""),"",IF(J18&gt;L18,H18,IF(J18&lt;L18,N18,IF(OR(J19="",L19=""),"",IF(J19&gt;L19,H18,N18)))))</f>
        <v/>
      </c>
    </row>
    <row r="19" spans="1:19" ht="15" customHeight="1" x14ac:dyDescent="0.45">
      <c r="C19" s="15"/>
      <c r="D19" s="19"/>
      <c r="E19" s="20"/>
      <c r="F19" s="181"/>
      <c r="G19" s="181"/>
      <c r="H19" s="21" t="s">
        <v>51</v>
      </c>
      <c r="I19" s="6"/>
      <c r="J19" s="9"/>
      <c r="K19" s="22" t="s">
        <v>41</v>
      </c>
      <c r="L19" s="9"/>
      <c r="M19" s="23"/>
      <c r="N19" s="23"/>
      <c r="O19" s="23"/>
      <c r="P19" s="23"/>
      <c r="Q19" s="182"/>
      <c r="S19" s="24"/>
    </row>
    <row r="20" spans="1:19" ht="15" customHeight="1" x14ac:dyDescent="0.45">
      <c r="C20" s="11"/>
      <c r="D20" s="12"/>
      <c r="E20" s="13"/>
      <c r="F20" s="14"/>
      <c r="G20" s="14"/>
      <c r="H20" s="14"/>
      <c r="I20" s="14"/>
      <c r="J20" s="14"/>
      <c r="K20" s="26"/>
      <c r="L20" s="14"/>
      <c r="M20" s="14"/>
      <c r="N20" s="14"/>
      <c r="O20" s="14"/>
      <c r="P20" s="14"/>
      <c r="Q20" s="11"/>
    </row>
    <row r="22" spans="1:19" ht="15" customHeight="1" thickBot="1" x14ac:dyDescent="0.5">
      <c r="S22" s="292"/>
    </row>
    <row r="23" spans="1:19" ht="15" customHeight="1" x14ac:dyDescent="0.45">
      <c r="S23" s="293" t="s">
        <v>194</v>
      </c>
    </row>
    <row r="24" spans="1:19" ht="15" customHeight="1" thickBot="1" x14ac:dyDescent="0.5">
      <c r="S24" s="294"/>
    </row>
    <row r="25" spans="1:19" ht="15" customHeight="1" x14ac:dyDescent="0.45">
      <c r="S25" s="295" t="s">
        <v>195</v>
      </c>
    </row>
    <row r="26" spans="1:19" ht="15" customHeight="1" thickBot="1" x14ac:dyDescent="0.5">
      <c r="S26" s="296"/>
    </row>
    <row r="27" spans="1:19" ht="15" customHeight="1" x14ac:dyDescent="0.45">
      <c r="S27" s="50"/>
    </row>
  </sheetData>
  <mergeCells count="3">
    <mergeCell ref="H7:N7"/>
    <mergeCell ref="S23:S24"/>
    <mergeCell ref="S25:S26"/>
  </mergeCells>
  <conditionalFormatting sqref="H10">
    <cfRule type="expression" dxfId="107" priority="19">
      <formula>IF(OR($J9="",$J9&lt;&gt;$L9),1,0)</formula>
    </cfRule>
  </conditionalFormatting>
  <conditionalFormatting sqref="H13">
    <cfRule type="expression" dxfId="106" priority="15">
      <formula>IF(OR($J12="",$J12&lt;&gt;$L12),1,0)</formula>
    </cfRule>
  </conditionalFormatting>
  <conditionalFormatting sqref="H16">
    <cfRule type="expression" dxfId="105" priority="11">
      <formula>IF(OR($J15="",$J15&lt;&gt;$L15),1,0)</formula>
    </cfRule>
  </conditionalFormatting>
  <conditionalFormatting sqref="H19">
    <cfRule type="expression" dxfId="104" priority="7">
      <formula>IF(OR($J18="",$J18&lt;&gt;$L18),1,0)</formula>
    </cfRule>
  </conditionalFormatting>
  <conditionalFormatting sqref="J9 J12 J15 J18">
    <cfRule type="expression" dxfId="103" priority="23">
      <formula>#REF!="P"</formula>
    </cfRule>
    <cfRule type="expression" dxfId="102" priority="24">
      <formula>#REF!="E"</formula>
    </cfRule>
    <cfRule type="expression" dxfId="101" priority="25">
      <formula>#REF!="G"</formula>
    </cfRule>
  </conditionalFormatting>
  <conditionalFormatting sqref="J10">
    <cfRule type="expression" dxfId="100" priority="22">
      <formula>IF(AND($J9&lt;&gt;"",$J9=$L9),1,0)</formula>
    </cfRule>
  </conditionalFormatting>
  <conditionalFormatting sqref="J13">
    <cfRule type="expression" dxfId="99" priority="18">
      <formula>IF(AND($J12&lt;&gt;"",$J12=$L12),1,0)</formula>
    </cfRule>
  </conditionalFormatting>
  <conditionalFormatting sqref="J16">
    <cfRule type="expression" dxfId="98" priority="14">
      <formula>IF(AND($J15&lt;&gt;"",$J15=$L15),1,0)</formula>
    </cfRule>
  </conditionalFormatting>
  <conditionalFormatting sqref="J19">
    <cfRule type="expression" dxfId="97" priority="10">
      <formula>IF(AND($J18&lt;&gt;"",$J18=$L18),1,0)</formula>
    </cfRule>
  </conditionalFormatting>
  <conditionalFormatting sqref="J10:L10">
    <cfRule type="expression" dxfId="96" priority="20">
      <formula>IF(OR($J9="",$J9&lt;&gt;$L9),1,0)</formula>
    </cfRule>
  </conditionalFormatting>
  <conditionalFormatting sqref="J13:L13">
    <cfRule type="expression" dxfId="95" priority="16">
      <formula>IF(OR($J12="",$J12&lt;&gt;$L12),1,0)</formula>
    </cfRule>
  </conditionalFormatting>
  <conditionalFormatting sqref="J16:L16">
    <cfRule type="expression" dxfId="94" priority="12">
      <formula>IF(OR($J15="",$J15&lt;&gt;$L15),1,0)</formula>
    </cfRule>
  </conditionalFormatting>
  <conditionalFormatting sqref="J19:L19">
    <cfRule type="expression" dxfId="93" priority="8">
      <formula>IF(OR($J18="",$J18&lt;&gt;$L18),1,0)</formula>
    </cfRule>
  </conditionalFormatting>
  <conditionalFormatting sqref="L9 L12 L15 L18">
    <cfRule type="expression" dxfId="92" priority="26">
      <formula>M9="P"</formula>
    </cfRule>
    <cfRule type="expression" dxfId="91" priority="27">
      <formula>M9="E"</formula>
    </cfRule>
    <cfRule type="expression" dxfId="90" priority="28">
      <formula>M9="G"</formula>
    </cfRule>
  </conditionalFormatting>
  <conditionalFormatting sqref="L10">
    <cfRule type="expression" dxfId="89" priority="21">
      <formula>IF(AND($J9&lt;&gt;"",$J9=$L9),1,0)</formula>
    </cfRule>
  </conditionalFormatting>
  <conditionalFormatting sqref="L13">
    <cfRule type="expression" dxfId="88" priority="17">
      <formula>IF(AND($J12&lt;&gt;"",$J12=$L12),1,0)</formula>
    </cfRule>
  </conditionalFormatting>
  <conditionalFormatting sqref="L16">
    <cfRule type="expression" dxfId="87" priority="13">
      <formula>IF(AND($J15&lt;&gt;"",$J15=$L15),1,0)</formula>
    </cfRule>
  </conditionalFormatting>
  <conditionalFormatting sqref="L19">
    <cfRule type="expression" dxfId="86" priority="9">
      <formula>IF(AND($J18&lt;&gt;"",$J18=$L18),1,0)</formula>
    </cfRule>
  </conditionalFormatting>
  <conditionalFormatting sqref="S9">
    <cfRule type="cellIs" dxfId="85" priority="6" operator="equal">
      <formula>"Suma los penales"</formula>
    </cfRule>
  </conditionalFormatting>
  <conditionalFormatting sqref="S12">
    <cfRule type="cellIs" dxfId="84" priority="5" operator="equal">
      <formula>"Suma los penales"</formula>
    </cfRule>
  </conditionalFormatting>
  <conditionalFormatting sqref="S15">
    <cfRule type="cellIs" dxfId="83" priority="4" operator="equal">
      <formula>"Suma los penales"</formula>
    </cfRule>
  </conditionalFormatting>
  <conditionalFormatting sqref="S18">
    <cfRule type="cellIs" dxfId="82" priority="3" operator="equal">
      <formula>"Suma los penales"</formula>
    </cfRule>
  </conditionalFormatting>
  <conditionalFormatting sqref="S22:S27">
    <cfRule type="expression" dxfId="81" priority="1">
      <formula>$L22&lt;&gt;""</formula>
    </cfRule>
    <cfRule type="expression" dxfId="80"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3984375" defaultRowHeight="15" customHeight="1" x14ac:dyDescent="0.45"/>
  <cols>
    <col min="1" max="2" width="4.265625" style="82" customWidth="1"/>
    <col min="3" max="3" width="3.73046875" customWidth="1"/>
    <col min="4" max="4" width="7.73046875" customWidth="1"/>
    <col min="5" max="5" width="6.73046875" customWidth="1"/>
    <col min="6" max="6" width="2.59765625" customWidth="1"/>
    <col min="7" max="7" width="5.73046875" customWidth="1"/>
    <col min="8" max="8" width="19.73046875" customWidth="1"/>
    <col min="9" max="9" width="2" customWidth="1"/>
    <col min="10" max="10" width="6.73046875" customWidth="1"/>
    <col min="11" max="11" width="2.73046875" customWidth="1"/>
    <col min="12" max="12" width="6.73046875" customWidth="1"/>
    <col min="13" max="13" width="2" customWidth="1"/>
    <col min="14" max="14" width="19.73046875" customWidth="1"/>
    <col min="15" max="15" width="5.73046875" customWidth="1"/>
    <col min="16" max="16" width="2.59765625" customWidth="1"/>
    <col min="17" max="17" width="37.59765625" customWidth="1"/>
    <col min="18" max="18" width="0.86328125" customWidth="1"/>
    <col min="19" max="19" width="19.59765625" customWidth="1"/>
    <col min="20" max="27" width="12.73046875" customWidth="1"/>
  </cols>
  <sheetData>
    <row r="7" spans="3:19" ht="18" customHeight="1" x14ac:dyDescent="0.45">
      <c r="C7" s="73" t="s">
        <v>34</v>
      </c>
      <c r="D7" s="74" t="s">
        <v>35</v>
      </c>
      <c r="E7" s="74" t="s">
        <v>36</v>
      </c>
      <c r="F7" s="179"/>
      <c r="G7" s="179"/>
      <c r="H7" s="277" t="s">
        <v>62</v>
      </c>
      <c r="I7" s="277"/>
      <c r="J7" s="277"/>
      <c r="K7" s="277"/>
      <c r="L7" s="277"/>
      <c r="M7" s="277"/>
      <c r="N7" s="277"/>
      <c r="O7" s="177"/>
      <c r="P7" s="177"/>
      <c r="Q7" s="75" t="s">
        <v>38</v>
      </c>
      <c r="S7" s="76" t="s">
        <v>49</v>
      </c>
    </row>
    <row r="8" spans="3:19" ht="15" customHeight="1" thickBot="1" x14ac:dyDescent="0.5">
      <c r="C8" s="5"/>
      <c r="D8" s="69"/>
      <c r="E8" s="70"/>
      <c r="F8" s="6"/>
      <c r="G8" s="6"/>
      <c r="H8" s="6"/>
      <c r="I8" s="6"/>
      <c r="J8" s="6"/>
      <c r="K8" s="6"/>
      <c r="L8" s="6"/>
      <c r="M8" s="6"/>
      <c r="N8" s="6"/>
      <c r="O8" s="6"/>
      <c r="P8" s="6"/>
      <c r="Q8" s="5"/>
    </row>
    <row r="9" spans="3:19" ht="15" customHeight="1" thickBot="1" x14ac:dyDescent="0.5">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45">
      <c r="C10" s="15"/>
      <c r="D10" s="19"/>
      <c r="E10" s="20"/>
      <c r="F10" s="181"/>
      <c r="G10" s="181"/>
      <c r="H10" s="21" t="s">
        <v>51</v>
      </c>
      <c r="I10" s="6"/>
      <c r="J10" s="9"/>
      <c r="K10" s="22" t="s">
        <v>41</v>
      </c>
      <c r="L10" s="9"/>
      <c r="M10" s="23"/>
      <c r="N10" s="23"/>
      <c r="O10" s="23"/>
      <c r="P10" s="23"/>
      <c r="Q10" s="175"/>
      <c r="S10" s="24"/>
    </row>
    <row r="11" spans="3:19" ht="15" customHeight="1" thickBot="1" x14ac:dyDescent="0.5">
      <c r="C11" s="15"/>
      <c r="D11" s="19"/>
      <c r="E11" s="20"/>
      <c r="F11" s="181"/>
      <c r="G11" s="181"/>
      <c r="H11" s="23"/>
      <c r="I11" s="6"/>
      <c r="J11" s="6"/>
      <c r="K11" s="8"/>
      <c r="L11" s="6"/>
      <c r="M11" s="6"/>
      <c r="N11" s="23"/>
      <c r="O11" s="23"/>
      <c r="P11" s="23"/>
      <c r="Q11" s="175"/>
      <c r="S11" s="24"/>
    </row>
    <row r="12" spans="3:19" ht="15" customHeight="1" thickBot="1" x14ac:dyDescent="0.5">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45">
      <c r="C13" s="15"/>
      <c r="D13" s="19"/>
      <c r="E13" s="20"/>
      <c r="F13" s="181"/>
      <c r="G13" s="181"/>
      <c r="H13" s="21" t="s">
        <v>51</v>
      </c>
      <c r="I13" s="6"/>
      <c r="J13" s="9"/>
      <c r="K13" s="22" t="s">
        <v>41</v>
      </c>
      <c r="L13" s="9"/>
      <c r="M13" s="23"/>
      <c r="N13" s="23"/>
      <c r="O13" s="23"/>
      <c r="P13" s="23"/>
      <c r="Q13" s="10"/>
      <c r="S13" s="24"/>
    </row>
    <row r="14" spans="3:19" ht="15" customHeight="1" x14ac:dyDescent="0.45">
      <c r="C14" s="11"/>
      <c r="D14" s="12"/>
      <c r="E14" s="13"/>
      <c r="F14" s="14"/>
      <c r="G14" s="14"/>
      <c r="H14" s="14"/>
      <c r="I14" s="14"/>
      <c r="J14" s="14"/>
      <c r="K14" s="26"/>
      <c r="L14" s="14"/>
      <c r="M14" s="14"/>
      <c r="N14" s="14"/>
      <c r="O14" s="14"/>
      <c r="P14" s="14"/>
      <c r="Q14" s="11"/>
    </row>
    <row r="16" spans="3:19" ht="15" customHeight="1" thickBot="1" x14ac:dyDescent="0.5">
      <c r="S16" s="292"/>
    </row>
    <row r="17" spans="19:19" ht="15" customHeight="1" x14ac:dyDescent="0.45">
      <c r="S17" s="293" t="s">
        <v>194</v>
      </c>
    </row>
    <row r="18" spans="19:19" ht="15" customHeight="1" thickBot="1" x14ac:dyDescent="0.5">
      <c r="S18" s="294"/>
    </row>
    <row r="19" spans="19:19" ht="15" customHeight="1" x14ac:dyDescent="0.45">
      <c r="S19" s="295" t="s">
        <v>195</v>
      </c>
    </row>
    <row r="20" spans="19:19" ht="15" customHeight="1" thickBot="1" x14ac:dyDescent="0.5">
      <c r="S20" s="296"/>
    </row>
    <row r="21" spans="19:19" ht="15" customHeight="1" x14ac:dyDescent="0.45">
      <c r="S21" s="50"/>
    </row>
  </sheetData>
  <mergeCells count="3">
    <mergeCell ref="H7:N7"/>
    <mergeCell ref="S17:S18"/>
    <mergeCell ref="S19:S20"/>
  </mergeCells>
  <conditionalFormatting sqref="H10">
    <cfRule type="expression" dxfId="79" priority="9">
      <formula>IF(OR($J9="",$J9&lt;&gt;$L9),1,0)</formula>
    </cfRule>
  </conditionalFormatting>
  <conditionalFormatting sqref="H13">
    <cfRule type="expression" dxfId="78" priority="5">
      <formula>IF(OR($J12="",$J12&lt;&gt;$L12),1,0)</formula>
    </cfRule>
  </conditionalFormatting>
  <conditionalFormatting sqref="J9 J12">
    <cfRule type="expression" dxfId="77" priority="13">
      <formula>#REF!="P"</formula>
    </cfRule>
    <cfRule type="expression" dxfId="76" priority="14">
      <formula>#REF!="E"</formula>
    </cfRule>
    <cfRule type="expression" dxfId="75" priority="15">
      <formula>#REF!="G"</formula>
    </cfRule>
  </conditionalFormatting>
  <conditionalFormatting sqref="J10">
    <cfRule type="expression" dxfId="74" priority="12">
      <formula>IF(AND($J9&lt;&gt;"",$J9=$L9),1,0)</formula>
    </cfRule>
  </conditionalFormatting>
  <conditionalFormatting sqref="J13">
    <cfRule type="expression" dxfId="73" priority="8">
      <formula>IF(AND($J12&lt;&gt;"",$J12=$L12),1,0)</formula>
    </cfRule>
  </conditionalFormatting>
  <conditionalFormatting sqref="J10:L10">
    <cfRule type="expression" dxfId="72" priority="10">
      <formula>IF(OR($J9="",$J9&lt;&gt;$L9),1,0)</formula>
    </cfRule>
  </conditionalFormatting>
  <conditionalFormatting sqref="J13:L13">
    <cfRule type="expression" dxfId="71" priority="6">
      <formula>IF(OR($J12="",$J12&lt;&gt;$L12),1,0)</formula>
    </cfRule>
  </conditionalFormatting>
  <conditionalFormatting sqref="L9 L12">
    <cfRule type="expression" dxfId="70" priority="16">
      <formula>M9="P"</formula>
    </cfRule>
    <cfRule type="expression" dxfId="69" priority="17">
      <formula>M9="E"</formula>
    </cfRule>
    <cfRule type="expression" dxfId="68" priority="18">
      <formula>M9="G"</formula>
    </cfRule>
  </conditionalFormatting>
  <conditionalFormatting sqref="L10">
    <cfRule type="expression" dxfId="67" priority="11">
      <formula>IF(AND($J9&lt;&gt;"",$J9=$L9),1,0)</formula>
    </cfRule>
  </conditionalFormatting>
  <conditionalFormatting sqref="L13">
    <cfRule type="expression" dxfId="66" priority="7">
      <formula>IF(AND($J12&lt;&gt;"",$J12=$L12),1,0)</formula>
    </cfRule>
  </conditionalFormatting>
  <conditionalFormatting sqref="S9">
    <cfRule type="cellIs" dxfId="65" priority="4" operator="equal">
      <formula>"Suma los penales"</formula>
    </cfRule>
  </conditionalFormatting>
  <conditionalFormatting sqref="S12">
    <cfRule type="cellIs" dxfId="64" priority="3" operator="equal">
      <formula>"Suma los penales"</formula>
    </cfRule>
  </conditionalFormatting>
  <conditionalFormatting sqref="S16:S21">
    <cfRule type="expression" dxfId="63" priority="1">
      <formula>$L16&lt;&gt;""</formula>
    </cfRule>
    <cfRule type="expression" dxfId="62"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3984375" defaultRowHeight="15" customHeight="1" x14ac:dyDescent="0.45"/>
  <cols>
    <col min="1" max="2" width="4.265625" style="82" customWidth="1"/>
    <col min="3" max="3" width="3.73046875" customWidth="1"/>
    <col min="4" max="4" width="7.73046875" customWidth="1"/>
    <col min="5" max="5" width="6.73046875" customWidth="1"/>
    <col min="6" max="6" width="2.59765625" customWidth="1"/>
    <col min="7" max="7" width="5.73046875" customWidth="1"/>
    <col min="8" max="8" width="19.73046875" customWidth="1"/>
    <col min="9" max="9" width="2" customWidth="1"/>
    <col min="10" max="10" width="6.73046875" customWidth="1"/>
    <col min="11" max="11" width="2.73046875" customWidth="1"/>
    <col min="12" max="12" width="6.73046875" customWidth="1"/>
    <col min="13" max="13" width="2" customWidth="1"/>
    <col min="14" max="14" width="19.73046875" customWidth="1"/>
    <col min="15" max="15" width="5.73046875" customWidth="1"/>
    <col min="16" max="16" width="2.59765625" customWidth="1"/>
    <col min="17" max="17" width="37.59765625" customWidth="1"/>
    <col min="18" max="18" width="0.86328125" customWidth="1"/>
    <col min="19" max="19" width="19.59765625" customWidth="1"/>
    <col min="20" max="27" width="12.73046875" customWidth="1"/>
  </cols>
  <sheetData>
    <row r="7" spans="3:17" ht="18" customHeight="1" x14ac:dyDescent="0.45">
      <c r="C7" s="73" t="s">
        <v>34</v>
      </c>
      <c r="D7" s="74" t="s">
        <v>35</v>
      </c>
      <c r="E7" s="74" t="s">
        <v>36</v>
      </c>
      <c r="F7" s="179"/>
      <c r="G7" s="179"/>
      <c r="H7" s="277" t="s">
        <v>166</v>
      </c>
      <c r="I7" s="277"/>
      <c r="J7" s="277"/>
      <c r="K7" s="277"/>
      <c r="L7" s="277"/>
      <c r="M7" s="277"/>
      <c r="N7" s="277"/>
      <c r="O7" s="177"/>
      <c r="P7" s="177"/>
      <c r="Q7" s="75" t="s">
        <v>38</v>
      </c>
    </row>
    <row r="8" spans="3:17" ht="15" customHeight="1" x14ac:dyDescent="0.45">
      <c r="C8" s="5"/>
      <c r="D8" s="69"/>
      <c r="E8" s="70"/>
      <c r="F8" s="6"/>
      <c r="G8" s="6"/>
      <c r="H8" s="6"/>
      <c r="I8" s="6"/>
      <c r="J8" s="6"/>
      <c r="K8" s="6"/>
      <c r="L8" s="6"/>
      <c r="M8" s="6"/>
      <c r="N8" s="6"/>
      <c r="O8" s="6"/>
      <c r="P8" s="6"/>
      <c r="Q8" s="5"/>
    </row>
    <row r="9" spans="3:17" ht="15" customHeight="1" x14ac:dyDescent="0.4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45">
      <c r="C10" s="15"/>
      <c r="D10" s="19"/>
      <c r="E10" s="20"/>
      <c r="F10" s="181"/>
      <c r="G10" s="181"/>
      <c r="H10" s="21" t="s">
        <v>51</v>
      </c>
      <c r="I10" s="6"/>
      <c r="J10" s="9"/>
      <c r="K10" s="22" t="s">
        <v>41</v>
      </c>
      <c r="L10" s="9"/>
      <c r="M10" s="23"/>
      <c r="N10" s="23"/>
      <c r="O10" s="23"/>
      <c r="P10" s="23"/>
      <c r="Q10" s="10"/>
    </row>
    <row r="11" spans="3:17" ht="15" customHeight="1" x14ac:dyDescent="0.45">
      <c r="C11" s="11"/>
      <c r="D11" s="12"/>
      <c r="E11" s="13"/>
      <c r="F11" s="14"/>
      <c r="G11" s="14"/>
      <c r="H11" s="14"/>
      <c r="I11" s="14"/>
      <c r="J11" s="14"/>
      <c r="K11" s="26"/>
      <c r="L11" s="14"/>
      <c r="M11" s="14"/>
      <c r="N11" s="14"/>
      <c r="O11" s="14"/>
      <c r="P11" s="14"/>
      <c r="Q11" s="11"/>
    </row>
    <row r="13" spans="3:17" ht="18" customHeight="1" x14ac:dyDescent="0.45">
      <c r="C13" s="73" t="s">
        <v>34</v>
      </c>
      <c r="D13" s="74" t="s">
        <v>35</v>
      </c>
      <c r="E13" s="74" t="s">
        <v>36</v>
      </c>
      <c r="F13" s="179"/>
      <c r="G13" s="179"/>
      <c r="H13" s="277" t="s">
        <v>63</v>
      </c>
      <c r="I13" s="277"/>
      <c r="J13" s="277"/>
      <c r="K13" s="277"/>
      <c r="L13" s="277"/>
      <c r="M13" s="277"/>
      <c r="N13" s="277"/>
      <c r="O13" s="177"/>
      <c r="P13" s="177"/>
      <c r="Q13" s="75" t="s">
        <v>6</v>
      </c>
    </row>
    <row r="14" spans="3:17" ht="15" customHeight="1" x14ac:dyDescent="0.45">
      <c r="C14" s="5"/>
      <c r="D14" s="69"/>
      <c r="E14" s="70"/>
      <c r="F14" s="6"/>
      <c r="G14" s="6"/>
      <c r="H14" s="6"/>
      <c r="I14" s="6"/>
      <c r="J14" s="6"/>
      <c r="K14" s="6"/>
      <c r="L14" s="6"/>
      <c r="M14" s="6"/>
      <c r="N14" s="6"/>
      <c r="O14" s="6"/>
      <c r="P14" s="6"/>
      <c r="Q14" s="5"/>
    </row>
    <row r="15" spans="3:17" ht="15" customHeight="1" x14ac:dyDescent="0.4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45">
      <c r="C16" s="15"/>
      <c r="D16" s="19"/>
      <c r="E16" s="20"/>
      <c r="F16" s="181"/>
      <c r="G16" s="181"/>
      <c r="H16" s="21" t="s">
        <v>51</v>
      </c>
      <c r="I16" s="6"/>
      <c r="J16" s="9"/>
      <c r="K16" s="22" t="s">
        <v>41</v>
      </c>
      <c r="L16" s="9"/>
      <c r="M16" s="23"/>
      <c r="N16" s="23"/>
      <c r="O16" s="23"/>
      <c r="P16" s="23"/>
      <c r="Q16" s="10"/>
    </row>
    <row r="17" spans="3:19" ht="15" customHeight="1" x14ac:dyDescent="0.45">
      <c r="C17" s="11"/>
      <c r="D17" s="12"/>
      <c r="E17" s="13"/>
      <c r="F17" s="14"/>
      <c r="G17" s="14"/>
      <c r="H17" s="14"/>
      <c r="I17" s="14"/>
      <c r="J17" s="14"/>
      <c r="K17" s="26"/>
      <c r="L17" s="14"/>
      <c r="M17" s="14"/>
      <c r="N17" s="14"/>
      <c r="O17" s="14"/>
      <c r="P17" s="14"/>
      <c r="Q17" s="11"/>
    </row>
    <row r="19" spans="3:19" ht="15" customHeight="1" thickBot="1" x14ac:dyDescent="0.5">
      <c r="H19" s="278" t="s">
        <v>164</v>
      </c>
      <c r="I19" s="278"/>
      <c r="J19" s="278"/>
      <c r="K19" s="278"/>
      <c r="L19" s="278"/>
      <c r="M19" s="278"/>
      <c r="N19" s="278"/>
      <c r="S19" s="292"/>
    </row>
    <row r="20" spans="3:19" ht="15" customHeight="1" x14ac:dyDescent="0.45">
      <c r="H20" s="278"/>
      <c r="I20" s="278"/>
      <c r="J20" s="278"/>
      <c r="K20" s="278"/>
      <c r="L20" s="278"/>
      <c r="M20" s="278"/>
      <c r="N20" s="278"/>
      <c r="S20" s="293" t="s">
        <v>194</v>
      </c>
    </row>
    <row r="21" spans="3:19" ht="15" customHeight="1" thickBot="1" x14ac:dyDescent="0.5">
      <c r="S21" s="294"/>
    </row>
    <row r="22" spans="3:19" ht="15" customHeight="1" x14ac:dyDescent="0.45">
      <c r="H22" s="279" t="str">
        <f>IF(OR(J15="",L15=""),"",IF(J15&gt;L15,H15,IF(J15&lt;L15,N15,IF(OR(J16="",L16=""),"",IF(J16&gt;L16,H15,N15)))))</f>
        <v/>
      </c>
      <c r="I22" s="279"/>
      <c r="J22" s="279"/>
      <c r="K22" s="279"/>
      <c r="L22" s="279"/>
      <c r="M22" s="279"/>
      <c r="N22" s="279"/>
      <c r="S22" s="295" t="s">
        <v>195</v>
      </c>
    </row>
    <row r="23" spans="3:19" s="82" customFormat="1" ht="15.75" customHeight="1" thickBot="1" x14ac:dyDescent="0.5">
      <c r="C23"/>
      <c r="D23"/>
      <c r="E23"/>
      <c r="F23"/>
      <c r="G23"/>
      <c r="H23" s="279"/>
      <c r="I23" s="279"/>
      <c r="J23" s="279"/>
      <c r="K23" s="279"/>
      <c r="L23" s="279"/>
      <c r="M23" s="279"/>
      <c r="N23" s="279"/>
      <c r="O23" s="178"/>
      <c r="P23" s="178"/>
      <c r="Q23"/>
      <c r="S23" s="296"/>
    </row>
    <row r="24" spans="3:19" s="82" customFormat="1" ht="15.75" customHeight="1" x14ac:dyDescent="0.45">
      <c r="C24"/>
      <c r="D24"/>
      <c r="E24"/>
      <c r="F24"/>
      <c r="G24"/>
      <c r="H24" s="178"/>
      <c r="I24" s="178"/>
      <c r="J24" s="178"/>
      <c r="K24" s="178"/>
      <c r="L24" s="178"/>
      <c r="M24" s="178"/>
      <c r="N24" s="178"/>
      <c r="O24" s="178"/>
      <c r="P24" s="178"/>
      <c r="Q24"/>
      <c r="S24" s="50"/>
    </row>
    <row r="25" spans="3:19" ht="15" customHeight="1" x14ac:dyDescent="0.45">
      <c r="H25" s="280" t="str">
        <f>IFERROR(VLOOKUP(H22,Aux!$A:$C,3,0),"")</f>
        <v/>
      </c>
      <c r="I25" s="280"/>
      <c r="J25" s="280"/>
      <c r="K25" s="280"/>
      <c r="L25" s="280"/>
      <c r="M25" s="280"/>
      <c r="N25" s="280"/>
    </row>
    <row r="26" spans="3:19" ht="15" customHeight="1" x14ac:dyDescent="0.45">
      <c r="H26" s="280"/>
      <c r="I26" s="280"/>
      <c r="J26" s="280"/>
      <c r="K26" s="280"/>
      <c r="L26" s="280"/>
      <c r="M26" s="280"/>
      <c r="N26" s="280"/>
    </row>
    <row r="27" spans="3:19" ht="15" customHeight="1" x14ac:dyDescent="0.45">
      <c r="H27" s="280"/>
      <c r="I27" s="280"/>
      <c r="J27" s="280"/>
      <c r="K27" s="280"/>
      <c r="L27" s="280"/>
      <c r="M27" s="280"/>
      <c r="N27" s="280"/>
    </row>
    <row r="28" spans="3:19" ht="15" customHeight="1" x14ac:dyDescent="0.45">
      <c r="H28" s="280"/>
      <c r="I28" s="280"/>
      <c r="J28" s="280"/>
      <c r="K28" s="280"/>
      <c r="L28" s="280"/>
      <c r="M28" s="280"/>
      <c r="N28" s="280"/>
    </row>
  </sheetData>
  <mergeCells count="7">
    <mergeCell ref="S20:S21"/>
    <mergeCell ref="S22:S23"/>
    <mergeCell ref="H7:N7"/>
    <mergeCell ref="H19:N20"/>
    <mergeCell ref="H22:N23"/>
    <mergeCell ref="H25:N28"/>
    <mergeCell ref="H13:N13"/>
  </mergeCells>
  <conditionalFormatting sqref="H10">
    <cfRule type="expression" dxfId="61" priority="3">
      <formula>IF(OR($J9="",$J9&lt;&gt;$L9),1,0)</formula>
    </cfRule>
  </conditionalFormatting>
  <conditionalFormatting sqref="H16">
    <cfRule type="expression" dxfId="60" priority="14">
      <formula>IF(OR($J15="",$J15&lt;&gt;$L15),1,0)</formula>
    </cfRule>
  </conditionalFormatting>
  <conditionalFormatting sqref="H19 O25:P25">
    <cfRule type="expression" dxfId="59" priority="13">
      <formula>IF(OR($J$15="",$L$15=""),1,0)</formula>
    </cfRule>
  </conditionalFormatting>
  <conditionalFormatting sqref="J9">
    <cfRule type="expression" dxfId="58" priority="7">
      <formula>#REF!="P"</formula>
    </cfRule>
    <cfRule type="expression" dxfId="57" priority="8">
      <formula>#REF!="E"</formula>
    </cfRule>
    <cfRule type="expression" dxfId="56" priority="9">
      <formula>#REF!="G"</formula>
    </cfRule>
  </conditionalFormatting>
  <conditionalFormatting sqref="J10">
    <cfRule type="expression" dxfId="55" priority="6">
      <formula>IF(AND($J9&lt;&gt;"",$J9=$L9),1,0)</formula>
    </cfRule>
  </conditionalFormatting>
  <conditionalFormatting sqref="J15">
    <cfRule type="expression" dxfId="54" priority="18">
      <formula>#REF!="P"</formula>
    </cfRule>
    <cfRule type="expression" dxfId="53" priority="19">
      <formula>#REF!="E"</formula>
    </cfRule>
    <cfRule type="expression" dxfId="52" priority="20">
      <formula>#REF!="G"</formula>
    </cfRule>
  </conditionalFormatting>
  <conditionalFormatting sqref="J16">
    <cfRule type="expression" dxfId="51" priority="17">
      <formula>IF(AND($J15&lt;&gt;"",$J15=$L15),1,0)</formula>
    </cfRule>
  </conditionalFormatting>
  <conditionalFormatting sqref="J10:L10">
    <cfRule type="expression" dxfId="50" priority="4">
      <formula>IF(OR($J9="",$J9&lt;&gt;$L9),1,0)</formula>
    </cfRule>
  </conditionalFormatting>
  <conditionalFormatting sqref="J16:L16">
    <cfRule type="expression" dxfId="49" priority="15">
      <formula>IF(OR($J15="",$J15&lt;&gt;$L15),1,0)</formula>
    </cfRule>
  </conditionalFormatting>
  <conditionalFormatting sqref="L9">
    <cfRule type="expression" dxfId="48" priority="10">
      <formula>M9="P"</formula>
    </cfRule>
    <cfRule type="expression" dxfId="47" priority="11">
      <formula>M9="E"</formula>
    </cfRule>
    <cfRule type="expression" dxfId="46" priority="12">
      <formula>M9="G"</formula>
    </cfRule>
  </conditionalFormatting>
  <conditionalFormatting sqref="L10">
    <cfRule type="expression" dxfId="45" priority="5">
      <formula>IF(AND($J9&lt;&gt;"",$J9=$L9),1,0)</formula>
    </cfRule>
  </conditionalFormatting>
  <conditionalFormatting sqref="L15">
    <cfRule type="expression" dxfId="44" priority="21">
      <formula>M15="P"</formula>
    </cfRule>
    <cfRule type="expression" dxfId="43" priority="22">
      <formula>M15="E"</formula>
    </cfRule>
    <cfRule type="expression" dxfId="42" priority="23">
      <formula>M15="G"</formula>
    </cfRule>
  </conditionalFormatting>
  <conditionalFormatting sqref="L16">
    <cfRule type="expression" dxfId="41" priority="16">
      <formula>IF(AND($J15&lt;&gt;"",$J15=$L15),1,0)</formula>
    </cfRule>
  </conditionalFormatting>
  <conditionalFormatting sqref="S19:S24">
    <cfRule type="expression" dxfId="40" priority="1">
      <formula>$L19&lt;&gt;""</formula>
    </cfRule>
    <cfRule type="expression" dxfId="39"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4.25" x14ac:dyDescent="0.45"/>
  <cols>
    <col min="1" max="1" width="24.59765625" style="2" customWidth="1"/>
    <col min="3" max="3" width="15.06640625" customWidth="1"/>
    <col min="6" max="6" width="6.265625" customWidth="1"/>
    <col min="7" max="7" width="11.59765625" customWidth="1"/>
    <col min="8" max="8" width="20.265625" customWidth="1"/>
    <col min="9" max="9" width="18.3984375" customWidth="1"/>
    <col min="12" max="12" width="37.86328125" bestFit="1" customWidth="1"/>
    <col min="13" max="13" width="10.265625" style="68" customWidth="1"/>
    <col min="14" max="15" width="10.73046875" style="68"/>
  </cols>
  <sheetData>
    <row r="1" spans="1:27" x14ac:dyDescent="0.4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05" customHeight="1" x14ac:dyDescent="0.45">
      <c r="A2" s="3" t="s">
        <v>108</v>
      </c>
      <c r="B2" s="67" t="s">
        <v>148</v>
      </c>
      <c r="C2" s="1" t="e" vm="17">
        <f t="shared" ref="C2:C17" si="0">+_xlfn.IMAGE(B2)</f>
        <v>#VALUE!</v>
      </c>
      <c r="E2" s="176">
        <f>+Normas!G32</f>
        <v>-4</v>
      </c>
      <c r="F2">
        <v>1</v>
      </c>
      <c r="G2" s="68">
        <v>-4</v>
      </c>
      <c r="H2" s="172">
        <v>45463.833333333336</v>
      </c>
      <c r="I2" s="174">
        <f>+H2-G2/24+$E$2/24</f>
        <v>45463.833333333336</v>
      </c>
      <c r="J2" s="171" t="s">
        <v>108</v>
      </c>
      <c r="K2" s="171" t="s">
        <v>134</v>
      </c>
      <c r="L2" s="171" t="s">
        <v>106</v>
      </c>
      <c r="M2" s="1" t="s">
        <v>13</v>
      </c>
      <c r="N2" s="68" t="str">
        <f ca="1">IF(VLOOKUP(F2,INDIRECT(M2&amp;"!B:M"),7,0)="","",VLOOKUP(F2,INDIRECT(M2&amp;"!B:M"),7,0))</f>
        <v/>
      </c>
      <c r="O2" s="68" t="str">
        <f ca="1">IF(VLOOKUP(F2,INDIRECT(M2&amp;"!B:M"),9,0)="","",VLOOKUP(F2,INDIRECT(M2&amp;"!B:M"),9,0))</f>
        <v/>
      </c>
      <c r="R2" s="1" t="s">
        <v>13</v>
      </c>
      <c r="S2" s="2" t="s">
        <v>18</v>
      </c>
      <c r="T2" s="2" t="s">
        <v>108</v>
      </c>
      <c r="W2" t="s">
        <v>179</v>
      </c>
      <c r="X2">
        <f>+Normas!C7</f>
        <v>1</v>
      </c>
    </row>
    <row r="3" spans="1:27" ht="25.05" customHeight="1" x14ac:dyDescent="0.4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t="str">
        <f t="shared" ref="N3:N25" ca="1" si="2">IF(VLOOKUP(F3,INDIRECT(M3&amp;"!B:M"),7,0)="","",VLOOKUP(F3,INDIRECT(M3&amp;"!B:M"),7,0))</f>
        <v/>
      </c>
      <c r="O3" s="68" t="str">
        <f t="shared" ref="O3:O25" ca="1" si="3">IF(VLOOKUP(F3,INDIRECT(M3&amp;"!B:M"),9,0)="","",VLOOKUP(F3,INDIRECT(M3&amp;"!B:M"),9,0))</f>
        <v/>
      </c>
      <c r="R3" s="1" t="s">
        <v>13</v>
      </c>
      <c r="S3" s="2" t="s">
        <v>19</v>
      </c>
      <c r="T3" s="2" t="s">
        <v>110</v>
      </c>
      <c r="W3" t="s">
        <v>180</v>
      </c>
      <c r="X3">
        <f>+Normas!C6</f>
        <v>2</v>
      </c>
      <c r="AA3" s="67"/>
    </row>
    <row r="4" spans="1:27" ht="25.05" customHeight="1" x14ac:dyDescent="0.45">
      <c r="A4" s="3" t="s">
        <v>127</v>
      </c>
      <c r="B4" s="67" t="s">
        <v>160</v>
      </c>
      <c r="C4" s="1" t="e" vm="19">
        <f t="shared" si="0"/>
        <v>#VALUE!</v>
      </c>
      <c r="F4">
        <v>3</v>
      </c>
      <c r="G4" s="68">
        <v>-7</v>
      </c>
      <c r="H4" s="172">
        <v>45465.625</v>
      </c>
      <c r="I4" s="174">
        <f t="shared" si="1"/>
        <v>45465.75</v>
      </c>
      <c r="J4" s="171" t="s">
        <v>113</v>
      </c>
      <c r="K4" s="171" t="s">
        <v>114</v>
      </c>
      <c r="L4" s="171" t="s">
        <v>112</v>
      </c>
      <c r="M4" s="1" t="s">
        <v>12</v>
      </c>
      <c r="N4" s="68" t="str">
        <f t="shared" ca="1" si="2"/>
        <v/>
      </c>
      <c r="O4" s="68" t="str">
        <f t="shared" ca="1" si="3"/>
        <v/>
      </c>
      <c r="R4" s="1" t="s">
        <v>13</v>
      </c>
      <c r="S4" s="2" t="s">
        <v>20</v>
      </c>
      <c r="T4" s="2" t="s">
        <v>111</v>
      </c>
      <c r="W4" t="s">
        <v>181</v>
      </c>
      <c r="X4">
        <f>+Normas!C8</f>
        <v>2</v>
      </c>
    </row>
    <row r="5" spans="1:27" ht="25.05" customHeight="1" x14ac:dyDescent="0.4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t="str">
        <f t="shared" ca="1" si="2"/>
        <v/>
      </c>
      <c r="O5" s="68" t="str">
        <f t="shared" ca="1" si="3"/>
        <v/>
      </c>
      <c r="R5" s="1" t="s">
        <v>13</v>
      </c>
      <c r="S5" s="2" t="s">
        <v>21</v>
      </c>
      <c r="T5" s="2" t="s">
        <v>134</v>
      </c>
      <c r="W5" t="s">
        <v>182</v>
      </c>
      <c r="X5">
        <f>+Normas!C10</f>
        <v>2</v>
      </c>
    </row>
    <row r="6" spans="1:27" ht="25.05" customHeight="1" x14ac:dyDescent="0.4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t="str">
        <f t="shared" ca="1" si="2"/>
        <v/>
      </c>
      <c r="O6" s="68" t="str">
        <f t="shared" ca="1" si="3"/>
        <v/>
      </c>
      <c r="R6" s="1" t="s">
        <v>12</v>
      </c>
      <c r="S6" s="2" t="s">
        <v>22</v>
      </c>
      <c r="T6" s="2" t="s">
        <v>116</v>
      </c>
      <c r="W6" t="s">
        <v>183</v>
      </c>
      <c r="X6">
        <f>+Normas!C9</f>
        <v>4</v>
      </c>
    </row>
    <row r="7" spans="1:27" ht="25.05" customHeight="1" x14ac:dyDescent="0.45">
      <c r="A7" s="3" t="s">
        <v>128</v>
      </c>
      <c r="B7" s="67" t="s">
        <v>161</v>
      </c>
      <c r="C7" s="1" t="e" vm="22">
        <f t="shared" si="0"/>
        <v>#VALUE!</v>
      </c>
      <c r="F7">
        <v>6</v>
      </c>
      <c r="G7" s="68">
        <v>-4</v>
      </c>
      <c r="H7" s="172">
        <v>45466.875</v>
      </c>
      <c r="I7" s="174">
        <f t="shared" si="1"/>
        <v>45466.875</v>
      </c>
      <c r="J7" s="171" t="s">
        <v>123</v>
      </c>
      <c r="K7" s="171" t="s">
        <v>125</v>
      </c>
      <c r="L7" s="171" t="s">
        <v>118</v>
      </c>
      <c r="M7" s="1" t="s">
        <v>15</v>
      </c>
      <c r="N7" s="68" t="str">
        <f t="shared" ca="1" si="2"/>
        <v/>
      </c>
      <c r="O7" s="68" t="str">
        <f t="shared" ca="1" si="3"/>
        <v/>
      </c>
      <c r="R7" s="1" t="s">
        <v>12</v>
      </c>
      <c r="S7" s="2" t="s">
        <v>23</v>
      </c>
      <c r="T7" s="2" t="s">
        <v>113</v>
      </c>
      <c r="W7" t="s">
        <v>184</v>
      </c>
      <c r="X7">
        <f>+Normas!C11</f>
        <v>4</v>
      </c>
    </row>
    <row r="8" spans="1:27" ht="25.05" customHeight="1" x14ac:dyDescent="0.4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t="str">
        <f t="shared" ca="1" si="2"/>
        <v/>
      </c>
      <c r="O8" s="68" t="str">
        <f t="shared" ca="1" si="3"/>
        <v/>
      </c>
      <c r="R8" s="1" t="s">
        <v>12</v>
      </c>
      <c r="S8" s="2" t="s">
        <v>24</v>
      </c>
      <c r="T8" s="2" t="s">
        <v>114</v>
      </c>
      <c r="W8" t="s">
        <v>185</v>
      </c>
      <c r="X8">
        <f>+Normas!C13</f>
        <v>4</v>
      </c>
    </row>
    <row r="9" spans="1:27" ht="25.05" customHeight="1" x14ac:dyDescent="0.45">
      <c r="A9" s="3" t="s">
        <v>113</v>
      </c>
      <c r="B9" s="67" t="s">
        <v>153</v>
      </c>
      <c r="C9" s="1" t="e" vm="24">
        <f t="shared" si="0"/>
        <v>#VALUE!</v>
      </c>
      <c r="F9">
        <v>8</v>
      </c>
      <c r="G9" s="68">
        <v>-7</v>
      </c>
      <c r="H9" s="172">
        <v>45467.75</v>
      </c>
      <c r="I9" s="174">
        <f t="shared" si="1"/>
        <v>45467.875</v>
      </c>
      <c r="J9" s="171" t="s">
        <v>127</v>
      </c>
      <c r="K9" s="171" t="s">
        <v>135</v>
      </c>
      <c r="L9" s="171" t="s">
        <v>119</v>
      </c>
      <c r="M9" s="1" t="s">
        <v>17</v>
      </c>
      <c r="N9" s="68" t="str">
        <f t="shared" ca="1" si="2"/>
        <v/>
      </c>
      <c r="O9" s="68" t="str">
        <f t="shared" ca="1" si="3"/>
        <v/>
      </c>
      <c r="R9" s="1" t="s">
        <v>12</v>
      </c>
      <c r="S9" s="2" t="s">
        <v>25</v>
      </c>
      <c r="T9" s="2" t="s">
        <v>117</v>
      </c>
      <c r="W9" t="s">
        <v>186</v>
      </c>
      <c r="X9">
        <f>+Normas!C12</f>
        <v>8</v>
      </c>
    </row>
    <row r="10" spans="1:27" ht="25.05" customHeight="1" x14ac:dyDescent="0.4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8</v>
      </c>
    </row>
    <row r="11" spans="1:27" ht="25.05" customHeight="1" x14ac:dyDescent="0.4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8</v>
      </c>
    </row>
    <row r="12" spans="1:27" ht="25.05" customHeight="1" x14ac:dyDescent="0.4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16</v>
      </c>
    </row>
    <row r="13" spans="1:27" ht="25.05" customHeight="1" x14ac:dyDescent="0.4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16</v>
      </c>
    </row>
    <row r="14" spans="1:27" ht="25.05" customHeight="1" x14ac:dyDescent="0.4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4</v>
      </c>
    </row>
    <row r="15" spans="1:27" ht="25.05" customHeight="1" x14ac:dyDescent="0.4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6</v>
      </c>
    </row>
    <row r="16" spans="1:27" ht="25.05" customHeight="1" x14ac:dyDescent="0.4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8</v>
      </c>
    </row>
    <row r="17" spans="1:24" ht="25.05" customHeight="1" x14ac:dyDescent="0.4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10</v>
      </c>
    </row>
    <row r="18" spans="1:24" ht="25.05" customHeight="1" x14ac:dyDescent="0.4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25</v>
      </c>
    </row>
    <row r="19" spans="1:24" ht="25.05" customHeight="1" x14ac:dyDescent="0.4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05" customHeight="1" x14ac:dyDescent="0.4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05" customHeight="1" x14ac:dyDescent="0.4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05" customHeight="1" x14ac:dyDescent="0.4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05" customHeight="1" x14ac:dyDescent="0.4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05" customHeight="1" x14ac:dyDescent="0.4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05" customHeight="1" x14ac:dyDescent="0.4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05" customHeight="1" x14ac:dyDescent="0.4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05" customHeight="1" x14ac:dyDescent="0.4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05" customHeight="1" x14ac:dyDescent="0.4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05" customHeight="1" x14ac:dyDescent="0.4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05" customHeight="1" x14ac:dyDescent="0.4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05" customHeight="1" x14ac:dyDescent="0.4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05" customHeight="1" x14ac:dyDescent="0.4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05" customHeight="1" x14ac:dyDescent="0.4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8" priority="1">
      <formula>#REF!="P"</formula>
    </cfRule>
    <cfRule type="expression" dxfId="37" priority="3">
      <formula>#REF!="G"</formula>
    </cfRule>
  </conditionalFormatting>
  <conditionalFormatting sqref="N2:O33">
    <cfRule type="expression" dxfId="36" priority="2">
      <formula>#REF!="E"</formula>
    </cfRule>
  </conditionalFormatting>
  <conditionalFormatting sqref="O2:O33">
    <cfRule type="expression" dxfId="35" priority="4">
      <formula>#REF!="P"</formula>
    </cfRule>
    <cfRule type="expression" dxfId="34"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4.25" x14ac:dyDescent="0.45"/>
  <cols>
    <col min="5" max="119" width="6" customWidth="1"/>
    <col min="120" max="220" width="5.73046875" customWidth="1"/>
  </cols>
  <sheetData>
    <row r="1" spans="2:119" x14ac:dyDescent="0.45">
      <c r="B1" s="85" t="str">
        <f>Normas!C28</f>
        <v>Aprendiz</v>
      </c>
      <c r="C1" s="118">
        <f>Normas!C30</f>
        <v>0</v>
      </c>
      <c r="D1" s="118">
        <f>Normas!C32</f>
        <v>0</v>
      </c>
      <c r="E1" s="84" t="str">
        <f ca="1">+Resultado!E3</f>
        <v/>
      </c>
      <c r="F1" s="84" t="str">
        <f ca="1">+Resultado!F3</f>
        <v/>
      </c>
      <c r="G1" s="84" t="str">
        <f ca="1">+Resultado!G3</f>
        <v/>
      </c>
      <c r="H1" s="84" t="str">
        <f ca="1">+Resultado!H3</f>
        <v/>
      </c>
      <c r="I1" s="84" t="str">
        <f ca="1">+Resultado!I3</f>
        <v/>
      </c>
      <c r="J1" s="84" t="str">
        <f ca="1">+Resultado!J3</f>
        <v/>
      </c>
      <c r="K1" s="84" t="str">
        <f ca="1">+Resultado!K3</f>
        <v/>
      </c>
      <c r="L1" s="84" t="str">
        <f ca="1">+Resultado!L3</f>
        <v/>
      </c>
      <c r="M1" s="84" t="str">
        <f ca="1">+Resultado!M3</f>
        <v/>
      </c>
      <c r="N1" s="84" t="str">
        <f ca="1">+Resultado!N3</f>
        <v/>
      </c>
      <c r="O1" s="84" t="str">
        <f ca="1">+Resultado!O3</f>
        <v/>
      </c>
      <c r="P1" s="84" t="str">
        <f ca="1">+Resultado!P3</f>
        <v/>
      </c>
      <c r="Q1" s="84" t="str">
        <f ca="1">+Resultado!Q3</f>
        <v/>
      </c>
      <c r="R1" s="84" t="str">
        <f ca="1">+Resultado!R3</f>
        <v/>
      </c>
      <c r="S1" s="84" t="str">
        <f ca="1">+Resultado!S3</f>
        <v/>
      </c>
      <c r="T1" s="84" t="str">
        <f ca="1">+Resultado!T3</f>
        <v/>
      </c>
      <c r="U1" s="84" t="str">
        <f ca="1">+Resultado!U3</f>
        <v/>
      </c>
      <c r="V1" s="84" t="str">
        <f ca="1">+Resultado!V3</f>
        <v/>
      </c>
      <c r="W1" s="84" t="str">
        <f ca="1">+Resultado!W3</f>
        <v/>
      </c>
      <c r="X1" s="84" t="str">
        <f ca="1">+Resultado!X3</f>
        <v/>
      </c>
      <c r="Y1" s="84" t="str">
        <f ca="1">+Resultado!Y3</f>
        <v/>
      </c>
      <c r="Z1" s="84" t="str">
        <f ca="1">+Resultado!Z3</f>
        <v/>
      </c>
      <c r="AA1" s="84" t="str">
        <f ca="1">+Resultado!AA3</f>
        <v/>
      </c>
      <c r="AB1" s="84" t="str">
        <f ca="1">+Resultado!AB3</f>
        <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4.25" x14ac:dyDescent="0.45"/>
  <cols>
    <col min="1" max="1" width="13.6640625" bestFit="1" customWidth="1"/>
    <col min="2" max="10" width="10.1328125" bestFit="1" customWidth="1"/>
    <col min="11" max="78" width="11.1328125" bestFit="1" customWidth="1"/>
    <col min="79" max="79" width="12.59765625" bestFit="1" customWidth="1"/>
    <col min="80" max="85" width="11.1328125" bestFit="1" customWidth="1"/>
    <col min="86" max="87" width="12.59765625" bestFit="1" customWidth="1"/>
    <col min="88" max="90" width="11.1328125" bestFit="1" customWidth="1"/>
    <col min="91" max="92" width="12.59765625" bestFit="1" customWidth="1"/>
    <col min="93" max="93" width="11.1328125" bestFit="1" customWidth="1"/>
    <col min="94" max="94" width="12.59765625" bestFit="1" customWidth="1"/>
    <col min="95" max="100" width="11.1328125" bestFit="1" customWidth="1"/>
    <col min="101" max="119" width="12.1328125" bestFit="1" customWidth="1"/>
    <col min="120" max="194" width="10.73046875" bestFit="1" customWidth="1"/>
    <col min="195" max="212" width="9.265625" customWidth="1"/>
    <col min="232" max="279" width="5" customWidth="1"/>
  </cols>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55" zoomScaleNormal="55" workbookViewId="0">
      <selection activeCell="E3" sqref="E3"/>
    </sheetView>
  </sheetViews>
  <sheetFormatPr baseColWidth="10" defaultRowHeight="14.25" x14ac:dyDescent="0.45"/>
  <cols>
    <col min="2" max="2" width="17.265625" customWidth="1"/>
    <col min="5" max="76" width="6.06640625" customWidth="1"/>
    <col min="81" max="95" width="10.73046875" customWidth="1"/>
    <col min="96" max="119" width="6.06640625" customWidth="1"/>
    <col min="139" max="161" width="5" customWidth="1"/>
  </cols>
  <sheetData>
    <row r="1" spans="2:119" x14ac:dyDescent="0.4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4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45">
      <c r="B3" s="85" t="s">
        <v>99</v>
      </c>
      <c r="E3" s="191" t="str">
        <f ca="1">VLOOKUP(E2,Aux!$F:$O,9,0)</f>
        <v/>
      </c>
      <c r="F3" s="191" t="str">
        <f ca="1">VLOOKUP(E2,Aux!$F:$O,10,0)</f>
        <v/>
      </c>
      <c r="G3" s="191" t="str">
        <f ca="1">IF(OR(E3="",F3=""),"",IF(E3&gt;F3,1,IF(E3=F3,"x",2)))</f>
        <v/>
      </c>
      <c r="H3" s="191" t="str">
        <f ca="1">VLOOKUP(H2,Aux!$F:$O,9,0)</f>
        <v/>
      </c>
      <c r="I3" s="191" t="str">
        <f ca="1">VLOOKUP(H2,Aux!$F:$O,10,0)</f>
        <v/>
      </c>
      <c r="J3" s="191" t="str">
        <f t="shared" ref="J3" ca="1" si="0">IF(OR(H3="",I3=""),"",IF(H3&gt;I3,1,IF(H3=I3,"x",2)))</f>
        <v/>
      </c>
      <c r="K3" s="191" t="str">
        <f ca="1">VLOOKUP(K2,Aux!$F:$O,9,0)</f>
        <v/>
      </c>
      <c r="L3" s="191" t="str">
        <f ca="1">VLOOKUP(K2,Aux!$F:$O,10,0)</f>
        <v/>
      </c>
      <c r="M3" s="191" t="str">
        <f t="shared" ref="M3" ca="1" si="1">IF(OR(K3="",L3=""),"",IF(K3&gt;L3,1,IF(K3=L3,"x",2)))</f>
        <v/>
      </c>
      <c r="N3" s="191" t="str">
        <f ca="1">VLOOKUP(N2,Aux!$F:$O,9,0)</f>
        <v/>
      </c>
      <c r="O3" s="191" t="str">
        <f ca="1">VLOOKUP(N2,Aux!$F:$O,10,0)</f>
        <v/>
      </c>
      <c r="P3" s="191" t="str">
        <f t="shared" ref="P3" ca="1" si="2">IF(OR(N3="",O3=""),"",IF(N3&gt;O3,1,IF(N3=O3,"x",2)))</f>
        <v/>
      </c>
      <c r="Q3" s="191" t="str">
        <f ca="1">VLOOKUP(Q2,Aux!$F:$O,9,0)</f>
        <v/>
      </c>
      <c r="R3" s="191" t="str">
        <f ca="1">VLOOKUP(Q2,Aux!$F:$O,10,0)</f>
        <v/>
      </c>
      <c r="S3" s="191" t="str">
        <f t="shared" ref="S3" ca="1" si="3">IF(OR(Q3="",R3=""),"",IF(Q3&gt;R3,1,IF(Q3=R3,"x",2)))</f>
        <v/>
      </c>
      <c r="T3" s="191" t="str">
        <f ca="1">VLOOKUP(T2,Aux!$F:$O,9,0)</f>
        <v/>
      </c>
      <c r="U3" s="191" t="str">
        <f ca="1">VLOOKUP(T2,Aux!$F:$O,10,0)</f>
        <v/>
      </c>
      <c r="V3" s="191" t="str">
        <f t="shared" ref="V3" ca="1" si="4">IF(OR(T3="",U3=""),"",IF(T3&gt;U3,1,IF(T3=U3,"x",2)))</f>
        <v/>
      </c>
      <c r="W3" s="191" t="str">
        <f ca="1">VLOOKUP(W2,Aux!$F:$O,9,0)</f>
        <v/>
      </c>
      <c r="X3" s="191" t="str">
        <f ca="1">VLOOKUP(W2,Aux!$F:$O,10,0)</f>
        <v/>
      </c>
      <c r="Y3" s="191" t="str">
        <f t="shared" ref="Y3" ca="1" si="5">IF(OR(W3="",X3=""),"",IF(W3&gt;X3,1,IF(W3=X3,"x",2)))</f>
        <v/>
      </c>
      <c r="Z3" s="191" t="str">
        <f ca="1">VLOOKUP(Z2,Aux!$F:$O,9,0)</f>
        <v/>
      </c>
      <c r="AA3" s="191" t="str">
        <f ca="1">VLOOKUP(Z2,Aux!$F:$O,10,0)</f>
        <v/>
      </c>
      <c r="AB3" s="191" t="str">
        <f t="shared" ref="AB3" ca="1" si="6">IF(OR(Z3="",AA3=""),"",IF(Z3&gt;AA3,1,IF(Z3=AA3,"x",2)))</f>
        <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4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45">
      <c r="B5" s="85" t="s">
        <v>104</v>
      </c>
      <c r="E5" s="191">
        <f>+VLOOKUP(E4&amp;"gol",Aux!$W$1:$X$46,2,0)</f>
        <v>1</v>
      </c>
      <c r="F5" s="191">
        <f>+VLOOKUP(F4&amp;"gol",Aux!$W$1:$X$46,2,0)</f>
        <v>1</v>
      </c>
      <c r="G5" s="191">
        <f>+VLOOKUP(G4&amp;"signo",Aux!$W$1:$X$46,2,0)</f>
        <v>2</v>
      </c>
      <c r="H5" s="191">
        <f>+VLOOKUP(H4&amp;"gol",Aux!$W$1:$X$46,2,0)</f>
        <v>1</v>
      </c>
      <c r="I5" s="191">
        <f>+VLOOKUP(I4&amp;"gol",Aux!$W$1:$X$46,2,0)</f>
        <v>1</v>
      </c>
      <c r="J5" s="191">
        <f>+VLOOKUP(J4&amp;"signo",Aux!$W$1:$X$46,2,0)</f>
        <v>2</v>
      </c>
      <c r="K5" s="191">
        <f>+VLOOKUP(K4&amp;"gol",Aux!$W$1:$X$46,2,0)</f>
        <v>1</v>
      </c>
      <c r="L5" s="191">
        <f>+VLOOKUP(L4&amp;"gol",Aux!$W$1:$X$46,2,0)</f>
        <v>1</v>
      </c>
      <c r="M5" s="191">
        <f>+VLOOKUP(M4&amp;"signo",Aux!$W$1:$X$46,2,0)</f>
        <v>2</v>
      </c>
      <c r="N5" s="191">
        <f>+VLOOKUP(N4&amp;"gol",Aux!$W$1:$X$46,2,0)</f>
        <v>1</v>
      </c>
      <c r="O5" s="191">
        <f>+VLOOKUP(O4&amp;"gol",Aux!$W$1:$X$46,2,0)</f>
        <v>1</v>
      </c>
      <c r="P5" s="191">
        <f>+VLOOKUP(P4&amp;"signo",Aux!$W$1:$X$46,2,0)</f>
        <v>2</v>
      </c>
      <c r="Q5" s="191">
        <f>+VLOOKUP(Q4&amp;"gol",Aux!$W$1:$X$46,2,0)</f>
        <v>1</v>
      </c>
      <c r="R5" s="191">
        <f>+VLOOKUP(R4&amp;"gol",Aux!$W$1:$X$46,2,0)</f>
        <v>1</v>
      </c>
      <c r="S5" s="191">
        <f>+VLOOKUP(S4&amp;"signo",Aux!$W$1:$X$46,2,0)</f>
        <v>2</v>
      </c>
      <c r="T5" s="191">
        <f>+VLOOKUP(T4&amp;"gol",Aux!$W$1:$X$46,2,0)</f>
        <v>1</v>
      </c>
      <c r="U5" s="191">
        <f>+VLOOKUP(U4&amp;"gol",Aux!$W$1:$X$46,2,0)</f>
        <v>1</v>
      </c>
      <c r="V5" s="191">
        <f>+VLOOKUP(V4&amp;"signo",Aux!$W$1:$X$46,2,0)</f>
        <v>2</v>
      </c>
      <c r="W5" s="191">
        <f>+VLOOKUP(W4&amp;"gol",Aux!$W$1:$X$46,2,0)</f>
        <v>1</v>
      </c>
      <c r="X5" s="191">
        <f>+VLOOKUP(X4&amp;"gol",Aux!$W$1:$X$46,2,0)</f>
        <v>1</v>
      </c>
      <c r="Y5" s="191">
        <f>+VLOOKUP(Y4&amp;"signo",Aux!$W$1:$X$46,2,0)</f>
        <v>2</v>
      </c>
      <c r="Z5" s="191">
        <f>+VLOOKUP(Z4&amp;"gol",Aux!$W$1:$X$46,2,0)</f>
        <v>1</v>
      </c>
      <c r="AA5" s="191">
        <f>+VLOOKUP(AA4&amp;"gol",Aux!$W$1:$X$46,2,0)</f>
        <v>1</v>
      </c>
      <c r="AB5" s="191">
        <f>+VLOOKUP(AB4&amp;"signo",Aux!$W$1:$X$46,2,0)</f>
        <v>2</v>
      </c>
      <c r="AC5" s="191">
        <f>+VLOOKUP(AC4&amp;"gol",Aux!$W$1:$X$46,2,0)</f>
        <v>1</v>
      </c>
      <c r="AD5" s="191">
        <f>+VLOOKUP(AD4&amp;"gol",Aux!$W$1:$X$46,2,0)</f>
        <v>1</v>
      </c>
      <c r="AE5" s="191">
        <f>+VLOOKUP(AE4&amp;"signo",Aux!$W$1:$X$46,2,0)</f>
        <v>2</v>
      </c>
      <c r="AF5" s="191">
        <f>+VLOOKUP(AF4&amp;"gol",Aux!$W$1:$X$46,2,0)</f>
        <v>1</v>
      </c>
      <c r="AG5" s="191">
        <f>+VLOOKUP(AG4&amp;"gol",Aux!$W$1:$X$46,2,0)</f>
        <v>1</v>
      </c>
      <c r="AH5" s="191">
        <f>+VLOOKUP(AH4&amp;"signo",Aux!$W$1:$X$46,2,0)</f>
        <v>2</v>
      </c>
      <c r="AI5" s="191">
        <f>+VLOOKUP(AI4&amp;"gol",Aux!$W$1:$X$46,2,0)</f>
        <v>1</v>
      </c>
      <c r="AJ5" s="191">
        <f>+VLOOKUP(AJ4&amp;"gol",Aux!$W$1:$X$46,2,0)</f>
        <v>1</v>
      </c>
      <c r="AK5" s="191">
        <f>+VLOOKUP(AK4&amp;"signo",Aux!$W$1:$X$46,2,0)</f>
        <v>2</v>
      </c>
      <c r="AL5" s="191">
        <f>+VLOOKUP(AL4&amp;"gol",Aux!$W$1:$X$46,2,0)</f>
        <v>1</v>
      </c>
      <c r="AM5" s="191">
        <f>+VLOOKUP(AM4&amp;"gol",Aux!$W$1:$X$46,2,0)</f>
        <v>1</v>
      </c>
      <c r="AN5" s="191">
        <f>+VLOOKUP(AN4&amp;"signo",Aux!$W$1:$X$46,2,0)</f>
        <v>2</v>
      </c>
      <c r="AO5" s="191">
        <f>+VLOOKUP(AO4&amp;"gol",Aux!$W$1:$X$46,2,0)</f>
        <v>1</v>
      </c>
      <c r="AP5" s="191">
        <f>+VLOOKUP(AP4&amp;"gol",Aux!$W$1:$X$46,2,0)</f>
        <v>1</v>
      </c>
      <c r="AQ5" s="191">
        <f>+VLOOKUP(AQ4&amp;"signo",Aux!$W$1:$X$46,2,0)</f>
        <v>2</v>
      </c>
      <c r="AR5" s="191">
        <f>+VLOOKUP(AR4&amp;"gol",Aux!$W$1:$X$46,2,0)</f>
        <v>1</v>
      </c>
      <c r="AS5" s="191">
        <f>+VLOOKUP(AS4&amp;"gol",Aux!$W$1:$X$46,2,0)</f>
        <v>1</v>
      </c>
      <c r="AT5" s="191">
        <f>+VLOOKUP(AT4&amp;"signo",Aux!$W$1:$X$46,2,0)</f>
        <v>2</v>
      </c>
      <c r="AU5" s="191">
        <f>+VLOOKUP(AU4&amp;"gol",Aux!$W$1:$X$46,2,0)</f>
        <v>1</v>
      </c>
      <c r="AV5" s="191">
        <f>+VLOOKUP(AV4&amp;"gol",Aux!$W$1:$X$46,2,0)</f>
        <v>1</v>
      </c>
      <c r="AW5" s="191">
        <f>+VLOOKUP(AW4&amp;"signo",Aux!$W$1:$X$46,2,0)</f>
        <v>2</v>
      </c>
      <c r="AX5" s="191">
        <f>+VLOOKUP(AX4&amp;"gol",Aux!$W$1:$X$46,2,0)</f>
        <v>1</v>
      </c>
      <c r="AY5" s="191">
        <f>+VLOOKUP(AY4&amp;"gol",Aux!$W$1:$X$46,2,0)</f>
        <v>1</v>
      </c>
      <c r="AZ5" s="191">
        <f>+VLOOKUP(AZ4&amp;"signo",Aux!$W$1:$X$46,2,0)</f>
        <v>2</v>
      </c>
      <c r="BA5" s="191">
        <f>+VLOOKUP(BA4&amp;"gol",Aux!$W$1:$X$46,2,0)</f>
        <v>1</v>
      </c>
      <c r="BB5" s="191">
        <f>+VLOOKUP(BB4&amp;"gol",Aux!$W$1:$X$46,2,0)</f>
        <v>1</v>
      </c>
      <c r="BC5" s="191">
        <f>+VLOOKUP(BC4&amp;"signo",Aux!$W$1:$X$46,2,0)</f>
        <v>2</v>
      </c>
      <c r="BD5" s="191">
        <f>+VLOOKUP(BD4&amp;"gol",Aux!$W$1:$X$46,2,0)</f>
        <v>1</v>
      </c>
      <c r="BE5" s="191">
        <f>+VLOOKUP(BE4&amp;"gol",Aux!$W$1:$X$46,2,0)</f>
        <v>1</v>
      </c>
      <c r="BF5" s="191">
        <f>+VLOOKUP(BF4&amp;"signo",Aux!$W$1:$X$46,2,0)</f>
        <v>2</v>
      </c>
      <c r="BG5" s="191">
        <f>+VLOOKUP(BG4&amp;"gol",Aux!$W$1:$X$46,2,0)</f>
        <v>1</v>
      </c>
      <c r="BH5" s="191">
        <f>+VLOOKUP(BH4&amp;"gol",Aux!$W$1:$X$46,2,0)</f>
        <v>1</v>
      </c>
      <c r="BI5" s="191">
        <f>+VLOOKUP(BI4&amp;"signo",Aux!$W$1:$X$46,2,0)</f>
        <v>2</v>
      </c>
      <c r="BJ5" s="191">
        <f>+VLOOKUP(BJ4&amp;"gol",Aux!$W$1:$X$46,2,0)</f>
        <v>1</v>
      </c>
      <c r="BK5" s="191">
        <f>+VLOOKUP(BK4&amp;"gol",Aux!$W$1:$X$46,2,0)</f>
        <v>1</v>
      </c>
      <c r="BL5" s="191">
        <f>+VLOOKUP(BL4&amp;"signo",Aux!$W$1:$X$46,2,0)</f>
        <v>2</v>
      </c>
      <c r="BM5" s="191">
        <f>+VLOOKUP(BM4&amp;"gol",Aux!$W$1:$X$46,2,0)</f>
        <v>1</v>
      </c>
      <c r="BN5" s="191">
        <f>+VLOOKUP(BN4&amp;"gol",Aux!$W$1:$X$46,2,0)</f>
        <v>1</v>
      </c>
      <c r="BO5" s="191">
        <f>+VLOOKUP(BO4&amp;"signo",Aux!$W$1:$X$46,2,0)</f>
        <v>2</v>
      </c>
      <c r="BP5" s="191">
        <f>+VLOOKUP(BP4&amp;"gol",Aux!$W$1:$X$46,2,0)</f>
        <v>1</v>
      </c>
      <c r="BQ5" s="191">
        <f>+VLOOKUP(BQ4&amp;"gol",Aux!$W$1:$X$46,2,0)</f>
        <v>1</v>
      </c>
      <c r="BR5" s="191">
        <f>+VLOOKUP(BR4&amp;"signo",Aux!$W$1:$X$46,2,0)</f>
        <v>2</v>
      </c>
      <c r="BS5" s="191">
        <f>+VLOOKUP(BS4&amp;"gol",Aux!$W$1:$X$46,2,0)</f>
        <v>1</v>
      </c>
      <c r="BT5" s="191">
        <f>+VLOOKUP(BT4&amp;"gol",Aux!$W$1:$X$46,2,0)</f>
        <v>1</v>
      </c>
      <c r="BU5" s="191">
        <f>+VLOOKUP(BU4&amp;"signo",Aux!$W$1:$X$46,2,0)</f>
        <v>2</v>
      </c>
      <c r="BV5" s="191">
        <f>+VLOOKUP(BV4&amp;"gol",Aux!$W$1:$X$46,2,0)</f>
        <v>1</v>
      </c>
      <c r="BW5" s="191">
        <f>+VLOOKUP(BW4&amp;"gol",Aux!$W$1:$X$46,2,0)</f>
        <v>1</v>
      </c>
      <c r="BX5" s="191">
        <f>+VLOOKUP(BX4&amp;"signo",Aux!$W$1:$X$46,2,0)</f>
        <v>2</v>
      </c>
      <c r="BY5" s="191">
        <f>+VLOOKUP(BY4,Aux!$W$1:$X$46,2,0)</f>
        <v>4</v>
      </c>
      <c r="BZ5" s="191">
        <f>+VLOOKUP(BZ4,Aux!$W$1:$X$46,2,0)</f>
        <v>4</v>
      </c>
      <c r="CA5" s="191">
        <f>+VLOOKUP(CA4,Aux!$W$1:$X$46,2,0)</f>
        <v>4</v>
      </c>
      <c r="CB5" s="191">
        <f>+VLOOKUP(CB4,Aux!$W$1:$X$46,2,0)</f>
        <v>4</v>
      </c>
      <c r="CC5" s="191">
        <f>+VLOOKUP(CC4,Aux!$W$1:$X$46,2,0)</f>
        <v>6</v>
      </c>
      <c r="CD5" s="191">
        <f>+VLOOKUP(CD4,Aux!$W$1:$X$46,2,0)</f>
        <v>6</v>
      </c>
      <c r="CE5" s="191">
        <f>+VLOOKUP(CE4,Aux!$W$1:$X$46,2,0)</f>
        <v>6</v>
      </c>
      <c r="CF5" s="191">
        <f>+VLOOKUP(CF4,Aux!$W$1:$X$46,2,0)</f>
        <v>6</v>
      </c>
      <c r="CG5" s="191">
        <f>+VLOOKUP(CG4,Aux!$W$1:$X$46,2,0)</f>
        <v>6</v>
      </c>
      <c r="CH5" s="191">
        <f>+VLOOKUP(CH4,Aux!$W$1:$X$46,2,0)</f>
        <v>6</v>
      </c>
      <c r="CI5" s="191">
        <f>+VLOOKUP(CI4,Aux!$W$1:$X$46,2,0)</f>
        <v>6</v>
      </c>
      <c r="CJ5" s="191">
        <f>+VLOOKUP(CJ4,Aux!$W$1:$X$46,2,0)</f>
        <v>6</v>
      </c>
      <c r="CK5" s="191">
        <f>+VLOOKUP(CK4,Aux!$W$1:$X$46,2,0)</f>
        <v>8</v>
      </c>
      <c r="CL5" s="191">
        <f>+VLOOKUP(CL4,Aux!$W$1:$X$46,2,0)</f>
        <v>8</v>
      </c>
      <c r="CM5" s="191">
        <f>+VLOOKUP(CM4,Aux!$W$1:$X$46,2,0)</f>
        <v>8</v>
      </c>
      <c r="CN5" s="191">
        <f>+VLOOKUP(CN4,Aux!$W$1:$X$46,2,0)</f>
        <v>8</v>
      </c>
      <c r="CO5" s="191">
        <f>+VLOOKUP(CO4,Aux!$W$1:$X$46,2,0)</f>
        <v>10</v>
      </c>
      <c r="CP5" s="191">
        <f>+VLOOKUP(CP4,Aux!$W$1:$X$46,2,0)</f>
        <v>10</v>
      </c>
      <c r="CQ5" s="191">
        <f>+VLOOKUP(CQ4,Aux!$W$1:$X$46,2,0)</f>
        <v>25</v>
      </c>
      <c r="CR5" s="191">
        <f>+VLOOKUP(CR4&amp;"gol",Aux!$W$1:$X$46,2,0)</f>
        <v>2</v>
      </c>
      <c r="CS5" s="191">
        <f>+VLOOKUP(CS4&amp;"gol",Aux!$W$1:$X$46,2,0)</f>
        <v>2</v>
      </c>
      <c r="CT5" s="191">
        <f>+VLOOKUP(CT4&amp;"signo",Aux!$W$1:$X$46,2,0)</f>
        <v>4</v>
      </c>
      <c r="CU5" s="191">
        <f>+VLOOKUP(CU4&amp;"gol",Aux!$W$1:$X$46,2,0)</f>
        <v>2</v>
      </c>
      <c r="CV5" s="191">
        <f>+VLOOKUP(CV4&amp;"gol",Aux!$W$1:$X$46,2,0)</f>
        <v>2</v>
      </c>
      <c r="CW5" s="191">
        <f>+VLOOKUP(CW4&amp;"signo",Aux!$W$1:$X$46,2,0)</f>
        <v>4</v>
      </c>
      <c r="CX5" s="191">
        <f>+VLOOKUP(CX4&amp;"gol",Aux!$W$1:$X$46,2,0)</f>
        <v>2</v>
      </c>
      <c r="CY5" s="191">
        <f>+VLOOKUP(CY4&amp;"gol",Aux!$W$1:$X$46,2,0)</f>
        <v>2</v>
      </c>
      <c r="CZ5" s="191">
        <f>+VLOOKUP(CZ4&amp;"signo",Aux!$W$1:$X$46,2,0)</f>
        <v>4</v>
      </c>
      <c r="DA5" s="191">
        <f>+VLOOKUP(DA4&amp;"gol",Aux!$W$1:$X$46,2,0)</f>
        <v>2</v>
      </c>
      <c r="DB5" s="191">
        <f>+VLOOKUP(DB4&amp;"gol",Aux!$W$1:$X$46,2,0)</f>
        <v>2</v>
      </c>
      <c r="DC5" s="191">
        <f>+VLOOKUP(DC4&amp;"signo",Aux!$W$1:$X$46,2,0)</f>
        <v>4</v>
      </c>
      <c r="DD5" s="191">
        <f>+VLOOKUP(DD4&amp;"gol",Aux!$W$1:$X$46,2,0)</f>
        <v>4</v>
      </c>
      <c r="DE5" s="191">
        <f>+VLOOKUP(DE4&amp;"gol",Aux!$W$1:$X$46,2,0)</f>
        <v>4</v>
      </c>
      <c r="DF5" s="191">
        <f>+VLOOKUP(DF4&amp;"signo",Aux!$W$1:$X$46,2,0)</f>
        <v>8</v>
      </c>
      <c r="DG5" s="191">
        <f>+VLOOKUP(DG4&amp;"gol",Aux!$W$1:$X$46,2,0)</f>
        <v>4</v>
      </c>
      <c r="DH5" s="191">
        <f>+VLOOKUP(DH4&amp;"gol",Aux!$W$1:$X$46,2,0)</f>
        <v>4</v>
      </c>
      <c r="DI5" s="191">
        <f>+VLOOKUP(DI4&amp;"signo",Aux!$W$1:$X$46,2,0)</f>
        <v>8</v>
      </c>
      <c r="DJ5" s="191">
        <f>+VLOOKUP(DJ4&amp;"gol",Aux!$W$1:$X$46,2,0)</f>
        <v>8</v>
      </c>
      <c r="DK5" s="191">
        <f>+VLOOKUP(DK4&amp;"gol",Aux!$W$1:$X$46,2,0)</f>
        <v>8</v>
      </c>
      <c r="DL5" s="191">
        <f>+VLOOKUP(DL4&amp;"signo",Aux!$W$1:$X$46,2,0)</f>
        <v>16</v>
      </c>
      <c r="DM5" s="191">
        <f>+VLOOKUP(DM4&amp;"gol",Aux!$W$1:$X$46,2,0)</f>
        <v>8</v>
      </c>
      <c r="DN5" s="191">
        <f>+VLOOKUP(DN4&amp;"gol",Aux!$W$1:$X$46,2,0)</f>
        <v>8</v>
      </c>
      <c r="DO5" s="191">
        <f>+VLOOKUP(DO4&amp;"signo",Aux!$W$1:$X$46,2,0)</f>
        <v>16</v>
      </c>
    </row>
    <row r="6" spans="2:119" x14ac:dyDescent="0.45">
      <c r="B6" s="141" t="s">
        <v>95</v>
      </c>
      <c r="C6" s="141" t="s">
        <v>96</v>
      </c>
      <c r="D6" s="141" t="s">
        <v>97</v>
      </c>
    </row>
    <row r="7" spans="2:119" x14ac:dyDescent="0.4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4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4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4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4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4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4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4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4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4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4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4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4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4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4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4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4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4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4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4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4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4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4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4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4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4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4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4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4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4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4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4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4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4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4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4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4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4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4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4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4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4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4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4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4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4.25" x14ac:dyDescent="0.45"/>
  <cols>
    <col min="1" max="1" width="4.59765625" customWidth="1"/>
    <col min="2" max="2" width="1.86328125" customWidth="1"/>
    <col min="3" max="3" width="5" customWidth="1"/>
    <col min="4" max="4" width="22.86328125" customWidth="1"/>
    <col min="5" max="14" width="8.86328125" customWidth="1"/>
    <col min="15" max="15" width="1.86328125" customWidth="1"/>
    <col min="16" max="16" width="10.73046875" style="82"/>
    <col min="17" max="17" width="10.73046875" style="119"/>
    <col min="18" max="18" width="12.59765625" style="120" customWidth="1"/>
    <col min="19" max="23" width="8" style="120" customWidth="1"/>
    <col min="24" max="25" width="10.73046875" style="121"/>
    <col min="26" max="26" width="10.73046875" style="122"/>
    <col min="27" max="27" width="11.3984375" style="122" customWidth="1"/>
    <col min="28" max="31" width="10.73046875" style="121"/>
  </cols>
  <sheetData>
    <row r="1" spans="3:28" x14ac:dyDescent="0.45">
      <c r="Q1" s="293" t="s">
        <v>194</v>
      </c>
    </row>
    <row r="2" spans="3:28" ht="14.65" customHeight="1" thickBot="1" x14ac:dyDescent="0.5">
      <c r="Q2" s="294"/>
    </row>
    <row r="3" spans="3:28" ht="56.65" customHeight="1" x14ac:dyDescent="0.45">
      <c r="C3" s="143"/>
      <c r="D3" s="144"/>
      <c r="E3" s="281" t="s">
        <v>177</v>
      </c>
      <c r="F3" s="281"/>
      <c r="G3" s="281"/>
      <c r="H3" s="281"/>
      <c r="I3" s="281"/>
      <c r="J3" s="281"/>
      <c r="K3" s="281"/>
      <c r="L3" s="144"/>
      <c r="M3" s="144"/>
      <c r="N3" s="145"/>
      <c r="P3" s="196"/>
      <c r="Q3" s="297" t="s">
        <v>195</v>
      </c>
      <c r="R3" s="298"/>
    </row>
    <row r="4" spans="3:28" ht="27.4" customHeight="1" thickBot="1" x14ac:dyDescent="0.5">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4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4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4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4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4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4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4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4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4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4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4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4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4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4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4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4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4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4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4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4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4.65" thickBot="1" x14ac:dyDescent="0.5">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4.65" thickBot="1" x14ac:dyDescent="0.5">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45">
      <c r="Q29"/>
    </row>
    <row r="30" spans="3:28" x14ac:dyDescent="0.45">
      <c r="Q30"/>
    </row>
    <row r="31" spans="3:28" x14ac:dyDescent="0.45">
      <c r="Q31"/>
    </row>
    <row r="32" spans="3:28" ht="14.25" customHeight="1" x14ac:dyDescent="0.45">
      <c r="Q32"/>
    </row>
    <row r="33" spans="17:18" x14ac:dyDescent="0.45">
      <c r="Q33"/>
      <c r="R33" s="82"/>
    </row>
    <row r="34" spans="17:18" x14ac:dyDescent="0.45">
      <c r="Q34" s="50"/>
    </row>
  </sheetData>
  <mergeCells count="2">
    <mergeCell ref="Q1:Q2"/>
    <mergeCell ref="E3:K3"/>
  </mergeCells>
  <conditionalFormatting sqref="E5:H26">
    <cfRule type="expression" dxfId="33" priority="11">
      <formula>E5=MAX(E$5:E$26)</formula>
    </cfRule>
  </conditionalFormatting>
  <conditionalFormatting sqref="I5:I26">
    <cfRule type="expression" dxfId="32" priority="7">
      <formula>I5=MAX($I$5:$I$25)</formula>
    </cfRule>
    <cfRule type="expression" dxfId="31" priority="8">
      <formula>I5=MIN($I$5:$I$25)</formula>
    </cfRule>
  </conditionalFormatting>
  <conditionalFormatting sqref="M5:M25">
    <cfRule type="expression" dxfId="30" priority="9">
      <formula>M5=MIN($M$5:$M$25)</formula>
    </cfRule>
    <cfRule type="expression" dxfId="29" priority="10">
      <formula>M5=MAX($M$5:$M$25)</formula>
    </cfRule>
  </conditionalFormatting>
  <conditionalFormatting sqref="N5:N25">
    <cfRule type="expression" dxfId="28" priority="5">
      <formula>N5=MAX($N$5:$N$25)</formula>
    </cfRule>
    <cfRule type="expression" dxfId="27" priority="6">
      <formula>N5=MIN($N$5:$N$25)</formula>
    </cfRule>
  </conditionalFormatting>
  <conditionalFormatting sqref="Q34">
    <cfRule type="expression" dxfId="24" priority="3">
      <formula>$L34&lt;&gt;""</formula>
    </cfRule>
    <cfRule type="expression" dxfId="23" priority="4">
      <formula>AND($L34&lt;&gt;"",$L35="")</formula>
    </cfRule>
  </conditionalFormatting>
  <conditionalFormatting sqref="Q1:Q3">
    <cfRule type="expression" dxfId="1" priority="1">
      <formula>$L1&lt;&gt;""</formula>
    </cfRule>
    <cfRule type="expression" dxfId="0" priority="2">
      <formula>AND($L1&lt;&gt;"",$L2="")</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K35" sqref="K35"/>
    </sheetView>
  </sheetViews>
  <sheetFormatPr baseColWidth="10" defaultRowHeight="14.25" x14ac:dyDescent="0.45"/>
  <cols>
    <col min="1" max="1" width="4.59765625" customWidth="1"/>
    <col min="2" max="2" width="2.59765625" customWidth="1"/>
    <col min="3" max="3" width="15.59765625" customWidth="1"/>
    <col min="4" max="4" width="10.59765625" customWidth="1"/>
    <col min="5" max="5" width="7.59765625" customWidth="1"/>
    <col min="6" max="7" width="10.59765625" customWidth="1"/>
    <col min="8" max="8" width="7.59765625" customWidth="1"/>
    <col min="9" max="10" width="10.59765625" customWidth="1"/>
    <col min="11" max="11" width="7.59765625" customWidth="1"/>
    <col min="12" max="13" width="10.59765625" customWidth="1"/>
    <col min="14" max="14" width="7.59765625" customWidth="1"/>
    <col min="15" max="15" width="10.59765625" customWidth="1"/>
    <col min="16" max="16" width="2.59765625" customWidth="1"/>
    <col min="18" max="18" width="2.59765625" customWidth="1"/>
    <col min="19" max="19" width="11.73046875" customWidth="1"/>
    <col min="20" max="27" width="14.59765625" customWidth="1"/>
    <col min="28" max="28" width="2.59765625" customWidth="1"/>
    <col min="30" max="30" width="18.86328125" style="207" bestFit="1" customWidth="1"/>
    <col min="31" max="31" width="10.73046875" style="207"/>
  </cols>
  <sheetData>
    <row r="1" spans="1:31" ht="15" customHeight="1" x14ac:dyDescent="0.4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5">
      <c r="C2" s="207"/>
      <c r="D2" s="207"/>
      <c r="E2" s="207"/>
      <c r="F2" s="207"/>
      <c r="G2" s="207"/>
      <c r="H2" s="207"/>
      <c r="I2" s="207"/>
      <c r="J2" s="207"/>
      <c r="K2" s="207"/>
      <c r="L2" s="207"/>
      <c r="M2" s="207"/>
      <c r="AD2" s="207" t="s">
        <v>60</v>
      </c>
      <c r="AE2" s="207">
        <v>8</v>
      </c>
    </row>
    <row r="3" spans="1:31" ht="15" customHeight="1" thickBot="1" x14ac:dyDescent="0.5">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549999999999997" customHeight="1" x14ac:dyDescent="0.45">
      <c r="B4" s="214"/>
      <c r="C4" s="283" t="s">
        <v>191</v>
      </c>
      <c r="D4" s="284"/>
      <c r="E4" s="284"/>
      <c r="F4" s="284"/>
      <c r="G4" s="284"/>
      <c r="H4" s="284"/>
      <c r="I4" s="284"/>
      <c r="J4" s="284"/>
      <c r="K4" s="284"/>
      <c r="L4" s="284"/>
      <c r="M4" s="284"/>
      <c r="N4" s="284"/>
      <c r="O4" s="285"/>
      <c r="P4" s="123"/>
      <c r="R4" s="214"/>
      <c r="S4" s="286" t="s">
        <v>175</v>
      </c>
      <c r="T4" s="287"/>
      <c r="U4" s="287"/>
      <c r="V4" s="287"/>
      <c r="W4" s="287"/>
      <c r="X4" s="287"/>
      <c r="Y4" s="287"/>
      <c r="Z4" s="287"/>
      <c r="AA4" s="288"/>
      <c r="AB4" s="123"/>
      <c r="AD4" s="207" t="s">
        <v>11</v>
      </c>
      <c r="AE4" s="207">
        <v>3</v>
      </c>
    </row>
    <row r="5" spans="1:31" ht="20.100000000000001" customHeight="1" x14ac:dyDescent="0.45">
      <c r="B5" s="214"/>
      <c r="C5" s="146"/>
      <c r="D5" s="289" t="str">
        <f>"Grupo "&amp;VLOOKUP(D1,Aux!$F:$O,8,0)</f>
        <v>Grupo A</v>
      </c>
      <c r="E5" s="290"/>
      <c r="F5" s="291"/>
      <c r="G5" s="289" t="str">
        <f>"Grupo "&amp;VLOOKUP(G1,Aux!$F:$O,8,0)</f>
        <v>Grupo A</v>
      </c>
      <c r="H5" s="290"/>
      <c r="I5" s="291"/>
      <c r="J5" s="289" t="str">
        <f>"Grupo "&amp;VLOOKUP(J1,Aux!$F:$O,8,0)</f>
        <v>Grupo B</v>
      </c>
      <c r="K5" s="290"/>
      <c r="L5" s="291"/>
      <c r="M5" s="289" t="str">
        <f>"Grupo "&amp;VLOOKUP(M1,Aux!$F:$O,8,0)</f>
        <v>Grupo B</v>
      </c>
      <c r="N5" s="290"/>
      <c r="O5" s="291"/>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45">
      <c r="B6" s="214"/>
      <c r="C6" s="146"/>
      <c r="D6" s="282" t="str">
        <f>VLOOKUP(D1,Aux!$F:$O,5,0)</f>
        <v>Argentina</v>
      </c>
      <c r="E6" s="217">
        <f>VLOOKUP(D1,Aux!$F:$O,3,0)</f>
        <v>45463.833333333336</v>
      </c>
      <c r="F6" s="282" t="str">
        <f>VLOOKUP(D1,Aux!$F:$O,6,0)</f>
        <v>Canadá</v>
      </c>
      <c r="G6" s="282" t="str">
        <f>VLOOKUP(G1,Aux!$F:$O,5,0)</f>
        <v>Perú</v>
      </c>
      <c r="H6" s="217">
        <f>VLOOKUP(G1,Aux!$F:$O,3,0)</f>
        <v>45464.791666666664</v>
      </c>
      <c r="I6" s="282" t="str">
        <f>VLOOKUP(G1,Aux!$F:$O,6,0)</f>
        <v>Chile</v>
      </c>
      <c r="J6" s="282" t="str">
        <f>VLOOKUP(J1,Aux!$F:$O,5,0)</f>
        <v>Ecuador</v>
      </c>
      <c r="K6" s="217">
        <f>VLOOKUP(J1,Aux!$F:$O,3,0)</f>
        <v>45465.625</v>
      </c>
      <c r="L6" s="282" t="str">
        <f>VLOOKUP(J1,Aux!$F:$O,6,0)</f>
        <v>Venezuela</v>
      </c>
      <c r="M6" s="282" t="str">
        <f>VLOOKUP(M1,Aux!$F:$O,5,0)</f>
        <v>México</v>
      </c>
      <c r="N6" s="217">
        <f>VLOOKUP(M1,Aux!$F:$O,3,0)</f>
        <v>45465.833333333336</v>
      </c>
      <c r="O6" s="282"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45">
      <c r="B7" s="214"/>
      <c r="C7" s="146"/>
      <c r="D7" s="282"/>
      <c r="E7" s="220">
        <f>+E6</f>
        <v>45463.833333333336</v>
      </c>
      <c r="F7" s="282"/>
      <c r="G7" s="282"/>
      <c r="H7" s="220">
        <f>+H6</f>
        <v>45464.791666666664</v>
      </c>
      <c r="I7" s="282"/>
      <c r="J7" s="282"/>
      <c r="K7" s="220">
        <f>+K6</f>
        <v>45465.625</v>
      </c>
      <c r="L7" s="282"/>
      <c r="M7" s="282"/>
      <c r="N7" s="220">
        <f>+N6</f>
        <v>45465.833333333336</v>
      </c>
      <c r="O7" s="282"/>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5">
      <c r="B8" s="214"/>
      <c r="C8" s="112" t="s">
        <v>99</v>
      </c>
      <c r="D8" s="221" t="str">
        <f ca="1">VLOOKUP(D1,Aux!$F:$O,9,0)</f>
        <v/>
      </c>
      <c r="E8" s="222" t="str">
        <f ca="1">+IF(D8="","",IF(D8&gt;F8,1,IF(D8=F8,"X",2)))</f>
        <v/>
      </c>
      <c r="F8" s="223" t="str">
        <f ca="1">VLOOKUP(D1,Aux!$F:$O,10,0)</f>
        <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4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4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4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4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4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4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4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4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4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4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4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4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4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4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4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4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4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4.65" thickBot="1" x14ac:dyDescent="0.5">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4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4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4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4.65" thickBot="1" x14ac:dyDescent="0.5">
      <c r="B30" s="237"/>
      <c r="C30" s="238"/>
      <c r="D30" s="238"/>
      <c r="E30" s="238"/>
      <c r="F30" s="238"/>
      <c r="G30" s="238"/>
      <c r="H30" s="238"/>
      <c r="I30" s="238"/>
      <c r="J30" s="238"/>
      <c r="K30" s="238"/>
      <c r="L30" s="238"/>
      <c r="M30" s="238"/>
      <c r="N30" s="238"/>
      <c r="O30" s="238"/>
      <c r="P30" s="99"/>
    </row>
    <row r="32" spans="2:31" ht="14.65" thickBot="1" x14ac:dyDescent="0.5">
      <c r="Q32" s="292"/>
    </row>
    <row r="33" spans="17:17" x14ac:dyDescent="0.45">
      <c r="Q33" s="293" t="s">
        <v>194</v>
      </c>
    </row>
    <row r="34" spans="17:17" ht="14.65" thickBot="1" x14ac:dyDescent="0.5">
      <c r="Q34" s="294"/>
    </row>
    <row r="35" spans="17:17" x14ac:dyDescent="0.45">
      <c r="Q35" s="295" t="s">
        <v>195</v>
      </c>
    </row>
    <row r="36" spans="17:17" ht="14.65" thickBot="1" x14ac:dyDescent="0.5">
      <c r="Q36" s="296"/>
    </row>
    <row r="37" spans="17:17" x14ac:dyDescent="0.4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20" priority="13">
      <formula>#REF!="P"</formula>
    </cfRule>
    <cfRule type="expression" dxfId="19" priority="14">
      <formula>#REF!="E"</formula>
    </cfRule>
    <cfRule type="expression" dxfId="18" priority="15">
      <formula>#REF!="G"</formula>
    </cfRule>
  </conditionalFormatting>
  <conditionalFormatting sqref="D10:O22 D25:O25 D28:O28">
    <cfRule type="expression" dxfId="17" priority="12">
      <formula>IF(AND(D8&lt;&gt;"",D$8=D10,$C10&lt;&gt;""),1,0)</formula>
    </cfRule>
  </conditionalFormatting>
  <conditionalFormatting sqref="D23:O23">
    <cfRule type="expression" dxfId="16" priority="18">
      <formula>IF(AND(D22&lt;&gt;"",D$8=D23),1,0)</formula>
    </cfRule>
  </conditionalFormatting>
  <conditionalFormatting sqref="D24:O24">
    <cfRule type="expression" dxfId="15" priority="19">
      <formula>IF(AND(#REF!&lt;&gt;"",D$8=D24),1,0)</formula>
    </cfRule>
  </conditionalFormatting>
  <conditionalFormatting sqref="D26:O27">
    <cfRule type="expression" dxfId="14" priority="17">
      <formula>IF(AND(D11&lt;&gt;"",D$8=D26),1,0)</formula>
    </cfRule>
  </conditionalFormatting>
  <conditionalFormatting sqref="D29:O29">
    <cfRule type="expression" dxfId="13" priority="16">
      <formula>IF(AND(D26&lt;&gt;"",D$8=D29),1,0)</formula>
    </cfRule>
  </conditionalFormatting>
  <conditionalFormatting sqref="G8">
    <cfRule type="expression" dxfId="12" priority="9">
      <formula>#REF!="P"</formula>
    </cfRule>
    <cfRule type="expression" dxfId="11" priority="10">
      <formula>#REF!="E"</formula>
    </cfRule>
    <cfRule type="expression" dxfId="10" priority="11">
      <formula>#REF!="G"</formula>
    </cfRule>
  </conditionalFormatting>
  <conditionalFormatting sqref="J8">
    <cfRule type="expression" dxfId="9" priority="6">
      <formula>#REF!="P"</formula>
    </cfRule>
    <cfRule type="expression" dxfId="8" priority="7">
      <formula>#REF!="E"</formula>
    </cfRule>
    <cfRule type="expression" dxfId="7" priority="8">
      <formula>#REF!="G"</formula>
    </cfRule>
  </conditionalFormatting>
  <conditionalFormatting sqref="M8">
    <cfRule type="expression" dxfId="6" priority="3">
      <formula>#REF!="P"</formula>
    </cfRule>
    <cfRule type="expression" dxfId="5" priority="4">
      <formula>#REF!="E"</formula>
    </cfRule>
    <cfRule type="expression" dxfId="4" priority="5">
      <formula>#REF!="G"</formula>
    </cfRule>
  </conditionalFormatting>
  <conditionalFormatting sqref="Q32:Q37">
    <cfRule type="expression" dxfId="3" priority="1">
      <formula>$L32&lt;&gt;""</formula>
    </cfRule>
    <cfRule type="expression" dxfId="2"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Data</vt:lpstr>
      <vt:lpstr>TotalApuestas</vt:lpstr>
      <vt:lpstr>Resultado</vt:lpstr>
      <vt:lpstr>ClasificaciónPorra</vt:lpstr>
      <vt:lpstr>Seguimiento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Costa Céspedes Iván</cp:lastModifiedBy>
  <dcterms:created xsi:type="dcterms:W3CDTF">2024-01-15T16:01:21Z</dcterms:created>
  <dcterms:modified xsi:type="dcterms:W3CDTF">2024-06-10T17:39:30Z</dcterms:modified>
</cp:coreProperties>
</file>