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B68624B2-D169-4241-B5BD-6B0FF3B7ED66}" xr6:coauthVersionLast="47" xr6:coauthVersionMax="47" xr10:uidLastSave="{00000000-0000-0000-0000-000000000000}"/>
  <bookViews>
    <workbookView xWindow="-120" yWindow="-120" windowWidth="29040" windowHeight="15720" activeTab="4"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N30" i="1"/>
  <c r="N26" i="1"/>
  <c r="O30" i="1"/>
  <c r="O31" i="1"/>
  <c r="O33" i="1"/>
  <c r="N28" i="1"/>
  <c r="N27" i="1"/>
  <c r="O29" i="1"/>
  <c r="O27" i="1"/>
  <c r="N32" i="1"/>
  <c r="N31" i="1"/>
  <c r="O26" i="1"/>
  <c r="N33" i="1"/>
  <c r="O28" i="1"/>
  <c r="O32"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1" i="1"/>
  <c r="N23" i="1"/>
  <c r="N9" i="1"/>
  <c r="N19" i="1"/>
  <c r="N8" i="1"/>
  <c r="N16" i="1"/>
  <c r="N3" i="1"/>
  <c r="O23" i="1"/>
  <c r="N24" i="1"/>
  <c r="O18" i="1"/>
  <c r="N5" i="1"/>
  <c r="O13" i="1"/>
  <c r="N14" i="1"/>
  <c r="O12" i="1"/>
  <c r="N12" i="1"/>
  <c r="O25" i="1"/>
  <c r="N21" i="1"/>
  <c r="O22" i="1"/>
  <c r="O3" i="1"/>
  <c r="O15" i="1"/>
  <c r="O16" i="1"/>
  <c r="N25" i="1"/>
  <c r="N6" i="1"/>
  <c r="O24" i="1"/>
  <c r="N17" i="1"/>
  <c r="O11" i="1"/>
  <c r="N22" i="1"/>
  <c r="N15" i="1"/>
  <c r="O20" i="1"/>
  <c r="O6" i="1"/>
  <c r="N18" i="1"/>
  <c r="N4" i="1"/>
  <c r="O17" i="1"/>
  <c r="N7" i="1"/>
  <c r="O4" i="1"/>
  <c r="O2" i="1"/>
  <c r="N13" i="1"/>
  <c r="O19" i="1"/>
  <c r="O7" i="1"/>
  <c r="N10" i="1"/>
  <c r="O9" i="1"/>
  <c r="O21" i="1"/>
  <c r="N20" i="1"/>
  <c r="O10" i="1"/>
  <c r="O5" i="1"/>
  <c r="O8" i="1"/>
  <c r="N2" i="1"/>
  <c r="O14"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N15" i="38"/>
  <c r="AL15" i="38"/>
  <c r="BS15" i="38"/>
  <c r="AO15" i="38"/>
  <c r="AR15" i="38"/>
  <c r="DI15" i="38"/>
  <c r="AU15" i="38"/>
  <c r="K15" i="38"/>
  <c r="BG15" i="38"/>
  <c r="BP15" i="38"/>
  <c r="Z15" i="38"/>
  <c r="AX15" i="38"/>
  <c r="AI15" i="38"/>
  <c r="N15" i="38"/>
  <c r="BV15" i="38"/>
  <c r="BX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S8" i="38" l="1"/>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J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15" i="33" a="1"/>
  <c r="N18" i="33" a="1"/>
  <c r="CA3" i="38" a="1"/>
  <c r="H12" i="33" a="1"/>
  <c r="H18" i="33" a="1"/>
  <c r="H15" i="33" a="1"/>
  <c r="N9" i="33" a="1"/>
  <c r="BZ3" i="38" a="1"/>
  <c r="BF8" i="38" l="1"/>
  <c r="AE9" i="38"/>
  <c r="BF15" i="38"/>
  <c r="AE15" i="38"/>
  <c r="AH8" i="38"/>
  <c r="AH15" i="38"/>
  <c r="BC15" i="38"/>
  <c r="G15" i="38"/>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T10" i="38"/>
  <c r="CT11" i="38"/>
  <c r="CT9" i="38"/>
  <c r="CT13" i="38"/>
  <c r="CT12" i="38"/>
  <c r="CT14"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W9" i="38" l="1"/>
  <c r="CW11" i="38"/>
  <c r="CW10" i="38"/>
  <c r="CW13" i="38"/>
  <c r="CW7" i="38"/>
  <c r="CW12" i="38"/>
  <c r="DC15" i="38"/>
  <c r="CW15" i="38"/>
  <c r="CT8" i="38"/>
  <c r="X6" i="39" s="1"/>
  <c r="CT7" i="38"/>
  <c r="CT15" i="38"/>
  <c r="X13" i="39"/>
  <c r="AA13" i="39" s="1"/>
  <c r="AB13" i="39" s="1"/>
  <c r="CW1" i="36"/>
  <c r="DC11" i="38"/>
  <c r="X9" i="39" s="1"/>
  <c r="DC10" i="38"/>
  <c r="X8" i="39" s="1"/>
  <c r="DC13" i="38"/>
  <c r="DC7" i="38"/>
  <c r="X5" i="39" s="1"/>
  <c r="DC1" i="36"/>
  <c r="DC14" i="38"/>
  <c r="DC12" i="38"/>
  <c r="X10" i="39" s="1"/>
  <c r="CW14" i="38"/>
  <c r="X7" i="39"/>
  <c r="DC8" i="38"/>
  <c r="S15" i="33"/>
  <c r="N12" i="34" s="1"/>
  <c r="X11" i="39" l="1"/>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AA12" i="39" s="1"/>
  <c r="AB12" i="39" s="1"/>
  <c r="CP14" i="38"/>
  <c r="CO9" i="38"/>
  <c r="Z7" i="39" s="1"/>
  <c r="CP7" i="38"/>
  <c r="CP11" i="38"/>
  <c r="CO7" i="38"/>
  <c r="CO8" i="38"/>
  <c r="CO12" i="38"/>
  <c r="CP8" i="38"/>
  <c r="Z10" i="39" l="1"/>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H18" i="39"/>
  <c r="M18" i="39"/>
  <c r="P18" i="39" s="1"/>
  <c r="K18" i="39"/>
  <c r="E11" i="39"/>
  <c r="K11" i="39"/>
  <c r="M11" i="39"/>
  <c r="P11" i="39" s="1"/>
  <c r="L11" i="39"/>
  <c r="I11" i="39"/>
  <c r="G11" i="39"/>
  <c r="N11" i="39"/>
  <c r="J11" i="39"/>
  <c r="C16" i="40"/>
  <c r="F11" i="39"/>
  <c r="H11" i="39"/>
  <c r="E18" i="39" l="1"/>
  <c r="I18" i="39"/>
  <c r="G18" i="39"/>
  <c r="J18" i="39"/>
  <c r="N18" i="39"/>
  <c r="F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E17" i="40" s="1"/>
  <c r="I17" i="40" a="1"/>
  <c r="I17" i="40" s="1"/>
  <c r="H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F18" i="40" a="1"/>
  <c r="F18" i="40" s="1"/>
  <c r="J18" i="40"/>
  <c r="K18" i="40" s="1"/>
  <c r="J12" i="40"/>
  <c r="J20" i="40"/>
  <c r="K20" i="40" s="1"/>
  <c r="G18" i="40"/>
  <c r="L18" i="40" a="1"/>
  <c r="L18" i="40" s="1"/>
  <c r="L20" i="40" a="1"/>
  <c r="L20" i="40" s="1"/>
  <c r="O18" i="40" a="1"/>
  <c r="O18" i="40" s="1"/>
  <c r="N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K16" i="40"/>
  <c r="E16" i="40"/>
  <c r="H16" i="40"/>
  <c r="N17" i="40"/>
  <c r="N16" i="40"/>
  <c r="E18" i="40" l="1"/>
  <c r="H18" i="40"/>
  <c r="E15" i="40"/>
  <c r="H15" i="40"/>
  <c r="E10" i="40"/>
  <c r="K10" i="40"/>
  <c r="K11" i="40"/>
  <c r="N10" i="40"/>
  <c r="N14" i="40"/>
  <c r="K12" i="40"/>
  <c r="N12" i="40"/>
  <c r="K14" i="40"/>
  <c r="N13" i="40"/>
  <c r="E11" i="40"/>
  <c r="E14" i="40"/>
  <c r="N11" i="40"/>
  <c r="H12" i="40"/>
  <c r="K13" i="40"/>
  <c r="H13"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<sst xmlns="http://schemas.openxmlformats.org/spreadsheetml/2006/main" count="1028" uniqueCount="346">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</sst>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xf numFmtId="0" fontId="0" fillId="0" borderId="0" xfId="0" applyNumberFormat="1"/>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20"/>
    <tableColumn id="2" xr3:uid="{D123B938-9F02-4DD1-A94D-0E35A33E036B}" uniqueName="2" name="Column1" queryTableFieldId="2" dataDxfId="19"/>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8"/>
    <tableColumn id="78" xr3:uid="{083F3779-9D3A-49B2-9965-78DB66CC4F86}" uniqueName="78" name="Column77" queryTableFieldId="78" dataDxfId="17"/>
    <tableColumn id="79" xr3:uid="{10A66AA2-5BBF-427C-81FB-2A6F5CE59ABD}" uniqueName="79" name="Column78" queryTableFieldId="79" dataDxfId="16"/>
    <tableColumn id="80" xr3:uid="{1FE86E04-9EE9-429E-B84F-C1A61174CAFE}" uniqueName="80" name="Column79" queryTableFieldId="80" dataDxfId="15"/>
    <tableColumn id="81" xr3:uid="{AFA2057F-CE07-436E-83CF-011B5F99BD39}" uniqueName="81" name="Column80" queryTableFieldId="81" dataDxfId="14"/>
    <tableColumn id="82" xr3:uid="{2A3C635C-A969-4A4A-81D1-36DA3974954E}" uniqueName="82" name="Column81" queryTableFieldId="82" dataDxfId="13"/>
    <tableColumn id="83" xr3:uid="{EEE52F7E-6E59-490C-86F1-F37808623BD3}" uniqueName="83" name="Column82" queryTableFieldId="83" dataDxfId="12"/>
    <tableColumn id="84" xr3:uid="{6A157DA2-342B-4A04-8562-949AF7D50517}" uniqueName="84" name="Column83" queryTableFieldId="84" dataDxfId="11"/>
    <tableColumn id="85" xr3:uid="{6581FF84-A629-4BAD-B12E-B49C1672FC7E}" uniqueName="85" name="Column84" queryTableFieldId="85" dataDxfId="10"/>
    <tableColumn id="86" xr3:uid="{2C1CEACE-7FEE-4777-9E12-D5FC5BD0C1F9}" uniqueName="86" name="Column85" queryTableFieldId="86" dataDxfId="9"/>
    <tableColumn id="87" xr3:uid="{BF873B40-0484-4671-A0C9-11D0B14FFEA8}" uniqueName="87" name="Column86" queryTableFieldId="87" dataDxfId="8"/>
    <tableColumn id="88" xr3:uid="{3A7B4226-EA71-4E94-9EA8-7203E05767CD}" uniqueName="88" name="Column87" queryTableFieldId="88" dataDxfId="7"/>
    <tableColumn id="89" xr3:uid="{7118D83D-A50D-4386-9707-7BD2D528401E}" uniqueName="89" name="Column88" queryTableFieldId="89" dataDxfId="6"/>
    <tableColumn id="90" xr3:uid="{D994FCB5-3EBA-4434-842A-07B76AF72EB0}" uniqueName="90" name="Column89" queryTableFieldId="90" dataDxfId="5"/>
    <tableColumn id="91" xr3:uid="{37D00916-DD1B-47A3-BAA6-D6E2D18AF8FA}" uniqueName="91" name="Column90" queryTableFieldId="91" dataDxfId="4"/>
    <tableColumn id="92" xr3:uid="{1891C602-1B16-4B5D-82F9-491CEA1F0499}" uniqueName="92" name="Column91" queryTableFieldId="92" dataDxfId="3"/>
    <tableColumn id="93" xr3:uid="{93BE74D4-23D2-4E96-B798-D07CAEAA9A0D}" uniqueName="93" name="Column92" queryTableFieldId="93" dataDxfId="2"/>
    <tableColumn id="94" xr3:uid="{5FABA8B1-F708-4D84-95B3-B5C92BE43948}" uniqueName="94" name="Column93" queryTableFieldId="94" dataDxfId="1"/>
    <tableColumn id="95" xr3:uid="{F776BD83-3E16-44BB-948C-BAEF9DB38B0C}" uniqueName="95" name="Column94" queryTableFieldId="95" dataDxfId="0"/>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9" sqref="J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3</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3</v>
      </c>
      <c r="T9" s="160">
        <f>+VLOOKUP($P9,$AD$9:$AK$15,4,0)</f>
        <v>1</v>
      </c>
      <c r="U9" s="160">
        <f>+VLOOKUP($P9,$AD$9:$AK$15,5,0)</f>
        <v>0</v>
      </c>
      <c r="V9" s="160">
        <f>+VLOOKUP($P9,$AD$9:$AK$15,6,0)</f>
        <v>0</v>
      </c>
      <c r="W9" s="161">
        <f>+VLOOKUP($P9,$AD$9:$AK$15,7,0)</f>
        <v>2</v>
      </c>
      <c r="X9" s="161">
        <f>+VLOOKUP($P9,$AD$9:$AK$15,8,0)</f>
        <v>0</v>
      </c>
      <c r="Y9" s="161">
        <f>+W9-X9</f>
        <v>2</v>
      </c>
      <c r="Z9" s="60"/>
      <c r="AA9" s="57"/>
      <c r="AB9" s="53"/>
      <c r="AC9" s="53">
        <v>1</v>
      </c>
      <c r="AD9" s="251" t="str">
        <f>+VLOOKUP($AD$5&amp;AC9,Aux!S:T,2,0)</f>
        <v>Argentina</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0</v>
      </c>
      <c r="AM9" s="252">
        <f>+AJ9-AK9</f>
        <v>2</v>
      </c>
      <c r="AN9" s="53">
        <f>+_xlfn.RANK.EQ(AF9,$AF$9:$AF$15)+_xlfn.RANK.EQ(AM9,$AM$9:$AM$15)/10+_xlfn.RANK.EQ(AJ9,$AJ$9:$AJ$15)/100+_xlfn.RANK.EQ(AL9,$AL$9:$AL$15)/1000+ROW()/1000000</f>
        <v>1.114009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c r="I11" s="257" t="s">
        <v>41</v>
      </c>
      <c r="J11" s="258"/>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0</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200</v>
      </c>
      <c r="AM11" s="252">
        <f>+AJ11-AK11</f>
        <v>0</v>
      </c>
      <c r="AN11" s="53">
        <f>+_xlfn.RANK.EQ(AF11,$AF$9:$AF$15)+_xlfn.RANK.EQ(AM11,$AM$9:$AM$15)/10+_xlfn.RANK.EQ(AJ11,$AJ$9:$AJ$15)/100+_xlfn.RANK.EQ(AL11,$AL$9:$AL$15)/1000+ROW()/1000000</f>
        <v>2.2210110000000003</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0</v>
      </c>
      <c r="AF13" s="53">
        <f t="shared" si="1"/>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200</v>
      </c>
      <c r="AM13" s="252">
        <f>+AJ13-AK13</f>
        <v>0</v>
      </c>
      <c r="AN13" s="53">
        <f>+_xlfn.RANK.EQ(AF13,$AF$9:$AF$15)+_xlfn.RANK.EQ(AM13,$AM$9:$AM$15)/10+_xlfn.RANK.EQ(AJ13,$AJ$9:$AJ$15)/100+_xlfn.RANK.EQ(AL13,$AL$9:$AL$15)/1000+ROW()/1000000</f>
        <v>2.2210130000000001</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Canadá</v>
      </c>
      <c r="AE15" s="53">
        <f t="shared" si="0"/>
        <v>1</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200</v>
      </c>
      <c r="AM15" s="252">
        <f>+AJ15-AK15</f>
        <v>-2</v>
      </c>
      <c r="AN15" s="53">
        <f>+_xlfn.RANK.EQ(AF15,$AF$9:$AF$15)+_xlfn.RANK.EQ(AM15,$AM$9:$AM$15)/10+_xlfn.RANK.EQ(AJ15,$AJ$9:$AJ$15)/100+_xlfn.RANK.EQ(AL15,$AL$9:$AL$15)/1000+ROW()/1000000</f>
        <v>2.4210149999999997</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56" priority="3">
      <formula>#REF!="P"</formula>
    </cfRule>
    <cfRule type="expression" dxfId="155" priority="4">
      <formula>#REF!="E"</formula>
    </cfRule>
    <cfRule type="expression" dxfId="154" priority="5">
      <formula>#REF!="G"</formula>
    </cfRule>
  </conditionalFormatting>
  <conditionalFormatting sqref="J9 J11 J13 J15 J17 J19">
    <cfRule type="expression" dxfId="153" priority="6">
      <formula>#REF!="P"</formula>
    </cfRule>
    <cfRule type="expression" dxfId="152" priority="7">
      <formula>#REF!="E"</formula>
    </cfRule>
    <cfRule type="expression" dxfId="151" priority="8">
      <formula>#REF!="G"</formula>
    </cfRule>
  </conditionalFormatting>
  <conditionalFormatting sqref="K22:K27">
    <cfRule type="expression" dxfId="150" priority="1">
      <formula>$L22&lt;&gt;""</formula>
    </cfRule>
    <cfRule type="expression" dxfId="149"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c r="I9" s="257" t="s">
        <v>41</v>
      </c>
      <c r="J9" s="258"/>
      <c r="K9" s="38" t="str">
        <f>+VLOOKUP(B9,Aux!F:S,6,0)</f>
        <v>Venezuela</v>
      </c>
      <c r="L9" s="169" t="e" vm="6">
        <f>IFERROR(VLOOKUP(K9,Aux!$A:$C,3,0),"")</f>
        <v>#VALUE!</v>
      </c>
      <c r="M9" s="38"/>
      <c r="N9" s="46" t="str">
        <f>+_xlfn.XLOOKUP(B9,Aux!F:F,Aux!L:L)</f>
        <v>Levi's® Stadium - SANTA CLARA, CA</v>
      </c>
      <c r="O9"/>
      <c r="P9" s="156" t="str">
        <f>+INDEX($AD$9:$AD$16,MATCH(1,$AO$9:$AO$15,0))</f>
        <v>México</v>
      </c>
      <c r="Q9" s="157" t="e" vm="7">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México</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c r="I11" s="257" t="s">
        <v>41</v>
      </c>
      <c r="J11" s="258"/>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Ecuador</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Venezuela</v>
      </c>
      <c r="Q13" s="157" t="e" vm="6">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Venezuela</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Jamaica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48" priority="3">
      <formula>#REF!="P"</formula>
    </cfRule>
    <cfRule type="expression" dxfId="147" priority="4">
      <formula>#REF!="E"</formula>
    </cfRule>
    <cfRule type="expression" dxfId="146" priority="5">
      <formula>#REF!="G"</formula>
    </cfRule>
  </conditionalFormatting>
  <conditionalFormatting sqref="J9 J11 J13 J15 J17 J19">
    <cfRule type="expression" dxfId="145" priority="6">
      <formula>#REF!="P"</formula>
    </cfRule>
    <cfRule type="expression" dxfId="144" priority="7">
      <formula>#REF!="E"</formula>
    </cfRule>
    <cfRule type="expression" dxfId="143" priority="8">
      <formula>#REF!="G"</formula>
    </cfRule>
  </conditionalFormatting>
  <conditionalFormatting sqref="K22:K27">
    <cfRule type="expression" dxfId="142" priority="1">
      <formula>$L22&lt;&gt;""</formula>
    </cfRule>
    <cfRule type="expression" dxfId="141"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c r="I9" s="257" t="s">
        <v>41</v>
      </c>
      <c r="J9" s="258"/>
      <c r="K9" s="38" t="str">
        <f>+VLOOKUP(B9,Aux!F:S,6,0)</f>
        <v>Bolivia</v>
      </c>
      <c r="L9" s="169" t="e" vm="10">
        <f>IFERROR(VLOOKUP(K9,Aux!$A:$C,3,0),"")</f>
        <v>#VALUE!</v>
      </c>
      <c r="M9" s="38"/>
      <c r="N9" s="46" t="str">
        <f>+_xlfn.XLOOKUP(B9,Aux!F:F,Aux!L:L)</f>
        <v>AT&amp;T Stadium - ARLINGTON, TX</v>
      </c>
      <c r="O9"/>
      <c r="P9" s="156" t="str">
        <f>+INDEX($AD$9:$AD$16,MATCH(1,$AO$9:$AO$15,0))</f>
        <v>Estados Unidos</v>
      </c>
      <c r="Q9" s="157" t="e" vm="9">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Estados Unidos</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c r="I11" s="257" t="s">
        <v>41</v>
      </c>
      <c r="J11" s="258"/>
      <c r="K11" s="38" t="str">
        <f>+VLOOKUP(B11,Aux!F:S,6,0)</f>
        <v>Panamá</v>
      </c>
      <c r="L11" s="169" t="e" vm="12">
        <f>IFERROR(VLOOKUP(K11,Aux!$A:$C,3,0),"")</f>
        <v>#VALUE!</v>
      </c>
      <c r="M11" s="38"/>
      <c r="N11" s="46" t="str">
        <f>+_xlfn.XLOOKUP(B11,Aux!F:F,Aux!L:L)</f>
        <v>Hard Rock Stadium - MIAMI, FL</v>
      </c>
      <c r="O11"/>
      <c r="P11" s="156" t="str">
        <f>+INDEX($AD$9:$AD$16,MATCH(2,$AO$9:$AO$15,0))</f>
        <v>Uruguay</v>
      </c>
      <c r="Q11" s="157" t="e" vm="11">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Uruguay</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Panamá</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Bolivia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40" priority="3">
      <formula>#REF!="P"</formula>
    </cfRule>
    <cfRule type="expression" dxfId="139" priority="4">
      <formula>#REF!="E"</formula>
    </cfRule>
    <cfRule type="expression" dxfId="138" priority="5">
      <formula>#REF!="G"</formula>
    </cfRule>
  </conditionalFormatting>
  <conditionalFormatting sqref="J9 J11 J13 J15 J17 J19">
    <cfRule type="expression" dxfId="137" priority="6">
      <formula>#REF!="P"</formula>
    </cfRule>
    <cfRule type="expression" dxfId="136" priority="7">
      <formula>#REF!="E"</formula>
    </cfRule>
    <cfRule type="expression" dxfId="135" priority="8">
      <formula>#REF!="G"</formula>
    </cfRule>
  </conditionalFormatting>
  <conditionalFormatting sqref="K22:K27">
    <cfRule type="expression" dxfId="134" priority="1">
      <formula>$L22&lt;&gt;""</formula>
    </cfRule>
    <cfRule type="expression" dxfId="133"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tabSelected="1"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c r="I9" s="257" t="s">
        <v>41</v>
      </c>
      <c r="J9" s="258"/>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Brasil</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c r="I11" s="257" t="s">
        <v>41</v>
      </c>
      <c r="J11" s="258"/>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Costa Rica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32" priority="3">
      <formula>#REF!="P"</formula>
    </cfRule>
    <cfRule type="expression" dxfId="131" priority="4">
      <formula>#REF!="E"</formula>
    </cfRule>
    <cfRule type="expression" dxfId="130" priority="5">
      <formula>#REF!="G"</formula>
    </cfRule>
  </conditionalFormatting>
  <conditionalFormatting sqref="J9 J11 J13 J15 J17 J19">
    <cfRule type="expression" dxfId="129" priority="6">
      <formula>#REF!="P"</formula>
    </cfRule>
    <cfRule type="expression" dxfId="128" priority="7">
      <formula>#REF!="E"</formula>
    </cfRule>
    <cfRule type="expression" dxfId="127" priority="8">
      <formula>#REF!="G"</formula>
    </cfRule>
  </conditionalFormatting>
  <conditionalFormatting sqref="K22:K27">
    <cfRule type="expression" dxfId="126" priority="1">
      <formula>$L22&lt;&gt;""</formula>
    </cfRule>
    <cfRule type="expression" dxfId="125"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7">
        <f ca="1">IFERROR(VLOOKUP(H12,Aux!$A:$C,3,0),"")</f>
        <v>#VALUE!</v>
      </c>
      <c r="H12" s="7" t="str" cm="1">
        <f t="array" aca="1" ref="H12" ca="1">INDIRECT(RIGHT(A12,1)&amp;"!P"&amp;7+LEFT(A12,1)*2)</f>
        <v>México</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c r="K15" s="8" t="s">
        <v>41</v>
      </c>
      <c r="L15" s="16"/>
      <c r="M15" s="6"/>
      <c r="N15" s="17" t="str" cm="1">
        <f t="array" aca="1" ref="N15" ca="1">INDIRECT(RIGHT(B15,1)&amp;"!P"&amp;7+LEFT(B15,1)*2)</f>
        <v>Uruguay</v>
      </c>
      <c r="O15" s="180" t="e" vm="11">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9">
        <f ca="1">IFERROR(VLOOKUP(H18,Aux!$A:$C,3,0),"")</f>
        <v>#VALUE!</v>
      </c>
      <c r="H18" s="7" t="str" cm="1">
        <f t="array" aca="1" ref="H18" ca="1">INDIRECT(RIGHT(A18,1)&amp;"!P"&amp;7+LEFT(A18,1)*2)</f>
        <v>Estados Unidos</v>
      </c>
      <c r="I18" s="25"/>
      <c r="J18" s="16"/>
      <c r="K18" s="8" t="s">
        <v>41</v>
      </c>
      <c r="L18" s="16"/>
      <c r="M18" s="6"/>
      <c r="N18" s="17" t="str" cm="1">
        <f t="array" aca="1" ref="N18" ca="1">INDIRECT(RIGHT(B18,1)&amp;"!P"&amp;7+LEFT(B18,1)*2)</f>
        <v>Colombia</v>
      </c>
      <c r="O18" s="180" t="e" vm="13">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24" priority="19">
      <formula>IF(OR($J9="",$J9&lt;&gt;$L9),1,0)</formula>
    </cfRule>
  </conditionalFormatting>
  <conditionalFormatting sqref="H13">
    <cfRule type="expression" dxfId="123" priority="15">
      <formula>IF(OR($J12="",$J12&lt;&gt;$L12),1,0)</formula>
    </cfRule>
  </conditionalFormatting>
  <conditionalFormatting sqref="H16">
    <cfRule type="expression" dxfId="122" priority="11">
      <formula>IF(OR($J15="",$J15&lt;&gt;$L15),1,0)</formula>
    </cfRule>
  </conditionalFormatting>
  <conditionalFormatting sqref="H19">
    <cfRule type="expression" dxfId="121" priority="7">
      <formula>IF(OR($J18="",$J18&lt;&gt;$L18),1,0)</formula>
    </cfRule>
  </conditionalFormatting>
  <conditionalFormatting sqref="J9 J12 J15 J18">
    <cfRule type="expression" dxfId="120" priority="23">
      <formula>#REF!="P"</formula>
    </cfRule>
    <cfRule type="expression" dxfId="119" priority="24">
      <formula>#REF!="E"</formula>
    </cfRule>
    <cfRule type="expression" dxfId="118" priority="25">
      <formula>#REF!="G"</formula>
    </cfRule>
  </conditionalFormatting>
  <conditionalFormatting sqref="J10">
    <cfRule type="expression" dxfId="117" priority="22">
      <formula>IF(AND($J9&lt;&gt;"",$J9=$L9),1,0)</formula>
    </cfRule>
  </conditionalFormatting>
  <conditionalFormatting sqref="J13">
    <cfRule type="expression" dxfId="116" priority="18">
      <formula>IF(AND($J12&lt;&gt;"",$J12=$L12),1,0)</formula>
    </cfRule>
  </conditionalFormatting>
  <conditionalFormatting sqref="J16">
    <cfRule type="expression" dxfId="115" priority="14">
      <formula>IF(AND($J15&lt;&gt;"",$J15=$L15),1,0)</formula>
    </cfRule>
  </conditionalFormatting>
  <conditionalFormatting sqref="J19">
    <cfRule type="expression" dxfId="114" priority="10">
      <formula>IF(AND($J18&lt;&gt;"",$J18=$L18),1,0)</formula>
    </cfRule>
  </conditionalFormatting>
  <conditionalFormatting sqref="J10:L10">
    <cfRule type="expression" dxfId="113" priority="20">
      <formula>IF(OR($J9="",$J9&lt;&gt;$L9),1,0)</formula>
    </cfRule>
  </conditionalFormatting>
  <conditionalFormatting sqref="J13:L13">
    <cfRule type="expression" dxfId="112" priority="16">
      <formula>IF(OR($J12="",$J12&lt;&gt;$L12),1,0)</formula>
    </cfRule>
  </conditionalFormatting>
  <conditionalFormatting sqref="J16:L16">
    <cfRule type="expression" dxfId="111" priority="12">
      <formula>IF(OR($J15="",$J15&lt;&gt;$L15),1,0)</formula>
    </cfRule>
  </conditionalFormatting>
  <conditionalFormatting sqref="J19:L19">
    <cfRule type="expression" dxfId="110" priority="8">
      <formula>IF(OR($J18="",$J18&lt;&gt;$L18),1,0)</formula>
    </cfRule>
  </conditionalFormatting>
  <conditionalFormatting sqref="L9 L12 L15 L18">
    <cfRule type="expression" dxfId="109" priority="26">
      <formula>M9="P"</formula>
    </cfRule>
    <cfRule type="expression" dxfId="108" priority="27">
      <formula>M9="E"</formula>
    </cfRule>
    <cfRule type="expression" dxfId="107" priority="28">
      <formula>M9="G"</formula>
    </cfRule>
  </conditionalFormatting>
  <conditionalFormatting sqref="L10">
    <cfRule type="expression" dxfId="106" priority="21">
      <formula>IF(AND($J9&lt;&gt;"",$J9=$L9),1,0)</formula>
    </cfRule>
  </conditionalFormatting>
  <conditionalFormatting sqref="L13">
    <cfRule type="expression" dxfId="105" priority="17">
      <formula>IF(AND($J12&lt;&gt;"",$J12=$L12),1,0)</formula>
    </cfRule>
  </conditionalFormatting>
  <conditionalFormatting sqref="L16">
    <cfRule type="expression" dxfId="104" priority="13">
      <formula>IF(AND($J15&lt;&gt;"",$J15=$L15),1,0)</formula>
    </cfRule>
  </conditionalFormatting>
  <conditionalFormatting sqref="L19">
    <cfRule type="expression" dxfId="103" priority="9">
      <formula>IF(AND($J18&lt;&gt;"",$J18=$L18),1,0)</formula>
    </cfRule>
  </conditionalFormatting>
  <conditionalFormatting sqref="S9">
    <cfRule type="cellIs" dxfId="102" priority="6" operator="equal">
      <formula>"Suma los penales"</formula>
    </cfRule>
  </conditionalFormatting>
  <conditionalFormatting sqref="S12">
    <cfRule type="cellIs" dxfId="101" priority="5" operator="equal">
      <formula>"Suma los penales"</formula>
    </cfRule>
  </conditionalFormatting>
  <conditionalFormatting sqref="S15">
    <cfRule type="cellIs" dxfId="100" priority="4" operator="equal">
      <formula>"Suma los penales"</formula>
    </cfRule>
  </conditionalFormatting>
  <conditionalFormatting sqref="S18">
    <cfRule type="cellIs" dxfId="99" priority="3" operator="equal">
      <formula>"Suma los penales"</formula>
    </cfRule>
  </conditionalFormatting>
  <conditionalFormatting sqref="S22:S27">
    <cfRule type="expression" dxfId="98" priority="1">
      <formula>$L22&lt;&gt;""</formula>
    </cfRule>
    <cfRule type="expression" dxfId="97"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96" priority="9">
      <formula>IF(OR($J9="",$J9&lt;&gt;$L9),1,0)</formula>
    </cfRule>
  </conditionalFormatting>
  <conditionalFormatting sqref="H13">
    <cfRule type="expression" dxfId="95" priority="5">
      <formula>IF(OR($J12="",$J12&lt;&gt;$L12),1,0)</formula>
    </cfRule>
  </conditionalFormatting>
  <conditionalFormatting sqref="J9 J12">
    <cfRule type="expression" dxfId="94" priority="13">
      <formula>#REF!="P"</formula>
    </cfRule>
    <cfRule type="expression" dxfId="93" priority="14">
      <formula>#REF!="E"</formula>
    </cfRule>
    <cfRule type="expression" dxfId="92" priority="15">
      <formula>#REF!="G"</formula>
    </cfRule>
  </conditionalFormatting>
  <conditionalFormatting sqref="J10">
    <cfRule type="expression" dxfId="91" priority="12">
      <formula>IF(AND($J9&lt;&gt;"",$J9=$L9),1,0)</formula>
    </cfRule>
  </conditionalFormatting>
  <conditionalFormatting sqref="J13">
    <cfRule type="expression" dxfId="90" priority="8">
      <formula>IF(AND($J12&lt;&gt;"",$J12=$L12),1,0)</formula>
    </cfRule>
  </conditionalFormatting>
  <conditionalFormatting sqref="J10:L10">
    <cfRule type="expression" dxfId="89" priority="10">
      <formula>IF(OR($J9="",$J9&lt;&gt;$L9),1,0)</formula>
    </cfRule>
  </conditionalFormatting>
  <conditionalFormatting sqref="J13:L13">
    <cfRule type="expression" dxfId="88" priority="6">
      <formula>IF(OR($J12="",$J12&lt;&gt;$L12),1,0)</formula>
    </cfRule>
  </conditionalFormatting>
  <conditionalFormatting sqref="L9 L12">
    <cfRule type="expression" dxfId="87" priority="16">
      <formula>M9="P"</formula>
    </cfRule>
    <cfRule type="expression" dxfId="86" priority="17">
      <formula>M9="E"</formula>
    </cfRule>
    <cfRule type="expression" dxfId="85" priority="18">
      <formula>M9="G"</formula>
    </cfRule>
  </conditionalFormatting>
  <conditionalFormatting sqref="L10">
    <cfRule type="expression" dxfId="84" priority="11">
      <formula>IF(AND($J9&lt;&gt;"",$J9=$L9),1,0)</formula>
    </cfRule>
  </conditionalFormatting>
  <conditionalFormatting sqref="L13">
    <cfRule type="expression" dxfId="83" priority="7">
      <formula>IF(AND($J12&lt;&gt;"",$J12=$L12),1,0)</formula>
    </cfRule>
  </conditionalFormatting>
  <conditionalFormatting sqref="S9">
    <cfRule type="cellIs" dxfId="82" priority="4" operator="equal">
      <formula>"Suma los penales"</formula>
    </cfRule>
  </conditionalFormatting>
  <conditionalFormatting sqref="S12">
    <cfRule type="cellIs" dxfId="81" priority="3" operator="equal">
      <formula>"Suma los penales"</formula>
    </cfRule>
  </conditionalFormatting>
  <conditionalFormatting sqref="S16:S21">
    <cfRule type="expression" dxfId="80" priority="1">
      <formula>$L16&lt;&gt;""</formula>
    </cfRule>
    <cfRule type="expression" dxfId="79"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78" priority="3">
      <formula>IF(OR($J9="",$J9&lt;&gt;$L9),1,0)</formula>
    </cfRule>
  </conditionalFormatting>
  <conditionalFormatting sqref="H16">
    <cfRule type="expression" dxfId="77" priority="14">
      <formula>IF(OR($J15="",$J15&lt;&gt;$L15),1,0)</formula>
    </cfRule>
  </conditionalFormatting>
  <conditionalFormatting sqref="H19 O25:P25">
    <cfRule type="expression" dxfId="76" priority="13">
      <formula>IF(OR($J$15="",$L$15=""),1,0)</formula>
    </cfRule>
  </conditionalFormatting>
  <conditionalFormatting sqref="J9">
    <cfRule type="expression" dxfId="75" priority="7">
      <formula>#REF!="P"</formula>
    </cfRule>
    <cfRule type="expression" dxfId="74" priority="8">
      <formula>#REF!="E"</formula>
    </cfRule>
    <cfRule type="expression" dxfId="73" priority="9">
      <formula>#REF!="G"</formula>
    </cfRule>
  </conditionalFormatting>
  <conditionalFormatting sqref="J10">
    <cfRule type="expression" dxfId="72" priority="6">
      <formula>IF(AND($J9&lt;&gt;"",$J9=$L9),1,0)</formula>
    </cfRule>
  </conditionalFormatting>
  <conditionalFormatting sqref="J15">
    <cfRule type="expression" dxfId="71" priority="18">
      <formula>#REF!="P"</formula>
    </cfRule>
    <cfRule type="expression" dxfId="70" priority="19">
      <formula>#REF!="E"</formula>
    </cfRule>
    <cfRule type="expression" dxfId="69" priority="20">
      <formula>#REF!="G"</formula>
    </cfRule>
  </conditionalFormatting>
  <conditionalFormatting sqref="J16">
    <cfRule type="expression" dxfId="68" priority="17">
      <formula>IF(AND($J15&lt;&gt;"",$J15=$L15),1,0)</formula>
    </cfRule>
  </conditionalFormatting>
  <conditionalFormatting sqref="J10:L10">
    <cfRule type="expression" dxfId="67" priority="4">
      <formula>IF(OR($J9="",$J9&lt;&gt;$L9),1,0)</formula>
    </cfRule>
  </conditionalFormatting>
  <conditionalFormatting sqref="J16:L16">
    <cfRule type="expression" dxfId="66" priority="15">
      <formula>IF(OR($J15="",$J15&lt;&gt;$L15),1,0)</formula>
    </cfRule>
  </conditionalFormatting>
  <conditionalFormatting sqref="L9">
    <cfRule type="expression" dxfId="65" priority="10">
      <formula>M9="P"</formula>
    </cfRule>
    <cfRule type="expression" dxfId="64" priority="11">
      <formula>M9="E"</formula>
    </cfRule>
    <cfRule type="expression" dxfId="63" priority="12">
      <formula>M9="G"</formula>
    </cfRule>
  </conditionalFormatting>
  <conditionalFormatting sqref="L10">
    <cfRule type="expression" dxfId="62" priority="5">
      <formula>IF(AND($J9&lt;&gt;"",$J9=$L9),1,0)</formula>
    </cfRule>
  </conditionalFormatting>
  <conditionalFormatting sqref="L15">
    <cfRule type="expression" dxfId="61" priority="21">
      <formula>M15="P"</formula>
    </cfRule>
    <cfRule type="expression" dxfId="60" priority="22">
      <formula>M15="E"</formula>
    </cfRule>
    <cfRule type="expression" dxfId="59" priority="23">
      <formula>M15="G"</formula>
    </cfRule>
  </conditionalFormatting>
  <conditionalFormatting sqref="L16">
    <cfRule type="expression" dxfId="58" priority="16">
      <formula>IF(AND($J15&lt;&gt;"",$J15=$L15),1,0)</formula>
    </cfRule>
  </conditionalFormatting>
  <conditionalFormatting sqref="S19:S24">
    <cfRule type="expression" dxfId="57" priority="1">
      <formula>$L19&lt;&gt;""</formula>
    </cfRule>
    <cfRule type="expression" dxfId="56"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t="str">
        <f t="shared" ref="N3:N25" ca="1" si="2">IF(VLOOKUP(F3,INDIRECT(M3&amp;"!B:M"),7,0)="","",VLOOKUP(F3,INDIRECT(M3&amp;"!B:M"),7,0))</f>
        <v/>
      </c>
      <c r="O3" s="68" t="str">
        <f t="shared" ref="O3:O25" ca="1" si="3">IF(VLOOKUP(F3,INDIRECT(M3&amp;"!B:M"),9,0)="","",VLOOKUP(F3,INDIRECT(M3&amp;"!B:M"),9,0))</f>
        <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t="str">
        <f t="shared" ca="1" si="2"/>
        <v/>
      </c>
      <c r="O4" s="68" t="str">
        <f t="shared" ca="1" si="3"/>
        <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t="str">
        <f t="shared" ca="1" si="2"/>
        <v/>
      </c>
      <c r="O5" s="68" t="str">
        <f t="shared" ca="1" si="3"/>
        <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t="str">
        <f t="shared" ca="1" si="2"/>
        <v/>
      </c>
      <c r="O6" s="68" t="str">
        <f t="shared" ca="1" si="3"/>
        <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t="str">
        <f t="shared" ca="1" si="2"/>
        <v/>
      </c>
      <c r="O7" s="68" t="str">
        <f t="shared" ca="1" si="3"/>
        <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t="str">
        <f t="shared" ca="1" si="2"/>
        <v/>
      </c>
      <c r="O8" s="68" t="str">
        <f t="shared" ca="1" si="3"/>
        <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t="str">
        <f t="shared" ca="1" si="2"/>
        <v/>
      </c>
      <c r="O9" s="68" t="str">
        <f t="shared" ca="1" si="3"/>
        <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55" priority="1">
      <formula>#REF!="P"</formula>
    </cfRule>
    <cfRule type="expression" dxfId="54" priority="3">
      <formula>#REF!="G"</formula>
    </cfRule>
  </conditionalFormatting>
  <conditionalFormatting sqref="N2:O33">
    <cfRule type="expression" dxfId="53" priority="2">
      <formula>#REF!="E"</formula>
    </cfRule>
  </conditionalFormatting>
  <conditionalFormatting sqref="O2:O33">
    <cfRule type="expression" dxfId="52" priority="4">
      <formula>#REF!="P"</formula>
    </cfRule>
    <cfRule type="expression" dxfId="51"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Moises</v>
      </c>
      <c r="E5" s="197">
        <f ca="1">+IF($D5=0,"",VLOOKUP($C5,$Q:$AB,COLUMNS($C$4:E4),0))</f>
        <v>10</v>
      </c>
      <c r="F5" s="198">
        <f ca="1">+IF($D5=0,"",VLOOKUP($C5,$Q:$AB,COLUMNS($C$4:F4),0))</f>
        <v>0</v>
      </c>
      <c r="G5" s="198">
        <f ca="1">+IF($D5=0,"",VLOOKUP($C5,$Q:$AB,COLUMNS($C$4:G4),0))</f>
        <v>0</v>
      </c>
      <c r="H5" s="198">
        <f ca="1">+IF($D5=0,"",VLOOKUP($C5,$Q:$AB,COLUMNS($C$4:H4),0))</f>
        <v>0</v>
      </c>
      <c r="I5" s="199">
        <f ca="1">+IF($D5=0,"",VLOOKUP($C5,$Q:$AB,COLUMNS($C$4:I4),0))</f>
        <v>10</v>
      </c>
      <c r="J5" s="127">
        <f ca="1">+IF($D5=0,"",VLOOKUP($C5,$Q:$AB,COLUMNS($C$4:J4),0))</f>
        <v>0</v>
      </c>
      <c r="K5" s="127">
        <f ca="1">+IF($D5=0,"",VLOOKUP($C5,$Q:$AB,COLUMNS($C$4:K4),0))</f>
        <v>0</v>
      </c>
      <c r="L5" s="127">
        <f ca="1">+IF($D5=0,"",VLOOKUP($C5,$Q:$AB,COLUMNS($C$4:L4),0))</f>
        <v>0</v>
      </c>
      <c r="M5" s="128">
        <f ca="1">+IF($D5=0,"",VLOOKUP($C5,$Q:$AB,COLUMNS($C$4:M4),0))</f>
        <v>0</v>
      </c>
      <c r="N5" s="129">
        <f ca="1">+IF($D5=0,"",VLOOKUP($C5,$Q:$AB,COLUMNS($C$4:N4),0))</f>
        <v>10.013</v>
      </c>
      <c r="P5" s="196">
        <f ca="1">IFERROR(M5-ROW()/10000,"")</f>
        <v>-5.0000000000000001E-4</v>
      </c>
      <c r="Q5" s="119">
        <f t="shared" ref="Q5:Q26" ca="1" si="0">+_xlfn.RANK.EQ(AB5,$AB$5:$AB$26)</f>
        <v>9</v>
      </c>
      <c r="R5" s="126" t="str">
        <f>Resultado!B7</f>
        <v>Carlos Hurtado</v>
      </c>
      <c r="S5" s="120">
        <f ca="1">+SUMIFS(Resultado!7:7,Resultado!$1:$1,ClasificaciónPorra!S$4)</f>
        <v>0</v>
      </c>
      <c r="T5" s="120">
        <f ca="1">+SUMIFS(Resultado!7:7,Resultado!$1:$1,ClasificaciónPorra!T$4)</f>
        <v>0</v>
      </c>
      <c r="U5" s="120">
        <f ca="1">+SUMIFS(Resultado!7:7,Resultado!$1:$1,ClasificaciónPorra!U$4)</f>
        <v>0</v>
      </c>
      <c r="V5" s="120">
        <f ca="1">+SUMIFS(Resultado!7:7,Resultado!$1:$1,ClasificaciónPorra!V$4)</f>
        <v>0</v>
      </c>
      <c r="W5" s="120">
        <f t="shared" ref="W5:W26" ca="1" si="1">+SUM(S5:V5)</f>
        <v>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5.0000000000000001E-3</v>
      </c>
    </row>
    <row r="6" spans="3:28" ht="13.5" customHeight="1" x14ac:dyDescent="0.25">
      <c r="C6" s="150">
        <f t="shared" ref="C6:C26" si="4">+C5+1</f>
        <v>2</v>
      </c>
      <c r="D6" s="151" t="str">
        <f ca="1">+VLOOKUP($C6,$Q:$AB,COLUMNS($C$4:D5),0)</f>
        <v>Leiner</v>
      </c>
      <c r="E6" s="197">
        <f ca="1">+IF($D6=0,"",VLOOKUP($C6,$Q:$AB,COLUMNS($C$4:E5),0))</f>
        <v>10</v>
      </c>
      <c r="F6" s="198">
        <f ca="1">+IF($D6=0,"",VLOOKUP($C6,$Q:$AB,COLUMNS($C$4:F5),0))</f>
        <v>0</v>
      </c>
      <c r="G6" s="198">
        <f ca="1">+IF($D6=0,"",VLOOKUP($C6,$Q:$AB,COLUMNS($C$4:G5),0))</f>
        <v>0</v>
      </c>
      <c r="H6" s="198">
        <f ca="1">+IF($D6=0,"",VLOOKUP($C6,$Q:$AB,COLUMNS($C$4:H5),0))</f>
        <v>0</v>
      </c>
      <c r="I6" s="200">
        <f ca="1">+IF($D6=0,"",VLOOKUP($C6,$Q:$AB,COLUMNS($C$4:I5),0))</f>
        <v>10</v>
      </c>
      <c r="J6" s="127">
        <f ca="1">+IF($D6=0,"",VLOOKUP($C6,$Q:$AB,COLUMNS($C$4:J5),0))</f>
        <v>0</v>
      </c>
      <c r="K6" s="127">
        <f ca="1">+IF($D6=0,"",VLOOKUP($C6,$Q:$AB,COLUMNS($C$4:K5),0))</f>
        <v>0</v>
      </c>
      <c r="L6" s="127">
        <f ca="1">+IF($D6=0,"",VLOOKUP($C6,$Q:$AB,COLUMNS($C$4:L5),0))</f>
        <v>0</v>
      </c>
      <c r="M6" s="128">
        <f ca="1">+IF($D6=0,"",VLOOKUP($C6,$Q:$AB,COLUMNS($C$4:M5),0))</f>
        <v>0</v>
      </c>
      <c r="N6" s="129">
        <f ca="1">+IF($D6=0,"",VLOOKUP($C6,$Q:$AB,COLUMNS($C$4:N5),0))</f>
        <v>10.010999999999999</v>
      </c>
      <c r="P6" s="196">
        <f t="shared" ref="P6:P26" ca="1" si="5">IFERROR(M6-ROW()/10000,"")</f>
        <v>-5.9999999999999995E-4</v>
      </c>
      <c r="Q6" s="119">
        <f t="shared" ca="1" si="0"/>
        <v>4</v>
      </c>
      <c r="R6" s="126" t="str">
        <f>Resultado!B8</f>
        <v>Cazaputas69</v>
      </c>
      <c r="S6" s="120">
        <f ca="1">+SUMIFS(Resultado!8:8,Resultado!$1:$1,ClasificaciónPorra!S$4)</f>
        <v>10</v>
      </c>
      <c r="T6" s="120">
        <f ca="1">+SUMIFS(Resultado!8:8,Resultado!$1:$1,ClasificaciónPorra!T$4)</f>
        <v>0</v>
      </c>
      <c r="U6" s="120">
        <f ca="1">+SUMIFS(Resultado!8:8,Resultado!$1:$1,ClasificaciónPorra!U$4)</f>
        <v>0</v>
      </c>
      <c r="V6" s="120">
        <f ca="1">+SUMIFS(Resultado!8:8,Resultado!$1:$1,ClasificaciónPorra!V$4)</f>
        <v>0</v>
      </c>
      <c r="W6" s="120">
        <f t="shared" ca="1" si="1"/>
        <v>10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10.006</v>
      </c>
    </row>
    <row r="7" spans="3:28" x14ac:dyDescent="0.25">
      <c r="C7" s="150">
        <f t="shared" si="4"/>
        <v>3</v>
      </c>
      <c r="D7" s="151" t="str">
        <f ca="1">+VLOOKUP($C7,$Q:$AB,COLUMNS($C$4:D6),0)</f>
        <v>ISAAC BERMUDEZ</v>
      </c>
      <c r="E7" s="197">
        <f ca="1">+IF($D7=0,"",VLOOKUP($C7,$Q:$AB,COLUMNS($C$4:E6),0))</f>
        <v>10</v>
      </c>
      <c r="F7" s="198">
        <f ca="1">+IF($D7=0,"",VLOOKUP($C7,$Q:$AB,COLUMNS($C$4:F6),0))</f>
        <v>0</v>
      </c>
      <c r="G7" s="198">
        <f ca="1">+IF($D7=0,"",VLOOKUP($C7,$Q:$AB,COLUMNS($C$4:G6),0))</f>
        <v>0</v>
      </c>
      <c r="H7" s="198">
        <f ca="1">+IF($D7=0,"",VLOOKUP($C7,$Q:$AB,COLUMNS($C$4:H6),0))</f>
        <v>0</v>
      </c>
      <c r="I7" s="200">
        <f ca="1">+IF($D7=0,"",VLOOKUP($C7,$Q:$AB,COLUMNS($C$4:I6),0))</f>
        <v>10</v>
      </c>
      <c r="J7" s="127">
        <f ca="1">+IF($D7=0,"",VLOOKUP($C7,$Q:$AB,COLUMNS($C$4:J6),0))</f>
        <v>0</v>
      </c>
      <c r="K7" s="127">
        <f ca="1">+IF($D7=0,"",VLOOKUP($C7,$Q:$AB,COLUMNS($C$4:K6),0))</f>
        <v>0</v>
      </c>
      <c r="L7" s="127">
        <f ca="1">+IF($D7=0,"",VLOOKUP($C7,$Q:$AB,COLUMNS($C$4:L6),0))</f>
        <v>0</v>
      </c>
      <c r="M7" s="128">
        <f ca="1">+IF($D7=0,"",VLOOKUP($C7,$Q:$AB,COLUMNS($C$4:M6),0))</f>
        <v>0</v>
      </c>
      <c r="N7" s="129">
        <f ca="1">+IF($D7=0,"",VLOOKUP($C7,$Q:$AB,COLUMNS($C$4:N6),0))</f>
        <v>10.007999999999999</v>
      </c>
      <c r="P7" s="196">
        <f t="shared" ca="1" si="5"/>
        <v>-6.9999999999999999E-4</v>
      </c>
      <c r="Q7" s="119">
        <f t="shared" ca="1" si="0"/>
        <v>8</v>
      </c>
      <c r="R7" s="126" t="str">
        <f>Resultado!B9</f>
        <v xml:space="preserve">  German Rodriguez</v>
      </c>
      <c r="S7" s="120">
        <f ca="1">+SUMIFS(Resultado!9:9,Resultado!$1:$1,ClasificaciónPorra!S$4)</f>
        <v>5</v>
      </c>
      <c r="T7" s="120">
        <f ca="1">+SUMIFS(Resultado!9:9,Resultado!$1:$1,ClasificaciónPorra!T$4)</f>
        <v>0</v>
      </c>
      <c r="U7" s="120">
        <f ca="1">+SUMIFS(Resultado!9:9,Resultado!$1:$1,ClasificaciónPorra!U$4)</f>
        <v>0</v>
      </c>
      <c r="V7" s="120">
        <f ca="1">+SUMIFS(Resultado!9:9,Resultado!$1:$1,ClasificaciónPorra!V$4)</f>
        <v>0</v>
      </c>
      <c r="W7" s="120">
        <f t="shared" ca="1" si="1"/>
        <v>5</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5.0069999999999997</v>
      </c>
    </row>
    <row r="8" spans="3:28" x14ac:dyDescent="0.25">
      <c r="C8" s="150">
        <f t="shared" si="4"/>
        <v>4</v>
      </c>
      <c r="D8" s="152" t="str">
        <f ca="1">+VLOOKUP($C8,$Q:$AB,COLUMNS($C$4:D7),0)</f>
        <v>Cazaputas69</v>
      </c>
      <c r="E8" s="201">
        <f ca="1">+IF($D8=0,"",VLOOKUP($C8,$Q:$AB,COLUMNS($C$4:E7),0))</f>
        <v>10</v>
      </c>
      <c r="F8" s="202">
        <f ca="1">+IF($D8=0,"",VLOOKUP($C8,$Q:$AB,COLUMNS($C$4:F7),0))</f>
        <v>0</v>
      </c>
      <c r="G8" s="202">
        <f ca="1">+IF($D8=0,"",VLOOKUP($C8,$Q:$AB,COLUMNS($C$4:G7),0))</f>
        <v>0</v>
      </c>
      <c r="H8" s="202">
        <f ca="1">+IF($D8=0,"",VLOOKUP($C8,$Q:$AB,COLUMNS($C$4:H7),0))</f>
        <v>0</v>
      </c>
      <c r="I8" s="203">
        <f ca="1">+IF($D8=0,"",VLOOKUP($C8,$Q:$AB,COLUMNS($C$4:I7),0))</f>
        <v>10</v>
      </c>
      <c r="J8" s="130">
        <f ca="1">+IF($D8=0,"",VLOOKUP($C8,$Q:$AB,COLUMNS($C$4:J7),0))</f>
        <v>0</v>
      </c>
      <c r="K8" s="130">
        <f ca="1">+IF($D8=0,"",VLOOKUP($C8,$Q:$AB,COLUMNS($C$4:K7),0))</f>
        <v>0</v>
      </c>
      <c r="L8" s="130">
        <f ca="1">+IF($D8=0,"",VLOOKUP($C8,$Q:$AB,COLUMNS($C$4:L7),0))</f>
        <v>0</v>
      </c>
      <c r="M8" s="131">
        <f ca="1">+IF($D8=0,"",VLOOKUP($C8,$Q:$AB,COLUMNS($C$4:M7),0))</f>
        <v>0</v>
      </c>
      <c r="N8" s="132">
        <f ca="1">+IF($D8=0,"",VLOOKUP($C8,$Q:$AB,COLUMNS($C$4:N7),0))</f>
        <v>10.006</v>
      </c>
      <c r="P8" s="196">
        <f t="shared" ca="1" si="5"/>
        <v>-8.0000000000000004E-4</v>
      </c>
      <c r="Q8" s="119">
        <f t="shared" ca="1" si="0"/>
        <v>3</v>
      </c>
      <c r="R8" s="126" t="str">
        <f>Resultado!B10</f>
        <v>ISAAC BERMUDEZ</v>
      </c>
      <c r="S8" s="120">
        <f ca="1">+SUMIFS(Resultado!10:10,Resultado!$1:$1,ClasificaciónPorra!S$4)</f>
        <v>10</v>
      </c>
      <c r="T8" s="120">
        <f ca="1">+SUMIFS(Resultado!10:10,Resultado!$1:$1,ClasificaciónPorra!T$4)</f>
        <v>0</v>
      </c>
      <c r="U8" s="120">
        <f ca="1">+SUMIFS(Resultado!10:10,Resultado!$1:$1,ClasificaciónPorra!U$4)</f>
        <v>0</v>
      </c>
      <c r="V8" s="120">
        <f ca="1">+SUMIFS(Resultado!10:10,Resultado!$1:$1,ClasificaciónPorra!V$4)</f>
        <v>0</v>
      </c>
      <c r="W8" s="120">
        <f t="shared" ca="1" si="1"/>
        <v>10</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10.007999999999999</v>
      </c>
    </row>
    <row r="9" spans="3:28" x14ac:dyDescent="0.25">
      <c r="C9" s="150">
        <f t="shared" si="4"/>
        <v>5</v>
      </c>
      <c r="D9" s="153" t="str">
        <f ca="1">+VLOOKUP($C9,$Q:$AB,COLUMNS($C$4:D8),0)</f>
        <v xml:space="preserve">Luis Rondón </v>
      </c>
      <c r="E9" s="204">
        <f ca="1">+IF($D9=0,"",VLOOKUP($C9,$Q:$AB,COLUMNS($C$4:E8),0))</f>
        <v>5</v>
      </c>
      <c r="F9" s="205">
        <f ca="1">+IF($D9=0,"",VLOOKUP($C9,$Q:$AB,COLUMNS($C$4:F8),0))</f>
        <v>0</v>
      </c>
      <c r="G9" s="205">
        <f ca="1">+IF($D9=0,"",VLOOKUP($C9,$Q:$AB,COLUMNS($C$4:G8),0))</f>
        <v>0</v>
      </c>
      <c r="H9" s="205">
        <f ca="1">+IF($D9=0,"",VLOOKUP($C9,$Q:$AB,COLUMNS($C$4:H8),0))</f>
        <v>0</v>
      </c>
      <c r="I9" s="206">
        <f ca="1">+IF($D9=0,"",VLOOKUP($C9,$Q:$AB,COLUMNS($C$4:I8),0))</f>
        <v>5</v>
      </c>
      <c r="J9" s="133">
        <f ca="1">+IF($D9=0,"",VLOOKUP($C9,$Q:$AB,COLUMNS($C$4:J8),0))</f>
        <v>0</v>
      </c>
      <c r="K9" s="133">
        <f ca="1">+IF($D9=0,"",VLOOKUP($C9,$Q:$AB,COLUMNS($C$4:K8),0))</f>
        <v>0</v>
      </c>
      <c r="L9" s="133">
        <f ca="1">+IF($D9=0,"",VLOOKUP($C9,$Q:$AB,COLUMNS($C$4:L8),0))</f>
        <v>0</v>
      </c>
      <c r="M9" s="134">
        <f ca="1">+IF($D9=0,"",VLOOKUP($C9,$Q:$AB,COLUMNS($C$4:M8),0))</f>
        <v>0</v>
      </c>
      <c r="N9" s="135">
        <f ca="1">+IF($D9=0,"",VLOOKUP($C9,$Q:$AB,COLUMNS($C$4:N8),0))</f>
        <v>5.0119999999999996</v>
      </c>
      <c r="P9" s="196">
        <f t="shared" ca="1" si="5"/>
        <v>-8.9999999999999998E-4</v>
      </c>
      <c r="Q9" s="119">
        <f t="shared" ca="1" si="0"/>
        <v>7</v>
      </c>
      <c r="R9" s="126" t="str">
        <f>Resultado!B11</f>
        <v>YUTA</v>
      </c>
      <c r="S9" s="120">
        <f ca="1">+SUMIFS(Resultado!11:11,Resultado!$1:$1,ClasificaciónPorra!S$4)</f>
        <v>5</v>
      </c>
      <c r="T9" s="120">
        <f ca="1">+SUMIFS(Resultado!11:11,Resultado!$1:$1,ClasificaciónPorra!T$4)</f>
        <v>0</v>
      </c>
      <c r="U9" s="120">
        <f ca="1">+SUMIFS(Resultado!11:11,Resultado!$1:$1,ClasificaciónPorra!U$4)</f>
        <v>0</v>
      </c>
      <c r="V9" s="120">
        <f ca="1">+SUMIFS(Resultado!11:11,Resultado!$1:$1,ClasificaciónPorra!V$4)</f>
        <v>0</v>
      </c>
      <c r="W9" s="120">
        <f t="shared" ca="1" si="1"/>
        <v>5</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5.0090000000000003</v>
      </c>
    </row>
    <row r="10" spans="3:28" x14ac:dyDescent="0.25">
      <c r="C10" s="150">
        <f t="shared" si="4"/>
        <v>6</v>
      </c>
      <c r="D10" s="151" t="str">
        <f ca="1">+VLOOKUP($C10,$Q:$AB,COLUMNS($C$4:D9),0)</f>
        <v>Juan Diego De Abreu</v>
      </c>
      <c r="E10" s="197">
        <f ca="1">+IF($D10=0,"",VLOOKUP($C10,$Q:$AB,COLUMNS($C$4:E9),0))</f>
        <v>5</v>
      </c>
      <c r="F10" s="198">
        <f ca="1">+IF($D10=0,"",VLOOKUP($C10,$Q:$AB,COLUMNS($C$4:F9),0))</f>
        <v>0</v>
      </c>
      <c r="G10" s="198">
        <f ca="1">+IF($D10=0,"",VLOOKUP($C10,$Q:$AB,COLUMNS($C$4:G9),0))</f>
        <v>0</v>
      </c>
      <c r="H10" s="198">
        <f ca="1">+IF($D10=0,"",VLOOKUP($C10,$Q:$AB,COLUMNS($C$4:H9),0))</f>
        <v>0</v>
      </c>
      <c r="I10" s="200">
        <f ca="1">+IF($D10=0,"",VLOOKUP($C10,$Q:$AB,COLUMNS($C$4:I9),0))</f>
        <v>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5.01</v>
      </c>
      <c r="P10" s="196">
        <f t="shared" ca="1" si="5"/>
        <v>-1E-3</v>
      </c>
      <c r="Q10" s="119">
        <f t="shared" ca="1" si="0"/>
        <v>6</v>
      </c>
      <c r="R10" s="126" t="str">
        <f>Resultado!B12</f>
        <v>Juan Diego De Abreu</v>
      </c>
      <c r="S10" s="120">
        <f ca="1">+SUMIFS(Resultado!12:12,Resultado!$1:$1,ClasificaciónPorra!S$4)</f>
        <v>5</v>
      </c>
      <c r="T10" s="120">
        <f ca="1">+SUMIFS(Resultado!12:12,Resultado!$1:$1,ClasificaciónPorra!T$4)</f>
        <v>0</v>
      </c>
      <c r="U10" s="120">
        <f ca="1">+SUMIFS(Resultado!12:12,Resultado!$1:$1,ClasificaciónPorra!U$4)</f>
        <v>0</v>
      </c>
      <c r="V10" s="120">
        <f ca="1">+SUMIFS(Resultado!12:12,Resultado!$1:$1,ClasificaciónPorra!V$4)</f>
        <v>0</v>
      </c>
      <c r="W10" s="120">
        <f t="shared" ca="1" si="1"/>
        <v>5</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5.01</v>
      </c>
    </row>
    <row r="11" spans="3:28" x14ac:dyDescent="0.25">
      <c r="C11" s="150">
        <f t="shared" si="4"/>
        <v>7</v>
      </c>
      <c r="D11" s="151" t="str">
        <f ca="1">+VLOOKUP($C11,$Q:$AB,COLUMNS($C$4:D10),0)</f>
        <v>YUTA</v>
      </c>
      <c r="E11" s="197">
        <f ca="1">+IF($D11=0,"",VLOOKUP($C11,$Q:$AB,COLUMNS($C$4:E10),0))</f>
        <v>5</v>
      </c>
      <c r="F11" s="198">
        <f ca="1">+IF($D11=0,"",VLOOKUP($C11,$Q:$AB,COLUMNS($C$4:F10),0))</f>
        <v>0</v>
      </c>
      <c r="G11" s="198">
        <f ca="1">+IF($D11=0,"",VLOOKUP($C11,$Q:$AB,COLUMNS($C$4:G10),0))</f>
        <v>0</v>
      </c>
      <c r="H11" s="198">
        <f ca="1">+IF($D11=0,"",VLOOKUP($C11,$Q:$AB,COLUMNS($C$4:H10),0))</f>
        <v>0</v>
      </c>
      <c r="I11" s="200">
        <f ca="1">+IF($D11=0,"",VLOOKUP($C11,$Q:$AB,COLUMNS($C$4:I10),0))</f>
        <v>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5.0090000000000003</v>
      </c>
      <c r="P11" s="196">
        <f t="shared" ca="1" si="5"/>
        <v>-1.1000000000000001E-3</v>
      </c>
      <c r="Q11" s="119">
        <f t="shared" ca="1" si="0"/>
        <v>2</v>
      </c>
      <c r="R11" s="126" t="str">
        <f>Resultado!B13</f>
        <v>Leiner</v>
      </c>
      <c r="S11" s="120">
        <f ca="1">+SUMIFS(Resultado!13:13,Resultado!$1:$1,ClasificaciónPorra!S$4)</f>
        <v>10</v>
      </c>
      <c r="T11" s="120">
        <f ca="1">+SUMIFS(Resultado!13:13,Resultado!$1:$1,ClasificaciónPorra!T$4)</f>
        <v>0</v>
      </c>
      <c r="U11" s="120">
        <f ca="1">+SUMIFS(Resultado!13:13,Resultado!$1:$1,ClasificaciónPorra!U$4)</f>
        <v>0</v>
      </c>
      <c r="V11" s="120">
        <f ca="1">+SUMIFS(Resultado!13:13,Resultado!$1:$1,ClasificaciónPorra!V$4)</f>
        <v>0</v>
      </c>
      <c r="W11" s="120">
        <f t="shared" ca="1" si="1"/>
        <v>10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10.010999999999999</v>
      </c>
    </row>
    <row r="12" spans="3:28" x14ac:dyDescent="0.25">
      <c r="C12" s="150">
        <f t="shared" si="4"/>
        <v>8</v>
      </c>
      <c r="D12" s="151" t="str">
        <f ca="1">+VLOOKUP($C12,$Q:$AB,COLUMNS($C$4:D11),0)</f>
        <v xml:space="preserve">  German Rodriguez</v>
      </c>
      <c r="E12" s="197">
        <f ca="1">+IF($D12=0,"",VLOOKUP($C12,$Q:$AB,COLUMNS($C$4:E11),0))</f>
        <v>5</v>
      </c>
      <c r="F12" s="198">
        <f ca="1">+IF($D12=0,"",VLOOKUP($C12,$Q:$AB,COLUMNS($C$4:F11),0))</f>
        <v>0</v>
      </c>
      <c r="G12" s="198">
        <f ca="1">+IF($D12=0,"",VLOOKUP($C12,$Q:$AB,COLUMNS($C$4:G11),0))</f>
        <v>0</v>
      </c>
      <c r="H12" s="198">
        <f ca="1">+IF($D12=0,"",VLOOKUP($C12,$Q:$AB,COLUMNS($C$4:H11),0))</f>
        <v>0</v>
      </c>
      <c r="I12" s="200">
        <f ca="1">+IF($D12=0,"",VLOOKUP($C12,$Q:$AB,COLUMNS($C$4:I11),0))</f>
        <v>5</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5.0069999999999997</v>
      </c>
      <c r="P12" s="196">
        <f t="shared" ca="1" si="5"/>
        <v>-1.1999999999999999E-3</v>
      </c>
      <c r="Q12" s="119">
        <f t="shared" ca="1" si="0"/>
        <v>5</v>
      </c>
      <c r="R12" s="126" t="str">
        <f>Resultado!B14</f>
        <v xml:space="preserve">Luis Rondón </v>
      </c>
      <c r="S12" s="120">
        <f ca="1">+SUMIFS(Resultado!14:14,Resultado!$1:$1,ClasificaciónPorra!S$4)</f>
        <v>5</v>
      </c>
      <c r="T12" s="120">
        <f ca="1">+SUMIFS(Resultado!14:14,Resultado!$1:$1,ClasificaciónPorra!T$4)</f>
        <v>0</v>
      </c>
      <c r="U12" s="120">
        <f ca="1">+SUMIFS(Resultado!14:14,Resultado!$1:$1,ClasificaciónPorra!U$4)</f>
        <v>0</v>
      </c>
      <c r="V12" s="120">
        <f ca="1">+SUMIFS(Resultado!14:14,Resultado!$1:$1,ClasificaciónPorra!V$4)</f>
        <v>0</v>
      </c>
      <c r="W12" s="120">
        <f t="shared" ca="1" si="1"/>
        <v>5</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5.0119999999999996</v>
      </c>
    </row>
    <row r="13" spans="3:28" x14ac:dyDescent="0.25">
      <c r="C13" s="150">
        <f t="shared" si="4"/>
        <v>9</v>
      </c>
      <c r="D13" s="152" t="str">
        <f ca="1">+VLOOKUP($C13,$Q:$AB,COLUMNS($C$4:D12),0)</f>
        <v>Carlos Hurtado</v>
      </c>
      <c r="E13" s="201">
        <f ca="1">+IF($D13=0,"",VLOOKUP($C13,$Q:$AB,COLUMNS($C$4:E12),0))</f>
        <v>0</v>
      </c>
      <c r="F13" s="202">
        <f ca="1">+IF($D13=0,"",VLOOKUP($C13,$Q:$AB,COLUMNS($C$4:F12),0))</f>
        <v>0</v>
      </c>
      <c r="G13" s="202">
        <f ca="1">+IF($D13=0,"",VLOOKUP($C13,$Q:$AB,COLUMNS($C$4:G12),0))</f>
        <v>0</v>
      </c>
      <c r="H13" s="202">
        <f ca="1">+IF($D13=0,"",VLOOKUP($C13,$Q:$AB,COLUMNS($C$4:H12),0))</f>
        <v>0</v>
      </c>
      <c r="I13" s="203">
        <f ca="1">+IF($D13=0,"",VLOOKUP($C13,$Q:$AB,COLUMNS($C$4:I12),0))</f>
        <v>0</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5.0000000000000001E-3</v>
      </c>
      <c r="P13" s="196">
        <f t="shared" ca="1" si="5"/>
        <v>-1.2999999999999999E-3</v>
      </c>
      <c r="Q13" s="119">
        <f t="shared" ca="1" si="0"/>
        <v>1</v>
      </c>
      <c r="R13" s="126" t="str">
        <f>Resultado!B15</f>
        <v>Moises</v>
      </c>
      <c r="S13" s="120">
        <f ca="1">+SUMIFS(Resultado!15:15,Resultado!$1:$1,ClasificaciónPorra!S$4)</f>
        <v>10</v>
      </c>
      <c r="T13" s="120">
        <f ca="1">+SUMIFS(Resultado!15:15,Resultado!$1:$1,ClasificaciónPorra!T$4)</f>
        <v>0</v>
      </c>
      <c r="U13" s="120">
        <f ca="1">+SUMIFS(Resultado!15:15,Resultado!$1:$1,ClasificaciónPorra!U$4)</f>
        <v>0</v>
      </c>
      <c r="V13" s="120">
        <f ca="1">+SUMIFS(Resultado!15:15,Resultado!$1:$1,ClasificaciónPorra!V$4)</f>
        <v>0</v>
      </c>
      <c r="W13" s="120">
        <f t="shared" ca="1" si="1"/>
        <v>10</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10.013</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50" priority="11">
      <formula>E5=MAX(E$5:E$26)</formula>
    </cfRule>
  </conditionalFormatting>
  <conditionalFormatting sqref="I5:I26">
    <cfRule type="expression" dxfId="49" priority="7">
      <formula>I5=MAX($I$5:$I$25)</formula>
    </cfRule>
    <cfRule type="expression" dxfId="48" priority="8">
      <formula>I5=MIN($I$5:$I$25)</formula>
    </cfRule>
  </conditionalFormatting>
  <conditionalFormatting sqref="M5:M25">
    <cfRule type="expression" dxfId="47" priority="9">
      <formula>M5=MIN($M$5:$M$25)</formula>
    </cfRule>
    <cfRule type="expression" dxfId="46" priority="10">
      <formula>M5=MAX($M$5:$M$25)</formula>
    </cfRule>
  </conditionalFormatting>
  <conditionalFormatting sqref="N5:N25">
    <cfRule type="expression" dxfId="45" priority="5">
      <formula>N5=MAX($N$5:$N$25)</formula>
    </cfRule>
    <cfRule type="expression" dxfId="44" priority="6">
      <formula>N5=MIN($N$5:$N$25)</formula>
    </cfRule>
  </conditionalFormatting>
  <conditionalFormatting sqref="Q1:Q3">
    <cfRule type="expression" dxfId="43" priority="1">
      <formula>$L1&lt;&gt;""</formula>
    </cfRule>
    <cfRule type="expression" dxfId="42" priority="2">
      <formula>AND($L1&lt;&gt;"",$L2="")</formula>
    </cfRule>
  </conditionalFormatting>
  <conditionalFormatting sqref="Q34">
    <cfRule type="expression" dxfId="41" priority="3">
      <formula>$L34&lt;&gt;""</formula>
    </cfRule>
    <cfRule type="expression" dxfId="40"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 ca="1">IF(ClasificaciónPorra!D5=0,"",ClasificaciónPorra!D5)</f>
        <v>Moises</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Venezuela</v>
      </c>
      <c r="V6" s="171" t="str" cm="1">
        <f t="array" aca="1" ref="V6" ca="1">IF(OR(V$5="",$S6=""),"",IFERROR(INDEX(TotalApuestas!$A$1:$GL$50000,MATCH(Seguimiento!$S6,TotalApuestas!$B$1:$B$50000,0),MATCH("Equipos"&amp;Seguimiento!$S$1,Resultado!$4:$4,0)+COLUMNS($T$1:V$1)-1),0))</f>
        <v>Ecuador</v>
      </c>
      <c r="W6" s="171" t="str" cm="1">
        <f t="array" aca="1" ref="W6" ca="1">IF(OR(W$5="",$S6=""),"",IFERROR(INDEX(TotalApuestas!$A$1:$GL$50000,MATCH(Seguimiento!$S6,TotalApuestas!$B$1:$B$50000,0),MATCH("Equipos"&amp;Seguimiento!$S$1,Resultado!$4:$4,0)+COLUMNS($T$1:W$1)-1),0))</f>
        <v>Canadá</v>
      </c>
      <c r="X6" s="171" t="str" cm="1">
        <f t="array" aca="1" ref="X6" ca="1">IF(OR(X$5="",$S6=""),"",IFERROR(INDEX(TotalApuestas!$A$1:$GL$50000,MATCH(Seguimiento!$S6,TotalApuestas!$B$1:$B$50000,0),MATCH("Equipos"&amp;Seguimiento!$S$1,Resultado!$4:$4,0)+COLUMNS($T$1:X$1)-1),0))</f>
        <v>Brasil</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Colombia</v>
      </c>
      <c r="AB6" s="123"/>
      <c r="AD6"/>
      <c r="AE6"/>
    </row>
    <row r="7" spans="1:31" ht="20.100000000000001" customHeight="1" x14ac:dyDescent="0.2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 ca="1">IF(ClasificaciónPorra!D6=0,"",ClasificaciónPorra!D6)</f>
        <v>Leiner</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Chile</v>
      </c>
      <c r="X7" s="171" t="str" cm="1">
        <f t="array" aca="1" ref="X7" ca="1">IF(OR(X$5="",$S7=""),"",IFERROR(INDEX(TotalApuestas!$A$1:$GL$50000,MATCH(Seguimiento!$S7,TotalApuestas!$B$1:$B$50000,0),MATCH("Equipos"&amp;Seguimiento!$S$1,Resultado!$4:$4,0)+COLUMNS($T$1:X$1)-1),0))</f>
        <v>Colombia</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Brasil</v>
      </c>
      <c r="AB7" s="123"/>
      <c r="AD7"/>
      <c r="AE7"/>
    </row>
    <row r="8" spans="1:31" ht="15" customHeight="1" thickBot="1" x14ac:dyDescent="0.3">
      <c r="B8" s="214"/>
      <c r="C8" s="112" t="s">
        <v>99</v>
      </c>
      <c r="D8" s="221">
        <f ca="1">VLOOKUP(D1,Aux!$F:$O,9,0)</f>
        <v>2</v>
      </c>
      <c r="E8" s="222">
        <f ca="1">+IF(D8="","",IF(D8&gt;F8,1,IF(D8=F8,"X",2)))</f>
        <v>1</v>
      </c>
      <c r="F8" s="223">
        <f ca="1">VLOOKUP(D1,Aux!$F:$O,10,0)</f>
        <v>0</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ISAAC BERMUDEZ</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Ecuador</v>
      </c>
      <c r="V8" s="171" t="str" cm="1">
        <f t="array" aca="1" ref="V8" ca="1">IF(OR(V$5="",$S8=""),"",IFERROR(INDEX(TotalApuestas!$A$1:$GL$50000,MATCH(Seguimiento!$S8,TotalApuestas!$B$1:$B$50000,0),MATCH("Equipos"&amp;Seguimiento!$S$1,Resultado!$4:$4,0)+COLUMNS($T$1:V$1)-1),0))</f>
        <v>Venezuela</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Cazaputas69</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Moises</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1</v>
      </c>
      <c r="H10" s="226">
        <f t="shared" ref="H10" ca="1" si="3">+IF(G10="","",IF(G10&gt;I10,1,IF(G10=I10,"X",2)))</f>
        <v>1</v>
      </c>
      <c r="I10" s="228" cm="1">
        <f t="array" aca="1" ref="I10" ca="1">IF($C10="","",INDEX(TotalApuestas!$A$1:$GL$50000,MATCH(Seguimiento!$C10,TotalApuestas!$B$1:$B$50000,0),MATCH(Seguimiento!G$1,Resultado!$2:$2,0)+1))</f>
        <v>0</v>
      </c>
      <c r="J10" s="225">
        <f ca="1">IF($C10="","",INDEX(TotalApuestas!$A$1:$GL$50000,MATCH(Seguimiento!$C10,TotalApuestas!$B$1:$B$50000,0),MATCH(Seguimiento!J$1,Resultado!$2:$2,0)))</f>
        <v>1</v>
      </c>
      <c r="K10" s="226" t="str">
        <f t="shared" ref="K10" ca="1" si="4">+IF(J10="","",IF(J10&gt;L10,1,IF(J10=L10,"X",2)))</f>
        <v>X</v>
      </c>
      <c r="L10" s="225" cm="1">
        <f t="array" aca="1" ref="L10" ca="1">IF($C10="","",INDEX(TotalApuestas!$A$1:$GL$50000,MATCH(Seguimiento!$C10,TotalApuestas!$B$1:$B$50000,0),MATCH(Seguimiento!J$1,Resultado!$2:$2,0)+1))</f>
        <v>1</v>
      </c>
      <c r="M10" s="227">
        <f ca="1">IF($C10="","",INDEX(TotalApuestas!$A$1:$GL$50000,MATCH(Seguimiento!$C10,TotalApuestas!$B$1:$B$50000,0),MATCH(Seguimiento!M$1,Resultado!$2:$2,0)))</f>
        <v>2</v>
      </c>
      <c r="N10" s="226">
        <f t="shared" ref="N10" ca="1" si="5">+IF(M10="","",IF(M10&gt;O10,1,IF(M10=O10,"X",2)))</f>
        <v>1</v>
      </c>
      <c r="O10" s="228" cm="1">
        <f t="array" aca="1" ref="O10" ca="1">IF($C10="","",INDEX(TotalApuestas!$A$1:$GL$50000,MATCH(Seguimiento!$C10,TotalApuestas!$B$1:$B$50000,0),MATCH(Seguimiento!M$1,Resultado!$2:$2,0)+1))</f>
        <v>1</v>
      </c>
      <c r="P10" s="123"/>
      <c r="R10" s="214"/>
      <c r="S10" s="218" t="str">
        <f ca="1">IF(ClasificaciónPorra!D9=0,"",ClasificaciónPorra!D9)</f>
        <v xml:space="preserve">Luis Rondón </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Ecuador</v>
      </c>
      <c r="V10" s="171" t="str" cm="1">
        <f t="array" aca="1" ref="V10" ca="1">IF(OR(V$5="",$S10=""),"",IFERROR(INDEX(TotalApuestas!$A$1:$GL$50000,MATCH(Seguimiento!$S10,TotalApuestas!$B$1:$B$50000,0),MATCH("Equipos"&amp;Seguimiento!$S$1,Resultado!$4:$4,0)+COLUMNS($T$1:V$1)-1),0))</f>
        <v>Venezuela</v>
      </c>
      <c r="W10" s="171" t="str" cm="1">
        <f t="array" aca="1" ref="W10" ca="1">IF(OR(W$5="",$S10=""),"",IFERROR(INDEX(TotalApuestas!$A$1:$GL$50000,MATCH(Seguimiento!$S10,TotalApuestas!$B$1:$B$50000,0),MATCH("Equipos"&amp;Seguimiento!$S$1,Resultado!$4:$4,0)+COLUMNS($T$1:W$1)-1),0))</f>
        <v>Canadá</v>
      </c>
      <c r="X10" s="171" t="str" cm="1">
        <f t="array" aca="1" ref="X10" ca="1">IF(OR(X$5="",$S10=""),"",IFERROR(INDEX(TotalApuestas!$A$1:$GL$50000,MATCH(Seguimiento!$S10,TotalApuestas!$B$1:$B$50000,0),MATCH("Equipos"&amp;Seguimiento!$S$1,Resultado!$4:$4,0)+COLUMNS($T$1:X$1)-1),0))</f>
        <v>Brasil</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Colombia</v>
      </c>
      <c r="AB10" s="123"/>
      <c r="AD10"/>
      <c r="AE10"/>
    </row>
    <row r="11" spans="1:31" ht="15" customHeight="1" x14ac:dyDescent="0.25">
      <c r="B11" s="214"/>
      <c r="C11" s="229" t="str">
        <f ca="1">IF(ClasificaciónPorra!D6=0,"",ClasificaciónPorra!D6)</f>
        <v>Leiner</v>
      </c>
      <c r="D11" s="230">
        <f ca="1">IF($C11="","",INDEX(TotalApuestas!$A$1:$GL$50000,MATCH(Seguimiento!$C11,TotalApuestas!$B$1:$B$50000,0),MATCH(Seguimiento!D$1,Resultado!$2:$2,0)))</f>
        <v>2</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1</v>
      </c>
      <c r="H11" s="231">
        <f t="shared" ref="H11:H29" ca="1" si="7">+IF(G11="","",IF(G11&gt;I11,1,IF(G11=I11,"X",2)))</f>
        <v>2</v>
      </c>
      <c r="I11" s="233" cm="1">
        <f t="array" aca="1" ref="I11" ca="1">IF($C11="","",INDEX(TotalApuestas!$A$1:$GL$50000,MATCH(Seguimiento!$C11,TotalApuestas!$B$1:$B$50000,0),MATCH(Seguimiento!G$1,Resultado!$2:$2,0)+1))</f>
        <v>2</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2</v>
      </c>
      <c r="M11" s="232">
        <f ca="1">IF($C11="","",INDEX(TotalApuestas!$A$1:$GL$50000,MATCH(Seguimiento!$C11,TotalApuestas!$B$1:$B$50000,0),MATCH(Seguimiento!M$1,Resultado!$2:$2,0)))</f>
        <v>1</v>
      </c>
      <c r="N11" s="231">
        <f t="shared" ref="N11:N29" ca="1" si="9">+IF(M11="","",IF(M11&gt;O11,1,IF(M11=O11,"X",2)))</f>
        <v>1</v>
      </c>
      <c r="O11" s="233" cm="1">
        <f t="array" aca="1" ref="O11" ca="1">IF($C11="","",INDEX(TotalApuestas!$A$1:$GL$50000,MATCH(Seguimiento!$C11,TotalApuestas!$B$1:$B$50000,0),MATCH(Seguimiento!M$1,Resultado!$2:$2,0)+1))</f>
        <v>0</v>
      </c>
      <c r="P11" s="123"/>
      <c r="R11" s="214"/>
      <c r="S11" s="218" t="str">
        <f ca="1">IF(ClasificaciónPorra!D10=0,"",ClasificaciónPorra!D10)</f>
        <v>Juan Diego De Abreu</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Canadá</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ISAAC BERMUDEZ</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1</v>
      </c>
      <c r="H12" s="231">
        <f t="shared" ca="1" si="7"/>
        <v>2</v>
      </c>
      <c r="I12" s="233" cm="1">
        <f t="array" aca="1" ref="I12" ca="1">IF($C12="","",INDEX(TotalApuestas!$A$1:$GL$50000,MATCH(Seguimiento!$C12,TotalApuestas!$B$1:$B$50000,0),MATCH(Seguimiento!G$1,Resultado!$2:$2,0)+1))</f>
        <v>2</v>
      </c>
      <c r="J12" s="230">
        <f ca="1">IF($C12="","",INDEX(TotalApuestas!$A$1:$GL$50000,MATCH(Seguimiento!$C12,TotalApuestas!$B$1:$B$50000,0),MATCH(Seguimiento!J$1,Resultado!$2:$2,0)))</f>
        <v>0</v>
      </c>
      <c r="K12" s="231">
        <f t="shared" ca="1" si="8"/>
        <v>2</v>
      </c>
      <c r="L12" s="230" cm="1">
        <f t="array" aca="1" ref="L12" ca="1">IF($C12="","",INDEX(TotalApuestas!$A$1:$GL$50000,MATCH(Seguimiento!$C12,TotalApuestas!$B$1:$B$50000,0),MATCH(Seguimiento!J$1,Resultado!$2:$2,0)+1))</f>
        <v>1</v>
      </c>
      <c r="M12" s="232">
        <f ca="1">IF($C12="","",INDEX(TotalApuestas!$A$1:$GL$50000,MATCH(Seguimiento!$C12,TotalApuestas!$B$1:$B$50000,0),MATCH(Seguimiento!M$1,Resultado!$2:$2,0)))</f>
        <v>0</v>
      </c>
      <c r="N12" s="231" t="str">
        <f t="shared" ca="1" si="9"/>
        <v>X</v>
      </c>
      <c r="O12" s="233" cm="1">
        <f t="array" aca="1" ref="O12" ca="1">IF($C12="","",INDEX(TotalApuestas!$A$1:$GL$50000,MATCH(Seguimiento!$C12,TotalApuestas!$B$1:$B$50000,0),MATCH(Seguimiento!M$1,Resultado!$2:$2,0)+1))</f>
        <v>0</v>
      </c>
      <c r="P12" s="123"/>
      <c r="R12" s="214"/>
      <c r="S12" s="218" t="str">
        <f ca="1">IF(ClasificaciónPorra!D11=0,"",ClasificaciónPorra!D11)</f>
        <v>YUTA</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Chile</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Cazaputas69</v>
      </c>
      <c r="D13" s="230">
        <f ca="1">IF($C13="","",INDEX(TotalApuestas!$A$1:$GL$50000,MATCH(Seguimiento!$C13,TotalApuestas!$B$1:$B$50000,0),MATCH(Seguimiento!D$1,Resultado!$2:$2,0)))</f>
        <v>2</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0</v>
      </c>
      <c r="H13" s="231">
        <f t="shared" ca="1" si="7"/>
        <v>2</v>
      </c>
      <c r="I13" s="233" cm="1">
        <f t="array" aca="1" ref="I13" ca="1">IF($C13="","",INDEX(TotalApuestas!$A$1:$GL$50000,MATCH(Seguimiento!$C13,TotalApuestas!$B$1:$B$50000,0),MATCH(Seguimiento!G$1,Resultado!$2:$2,0)+1))</f>
        <v>1</v>
      </c>
      <c r="J13" s="230">
        <f ca="1">IF($C13="","",INDEX(TotalApuestas!$A$1:$GL$50000,MATCH(Seguimiento!$C13,TotalApuestas!$B$1:$B$50000,0),MATCH(Seguimiento!J$1,Resultado!$2:$2,0)))</f>
        <v>1</v>
      </c>
      <c r="K13" s="231" t="str">
        <f t="shared" ca="1" si="8"/>
        <v>X</v>
      </c>
      <c r="L13" s="230" cm="1">
        <f t="array" aca="1" ref="L13" ca="1">IF($C13="","",INDEX(TotalApuestas!$A$1:$GL$50000,MATCH(Seguimiento!$C13,TotalApuestas!$B$1:$B$50000,0),MATCH(Seguimiento!J$1,Resultado!$2:$2,0)+1))</f>
        <v>1</v>
      </c>
      <c r="M13" s="232">
        <f ca="1">IF($C13="","",INDEX(TotalApuestas!$A$1:$GL$50000,MATCH(Seguimiento!$C13,TotalApuestas!$B$1:$B$50000,0),MATCH(Seguimiento!M$1,Resultado!$2:$2,0)))</f>
        <v>3</v>
      </c>
      <c r="N13" s="231">
        <f t="shared" ca="1" si="9"/>
        <v>1</v>
      </c>
      <c r="O13" s="233" cm="1">
        <f t="array" aca="1" ref="O13" ca="1">IF($C13="","",INDEX(TotalApuestas!$A$1:$GL$50000,MATCH(Seguimiento!$C13,TotalApuestas!$B$1:$B$50000,0),MATCH(Seguimiento!M$1,Resultado!$2:$2,0)+1))</f>
        <v>1</v>
      </c>
      <c r="P13" s="123"/>
      <c r="R13" s="214"/>
      <c r="S13" s="218" t="str">
        <f ca="1">IF(ClasificaciónPorra!D12=0,"",ClasificaciónPorra!D12)</f>
        <v xml:space="preserve">  German Rodriguez</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Colombia</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Brasil</v>
      </c>
      <c r="AB13" s="123"/>
      <c r="AD13"/>
      <c r="AE13"/>
    </row>
    <row r="14" spans="1:31" ht="15" customHeight="1" x14ac:dyDescent="0.25">
      <c r="B14" s="214"/>
      <c r="C14" s="229" t="str">
        <f ca="1">IF(ClasificaciónPorra!D9=0,"",ClasificaciónPorra!D9)</f>
        <v xml:space="preserve">Luis Rondón </v>
      </c>
      <c r="D14" s="230">
        <f ca="1">IF($C14="","",INDEX(TotalApuestas!$A$1:$GL$50000,MATCH(Seguimiento!$C14,TotalApuestas!$B$1:$B$50000,0),MATCH(Seguimiento!D$1,Resultado!$2:$2,0)))</f>
        <v>3</v>
      </c>
      <c r="E14" s="231">
        <f t="shared" ca="1" si="6"/>
        <v>1</v>
      </c>
      <c r="F14" s="230" cm="1">
        <f t="array" aca="1" ref="F14" ca="1">IF($C14="","",INDEX(TotalApuestas!$A$1:$GL$50000,MATCH(Seguimiento!$C14,TotalApuestas!$B$1:$B$50000,0),MATCH(Seguimiento!D$1,Resultado!$2:$2,0)+1))</f>
        <v>1</v>
      </c>
      <c r="G14" s="232">
        <f ca="1">IF($C14="","",INDEX(TotalApuestas!$A$1:$GL$50000,MATCH(Seguimiento!$C14,TotalApuestas!$B$1:$B$50000,0),MATCH(Seguimiento!G$1,Resultado!$2:$2,0)))</f>
        <v>1</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1</v>
      </c>
      <c r="K14" s="231">
        <f t="shared" ca="1" si="8"/>
        <v>2</v>
      </c>
      <c r="L14" s="230" cm="1">
        <f t="array" aca="1" ref="L14" ca="1">IF($C14="","",INDEX(TotalApuestas!$A$1:$GL$50000,MATCH(Seguimiento!$C14,TotalApuestas!$B$1:$B$50000,0),MATCH(Seguimiento!J$1,Resultado!$2:$2,0)+1))</f>
        <v>2</v>
      </c>
      <c r="M14" s="232">
        <f ca="1">IF($C14="","",INDEX(TotalApuestas!$A$1:$GL$50000,MATCH(Seguimiento!$C14,TotalApuestas!$B$1:$B$50000,0),MATCH(Seguimiento!M$1,Resultado!$2:$2,0)))</f>
        <v>2</v>
      </c>
      <c r="N14" s="231">
        <f t="shared" ca="1" si="9"/>
        <v>1</v>
      </c>
      <c r="O14" s="233" cm="1">
        <f t="array" aca="1" ref="O14" ca="1">IF($C14="","",INDEX(TotalApuestas!$A$1:$GL$50000,MATCH(Seguimiento!$C14,TotalApuestas!$B$1:$B$50000,0),MATCH(Seguimiento!M$1,Resultado!$2:$2,0)+1))</f>
        <v>1</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Chile</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Juan Diego De Abreu</v>
      </c>
      <c r="D15" s="230">
        <f ca="1">IF($C15="","",INDEX(TotalApuestas!$A$1:$GL$50000,MATCH(Seguimiento!$C15,TotalApuestas!$B$1:$B$50000,0),MATCH(Seguimiento!D$1,Resultado!$2:$2,0)))</f>
        <v>3</v>
      </c>
      <c r="E15" s="231">
        <f t="shared" ca="1" si="6"/>
        <v>1</v>
      </c>
      <c r="F15" s="230" cm="1">
        <f t="array" aca="1" ref="F15" ca="1">IF($C15="","",INDEX(TotalApuestas!$A$1:$GL$50000,MATCH(Seguimiento!$C15,TotalApuestas!$B$1:$B$50000,0),MATCH(Seguimiento!D$1,Resultado!$2:$2,0)+1))</f>
        <v>1</v>
      </c>
      <c r="G15" s="232">
        <f ca="1">IF($C15="","",INDEX(TotalApuestas!$A$1:$GL$50000,MATCH(Seguimiento!$C15,TotalApuestas!$B$1:$B$50000,0),MATCH(Seguimiento!G$1,Resultado!$2:$2,0)))</f>
        <v>1</v>
      </c>
      <c r="H15" s="231" t="str">
        <f t="shared" ca="1" si="7"/>
        <v>X</v>
      </c>
      <c r="I15" s="233" cm="1">
        <f t="array" aca="1" ref="I15" ca="1">IF($C15="","",INDEX(TotalApuestas!$A$1:$GL$50000,MATCH(Seguimiento!$C15,TotalApuestas!$B$1:$B$50000,0),MATCH(Seguimiento!G$1,Resultado!$2:$2,0)+1))</f>
        <v>1</v>
      </c>
      <c r="J15" s="230">
        <f ca="1">IF($C15="","",INDEX(TotalApuestas!$A$1:$GL$50000,MATCH(Seguimiento!$C15,TotalApuestas!$B$1:$B$50000,0),MATCH(Seguimiento!J$1,Resultado!$2:$2,0)))</f>
        <v>1</v>
      </c>
      <c r="K15" s="231" t="str">
        <f t="shared" ca="1" si="8"/>
        <v>X</v>
      </c>
      <c r="L15" s="230" cm="1">
        <f t="array" aca="1" ref="L15" ca="1">IF($C15="","",INDEX(TotalApuestas!$A$1:$GL$50000,MATCH(Seguimiento!$C15,TotalApuestas!$B$1:$B$50000,0),MATCH(Seguimiento!J$1,Resultado!$2:$2,0)+1))</f>
        <v>1</v>
      </c>
      <c r="M15" s="232">
        <f ca="1">IF($C15="","",INDEX(TotalApuestas!$A$1:$GL$50000,MATCH(Seguimiento!$C15,TotalApuestas!$B$1:$B$50000,0),MATCH(Seguimiento!M$1,Resultado!$2:$2,0)))</f>
        <v>1</v>
      </c>
      <c r="N15" s="231" t="str">
        <f t="shared" ca="1" si="9"/>
        <v>X</v>
      </c>
      <c r="O15" s="233" cm="1">
        <f t="array" aca="1" ref="O15" ca="1">IF($C15="","",INDEX(TotalApuestas!$A$1:$GL$50000,MATCH(Seguimiento!$C15,TotalApuestas!$B$1:$B$50000,0),MATCH(Seguimiento!M$1,Resultado!$2:$2,0)+1))</f>
        <v>1</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YUTA</v>
      </c>
      <c r="D16" s="230">
        <f ca="1">IF($C16="","",INDEX(TotalApuestas!$A$1:$GL$50000,MATCH(Seguimiento!$C16,TotalApuestas!$B$1:$B$50000,0),MATCH(Seguimiento!D$1,Resultado!$2:$2,0)))</f>
        <v>3</v>
      </c>
      <c r="E16" s="231">
        <f t="shared" ca="1" si="6"/>
        <v>1</v>
      </c>
      <c r="F16" s="230" cm="1">
        <f t="array" aca="1" ref="F16" ca="1">IF($C16="","",INDEX(TotalApuestas!$A$1:$GL$50000,MATCH(Seguimiento!$C16,TotalApuestas!$B$1:$B$50000,0),MATCH(Seguimiento!D$1,Resultado!$2:$2,0)+1))</f>
        <v>0</v>
      </c>
      <c r="G16" s="232">
        <f ca="1">IF($C16="","",INDEX(TotalApuestas!$A$1:$GL$50000,MATCH(Seguimiento!$C16,TotalApuestas!$B$1:$B$50000,0),MATCH(Seguimiento!G$1,Resultado!$2:$2,0)))</f>
        <v>1</v>
      </c>
      <c r="H16" s="231">
        <f t="shared" ca="1" si="7"/>
        <v>2</v>
      </c>
      <c r="I16" s="233" cm="1">
        <f t="array" aca="1" ref="I16" ca="1">IF($C16="","",INDEX(TotalApuestas!$A$1:$GL$50000,MATCH(Seguimiento!$C16,TotalApuestas!$B$1:$B$50000,0),MATCH(Seguimiento!G$1,Resultado!$2:$2,0)+1))</f>
        <v>2</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1</v>
      </c>
      <c r="N16" s="231">
        <f t="shared" ca="1" si="9"/>
        <v>1</v>
      </c>
      <c r="O16" s="233" cm="1">
        <f t="array" aca="1" ref="O16" ca="1">IF($C16="","",INDEX(TotalApuestas!$A$1:$GL$50000,MATCH(Seguimiento!$C16,TotalApuestas!$B$1:$B$50000,0),MATCH(Seguimiento!M$1,Resultado!$2:$2,0)+1))</f>
        <v>0</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 xml:space="preserve">  German Rodriguez</v>
      </c>
      <c r="D17" s="230">
        <f ca="1">IF($C17="","",INDEX(TotalApuestas!$A$1:$GL$50000,MATCH(Seguimiento!$C17,TotalApuestas!$B$1:$B$50000,0),MATCH(Seguimiento!D$1,Resultado!$2:$2,0)))</f>
        <v>3</v>
      </c>
      <c r="E17" s="231">
        <f t="shared" ca="1" si="6"/>
        <v>1</v>
      </c>
      <c r="F17" s="230" cm="1">
        <f t="array" aca="1" ref="F17" ca="1">IF($C17="","",INDEX(TotalApuestas!$A$1:$GL$50000,MATCH(Seguimiento!$C17,TotalApuestas!$B$1:$B$50000,0),MATCH(Seguimiento!D$1,Resultado!$2:$2,0)+1))</f>
        <v>1</v>
      </c>
      <c r="G17" s="232">
        <f ca="1">IF($C17="","",INDEX(TotalApuestas!$A$1:$GL$50000,MATCH(Seguimiento!$C17,TotalApuestas!$B$1:$B$50000,0),MATCH(Seguimiento!G$1,Resultado!$2:$2,0)))</f>
        <v>1</v>
      </c>
      <c r="H17" s="231">
        <f t="shared" ca="1" si="7"/>
        <v>2</v>
      </c>
      <c r="I17" s="233" cm="1">
        <f t="array" aca="1" ref="I17" ca="1">IF($C17="","",INDEX(TotalApuestas!$A$1:$GL$50000,MATCH(Seguimiento!$C17,TotalApuestas!$B$1:$B$50000,0),MATCH(Seguimiento!G$1,Resultado!$2:$2,0)+1))</f>
        <v>2</v>
      </c>
      <c r="J17" s="230">
        <f ca="1">IF($C17="","",INDEX(TotalApuestas!$A$1:$GL$50000,MATCH(Seguimiento!$C17,TotalApuestas!$B$1:$B$50000,0),MATCH(Seguimiento!J$1,Resultado!$2:$2,0)))</f>
        <v>1</v>
      </c>
      <c r="K17" s="231" t="str">
        <f t="shared" ca="1" si="8"/>
        <v>X</v>
      </c>
      <c r="L17" s="230" cm="1">
        <f t="array" aca="1" ref="L17" ca="1">IF($C17="","",INDEX(TotalApuestas!$A$1:$GL$50000,MATCH(Seguimiento!$C17,TotalApuestas!$B$1:$B$50000,0),MATCH(Seguimiento!J$1,Resultado!$2:$2,0)+1))</f>
        <v>1</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1</v>
      </c>
      <c r="E18" s="231" t="str">
        <f t="shared" ca="1" si="6"/>
        <v>X</v>
      </c>
      <c r="F18" s="230" cm="1">
        <f t="array" aca="1" ref="F18" ca="1">IF($C18="","",INDEX(TotalApuestas!$A$1:$GL$50000,MATCH(Seguimiento!$C18,TotalApuestas!$B$1:$B$50000,0),MATCH(Seguimiento!D$1,Resultado!$2:$2,0)+1))</f>
        <v>1</v>
      </c>
      <c r="G18" s="232">
        <f ca="1">IF($C18="","",INDEX(TotalApuestas!$A$1:$GL$50000,MATCH(Seguimiento!$C18,TotalApuestas!$B$1:$B$50000,0),MATCH(Seguimiento!G$1,Resultado!$2:$2,0)))</f>
        <v>2</v>
      </c>
      <c r="H18" s="231" t="str">
        <f t="shared" ca="1" si="7"/>
        <v>X</v>
      </c>
      <c r="I18" s="233" cm="1">
        <f t="array" aca="1" ref="I18" ca="1">IF($C18="","",INDEX(TotalApuestas!$A$1:$GL$50000,MATCH(Seguimiento!$C18,TotalApuestas!$B$1:$B$50000,0),MATCH(Seguimiento!G$1,Resultado!$2:$2,0)+1))</f>
        <v>2</v>
      </c>
      <c r="J18" s="230">
        <f ca="1">IF($C18="","",INDEX(TotalApuestas!$A$1:$GL$50000,MATCH(Seguimiento!$C18,TotalApuestas!$B$1:$B$50000,0),MATCH(Seguimiento!J$1,Resultado!$2:$2,0)))</f>
        <v>1</v>
      </c>
      <c r="K18" s="231" t="str">
        <f t="shared" ca="1" si="8"/>
        <v>X</v>
      </c>
      <c r="L18" s="230" cm="1">
        <f t="array" aca="1" ref="L18" ca="1">IF($C18="","",INDEX(TotalApuestas!$A$1:$GL$50000,MATCH(Seguimiento!$C18,TotalApuestas!$B$1:$B$50000,0),MATCH(Seguimiento!J$1,Resultado!$2:$2,0)+1))</f>
        <v>1</v>
      </c>
      <c r="M18" s="232">
        <f ca="1">IF($C18="","",INDEX(TotalApuestas!$A$1:$GL$50000,MATCH(Seguimiento!$C18,TotalApuestas!$B$1:$B$50000,0),MATCH(Seguimiento!M$1,Resultado!$2:$2,0)))</f>
        <v>3</v>
      </c>
      <c r="N18" s="231">
        <f t="shared" ca="1" si="9"/>
        <v>1</v>
      </c>
      <c r="O18" s="233" cm="1">
        <f t="array" aca="1" ref="O18" ca="1">IF($C18="","",INDEX(TotalApuestas!$A$1:$GL$50000,MATCH(Seguimiento!$C18,TotalApuestas!$B$1:$B$50000,0),MATCH(Seguimiento!M$1,Resultado!$2:$2,0)+1))</f>
        <v>1</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39" priority="13">
      <formula>#REF!="P"</formula>
    </cfRule>
    <cfRule type="expression" dxfId="38" priority="14">
      <formula>#REF!="E"</formula>
    </cfRule>
    <cfRule type="expression" dxfId="37" priority="15">
      <formula>#REF!="G"</formula>
    </cfRule>
  </conditionalFormatting>
  <conditionalFormatting sqref="D10:O22 D25:O25 D28:O28">
    <cfRule type="expression" dxfId="36" priority="12">
      <formula>IF(AND(D8&lt;&gt;"",D$8=D10,$C10&lt;&gt;""),1,0)</formula>
    </cfRule>
  </conditionalFormatting>
  <conditionalFormatting sqref="D23:O23">
    <cfRule type="expression" dxfId="35" priority="18">
      <formula>IF(AND(D22&lt;&gt;"",D$8=D23),1,0)</formula>
    </cfRule>
  </conditionalFormatting>
  <conditionalFormatting sqref="D24:O24">
    <cfRule type="expression" dxfId="34" priority="19">
      <formula>IF(AND(#REF!&lt;&gt;"",D$8=D24),1,0)</formula>
    </cfRule>
  </conditionalFormatting>
  <conditionalFormatting sqref="D26:O27">
    <cfRule type="expression" dxfId="33" priority="17">
      <formula>IF(AND(D11&lt;&gt;"",D$8=D26),1,0)</formula>
    </cfRule>
  </conditionalFormatting>
  <conditionalFormatting sqref="D29:O29">
    <cfRule type="expression" dxfId="32" priority="16">
      <formula>IF(AND(D26&lt;&gt;"",D$8=D29),1,0)</formula>
    </cfRule>
  </conditionalFormatting>
  <conditionalFormatting sqref="G8">
    <cfRule type="expression" dxfId="31" priority="9">
      <formula>#REF!="P"</formula>
    </cfRule>
    <cfRule type="expression" dxfId="30" priority="10">
      <formula>#REF!="E"</formula>
    </cfRule>
    <cfRule type="expression" dxfId="29" priority="11">
      <formula>#REF!="G"</formula>
    </cfRule>
  </conditionalFormatting>
  <conditionalFormatting sqref="J8">
    <cfRule type="expression" dxfId="28" priority="6">
      <formula>#REF!="P"</formula>
    </cfRule>
    <cfRule type="expression" dxfId="27" priority="7">
      <formula>#REF!="E"</formula>
    </cfRule>
    <cfRule type="expression" dxfId="26" priority="8">
      <formula>#REF!="G"</formula>
    </cfRule>
  </conditionalFormatting>
  <conditionalFormatting sqref="M8">
    <cfRule type="expression" dxfId="25" priority="3">
      <formula>#REF!="P"</formula>
    </cfRule>
    <cfRule type="expression" dxfId="24" priority="4">
      <formula>#REF!="E"</formula>
    </cfRule>
    <cfRule type="expression" dxfId="23" priority="5">
      <formula>#REF!="G"</formula>
    </cfRule>
  </conditionalFormatting>
  <conditionalFormatting sqref="Q32:Q37">
    <cfRule type="expression" dxfId="22" priority="1">
      <formula>$L32&lt;&gt;""</formula>
    </cfRule>
    <cfRule type="expression" dxfId="21"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s="300" t="s">
        <v>319</v>
      </c>
      <c r="B2" s="300"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s="300" t="s">
        <v>108</v>
      </c>
      <c r="BZ2" s="300" t="s">
        <v>113</v>
      </c>
      <c r="CA2" s="300" t="s">
        <v>123</v>
      </c>
      <c r="CB2" s="300" t="s">
        <v>127</v>
      </c>
      <c r="CC2" s="300" t="s">
        <v>108</v>
      </c>
      <c r="CD2" s="300" t="s">
        <v>114</v>
      </c>
      <c r="CE2" s="300" t="s">
        <v>113</v>
      </c>
      <c r="CF2" s="300" t="s">
        <v>111</v>
      </c>
      <c r="CG2" s="300" t="s">
        <v>127</v>
      </c>
      <c r="CH2" s="300" t="s">
        <v>122</v>
      </c>
      <c r="CI2" s="300" t="s">
        <v>123</v>
      </c>
      <c r="CJ2" s="300" t="s">
        <v>128</v>
      </c>
      <c r="CK2" s="300" t="s">
        <v>108</v>
      </c>
      <c r="CL2" s="300" t="s">
        <v>113</v>
      </c>
      <c r="CM2" s="300" t="s">
        <v>123</v>
      </c>
      <c r="CN2" s="300" t="s">
        <v>127</v>
      </c>
      <c r="CO2" s="300" t="s">
        <v>108</v>
      </c>
      <c r="CP2" s="300" t="s">
        <v>123</v>
      </c>
      <c r="CQ2" s="300"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s="300" t="s">
        <v>323</v>
      </c>
      <c r="B3" s="300"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s="300" t="s">
        <v>108</v>
      </c>
      <c r="BZ3" s="300" t="s">
        <v>113</v>
      </c>
      <c r="CA3" s="300" t="s">
        <v>123</v>
      </c>
      <c r="CB3" s="300" t="s">
        <v>127</v>
      </c>
      <c r="CC3" s="300" t="s">
        <v>108</v>
      </c>
      <c r="CD3" s="300" t="s">
        <v>114</v>
      </c>
      <c r="CE3" s="300" t="s">
        <v>113</v>
      </c>
      <c r="CF3" s="300" t="s">
        <v>111</v>
      </c>
      <c r="CG3" s="300" t="s">
        <v>127</v>
      </c>
      <c r="CH3" s="300" t="s">
        <v>122</v>
      </c>
      <c r="CI3" s="300" t="s">
        <v>123</v>
      </c>
      <c r="CJ3" s="300" t="s">
        <v>128</v>
      </c>
      <c r="CK3" s="300" t="s">
        <v>108</v>
      </c>
      <c r="CL3" s="300" t="s">
        <v>113</v>
      </c>
      <c r="CM3" s="300" t="s">
        <v>123</v>
      </c>
      <c r="CN3" s="300" t="s">
        <v>127</v>
      </c>
      <c r="CO3" s="300" t="s">
        <v>108</v>
      </c>
      <c r="CP3" s="300" t="s">
        <v>123</v>
      </c>
      <c r="CQ3" s="300"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s="300" t="s">
        <v>326</v>
      </c>
      <c r="B4" s="300"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s="300" t="s">
        <v>108</v>
      </c>
      <c r="BZ4" s="300" t="s">
        <v>113</v>
      </c>
      <c r="CA4" s="300" t="s">
        <v>123</v>
      </c>
      <c r="CB4" s="300" t="s">
        <v>128</v>
      </c>
      <c r="CC4" s="300" t="s">
        <v>108</v>
      </c>
      <c r="CD4" s="300" t="s">
        <v>114</v>
      </c>
      <c r="CE4" s="300" t="s">
        <v>113</v>
      </c>
      <c r="CF4" s="300" t="s">
        <v>111</v>
      </c>
      <c r="CG4" s="300" t="s">
        <v>128</v>
      </c>
      <c r="CH4" s="300" t="s">
        <v>122</v>
      </c>
      <c r="CI4" s="300" t="s">
        <v>123</v>
      </c>
      <c r="CJ4" s="300" t="s">
        <v>127</v>
      </c>
      <c r="CK4" s="300" t="s">
        <v>108</v>
      </c>
      <c r="CL4" s="300" t="s">
        <v>113</v>
      </c>
      <c r="CM4" s="300" t="s">
        <v>123</v>
      </c>
      <c r="CN4" s="300" t="s">
        <v>128</v>
      </c>
      <c r="CO4" s="300" t="s">
        <v>108</v>
      </c>
      <c r="CP4" s="300" t="s">
        <v>128</v>
      </c>
      <c r="CQ4" s="300"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s="300" t="s">
        <v>329</v>
      </c>
      <c r="B5" s="300"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s="300" t="s">
        <v>108</v>
      </c>
      <c r="BZ5" s="300" t="s">
        <v>114</v>
      </c>
      <c r="CA5" s="300" t="s">
        <v>123</v>
      </c>
      <c r="CB5" s="300" t="s">
        <v>127</v>
      </c>
      <c r="CC5" s="300" t="s">
        <v>108</v>
      </c>
      <c r="CD5" s="300" t="s">
        <v>113</v>
      </c>
      <c r="CE5" s="300" t="s">
        <v>114</v>
      </c>
      <c r="CF5" s="300" t="s">
        <v>134</v>
      </c>
      <c r="CG5" s="300" t="s">
        <v>127</v>
      </c>
      <c r="CH5" s="300" t="s">
        <v>122</v>
      </c>
      <c r="CI5" s="300" t="s">
        <v>123</v>
      </c>
      <c r="CJ5" s="300" t="s">
        <v>128</v>
      </c>
      <c r="CK5" s="300" t="s">
        <v>108</v>
      </c>
      <c r="CL5" s="300" t="s">
        <v>114</v>
      </c>
      <c r="CM5" s="300" t="s">
        <v>123</v>
      </c>
      <c r="CN5" s="300" t="s">
        <v>127</v>
      </c>
      <c r="CO5" s="300" t="s">
        <v>108</v>
      </c>
      <c r="CP5" s="300" t="s">
        <v>127</v>
      </c>
      <c r="CQ5" s="300"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s="300" t="s">
        <v>332</v>
      </c>
      <c r="B6" s="300"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s="300" t="s">
        <v>108</v>
      </c>
      <c r="BZ6" s="300" t="s">
        <v>113</v>
      </c>
      <c r="CA6" s="300" t="s">
        <v>123</v>
      </c>
      <c r="CB6" s="300" t="s">
        <v>127</v>
      </c>
      <c r="CC6" s="300" t="s">
        <v>108</v>
      </c>
      <c r="CD6" s="300" t="s">
        <v>114</v>
      </c>
      <c r="CE6" s="300" t="s">
        <v>113</v>
      </c>
      <c r="CF6" s="300" t="s">
        <v>111</v>
      </c>
      <c r="CG6" s="300" t="s">
        <v>127</v>
      </c>
      <c r="CH6" s="300" t="s">
        <v>122</v>
      </c>
      <c r="CI6" s="300" t="s">
        <v>123</v>
      </c>
      <c r="CJ6" s="300" t="s">
        <v>128</v>
      </c>
      <c r="CK6" s="300" t="s">
        <v>108</v>
      </c>
      <c r="CL6" s="300" t="s">
        <v>113</v>
      </c>
      <c r="CM6" s="300" t="s">
        <v>123</v>
      </c>
      <c r="CN6" s="300" t="s">
        <v>127</v>
      </c>
      <c r="CO6" s="300" t="s">
        <v>108</v>
      </c>
      <c r="CP6" s="300" t="s">
        <v>123</v>
      </c>
      <c r="CQ6" s="300"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s="300" t="s">
        <v>335</v>
      </c>
      <c r="B7" s="300"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s="300" t="s">
        <v>108</v>
      </c>
      <c r="BZ7" s="300" t="s">
        <v>113</v>
      </c>
      <c r="CA7" s="300" t="s">
        <v>123</v>
      </c>
      <c r="CB7" s="300" t="s">
        <v>127</v>
      </c>
      <c r="CC7" s="300" t="s">
        <v>108</v>
      </c>
      <c r="CD7" s="300" t="s">
        <v>114</v>
      </c>
      <c r="CE7" s="300" t="s">
        <v>113</v>
      </c>
      <c r="CF7" s="300" t="s">
        <v>134</v>
      </c>
      <c r="CG7" s="300" t="s">
        <v>127</v>
      </c>
      <c r="CH7" s="300" t="s">
        <v>122</v>
      </c>
      <c r="CI7" s="300" t="s">
        <v>123</v>
      </c>
      <c r="CJ7" s="300" t="s">
        <v>128</v>
      </c>
      <c r="CK7" s="300" t="s">
        <v>108</v>
      </c>
      <c r="CL7" s="300" t="s">
        <v>113</v>
      </c>
      <c r="CM7" s="300" t="s">
        <v>123</v>
      </c>
      <c r="CN7" s="300" t="s">
        <v>127</v>
      </c>
      <c r="CO7" s="300" t="s">
        <v>108</v>
      </c>
      <c r="CP7" s="300" t="s">
        <v>123</v>
      </c>
      <c r="CQ7" s="300"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s="300" t="s">
        <v>337</v>
      </c>
      <c r="B8" s="300"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s="300" t="s">
        <v>108</v>
      </c>
      <c r="BZ8" s="300" t="s">
        <v>114</v>
      </c>
      <c r="CA8" s="300" t="s">
        <v>123</v>
      </c>
      <c r="CB8" s="300" t="s">
        <v>128</v>
      </c>
      <c r="CC8" s="300" t="s">
        <v>108</v>
      </c>
      <c r="CD8" s="300" t="s">
        <v>113</v>
      </c>
      <c r="CE8" s="300" t="s">
        <v>114</v>
      </c>
      <c r="CF8" s="300" t="s">
        <v>111</v>
      </c>
      <c r="CG8" s="300" t="s">
        <v>128</v>
      </c>
      <c r="CH8" s="300" t="s">
        <v>122</v>
      </c>
      <c r="CI8" s="300" t="s">
        <v>123</v>
      </c>
      <c r="CJ8" s="300" t="s">
        <v>127</v>
      </c>
      <c r="CK8" s="300" t="s">
        <v>108</v>
      </c>
      <c r="CL8" s="300" t="s">
        <v>114</v>
      </c>
      <c r="CM8" s="300" t="s">
        <v>123</v>
      </c>
      <c r="CN8" s="300" t="s">
        <v>128</v>
      </c>
      <c r="CO8" s="300" t="s">
        <v>108</v>
      </c>
      <c r="CP8" s="300" t="s">
        <v>123</v>
      </c>
      <c r="CQ8" s="300"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s="300" t="s">
        <v>340</v>
      </c>
      <c r="B9" s="300"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s="300" t="s">
        <v>108</v>
      </c>
      <c r="BZ9" s="300" t="s">
        <v>114</v>
      </c>
      <c r="CA9" s="300" t="s">
        <v>123</v>
      </c>
      <c r="CB9" s="300" t="s">
        <v>127</v>
      </c>
      <c r="CC9" s="300" t="s">
        <v>108</v>
      </c>
      <c r="CD9" s="300" t="s">
        <v>113</v>
      </c>
      <c r="CE9" s="300" t="s">
        <v>114</v>
      </c>
      <c r="CF9" s="300" t="s">
        <v>134</v>
      </c>
      <c r="CG9" s="300" t="s">
        <v>127</v>
      </c>
      <c r="CH9" s="300" t="s">
        <v>122</v>
      </c>
      <c r="CI9" s="300" t="s">
        <v>123</v>
      </c>
      <c r="CJ9" s="300" t="s">
        <v>128</v>
      </c>
      <c r="CK9" s="300" t="s">
        <v>108</v>
      </c>
      <c r="CL9" s="300" t="s">
        <v>114</v>
      </c>
      <c r="CM9" s="300" t="s">
        <v>123</v>
      </c>
      <c r="CN9" s="300" t="s">
        <v>127</v>
      </c>
      <c r="CO9" s="300" t="s">
        <v>114</v>
      </c>
      <c r="CP9" s="300" t="s">
        <v>123</v>
      </c>
      <c r="CQ9" s="300"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s="300" t="s">
        <v>343</v>
      </c>
      <c r="B10" s="30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s="300" t="s">
        <v>108</v>
      </c>
      <c r="BZ10" s="300" t="s">
        <v>113</v>
      </c>
      <c r="CA10" s="300" t="s">
        <v>123</v>
      </c>
      <c r="CB10" s="300" t="s">
        <v>127</v>
      </c>
      <c r="CC10" s="300" t="s">
        <v>108</v>
      </c>
      <c r="CD10" s="300" t="s">
        <v>114</v>
      </c>
      <c r="CE10" s="300" t="s">
        <v>113</v>
      </c>
      <c r="CF10" s="300" t="s">
        <v>134</v>
      </c>
      <c r="CG10" s="300" t="s">
        <v>127</v>
      </c>
      <c r="CH10" s="300" t="s">
        <v>122</v>
      </c>
      <c r="CI10" s="300" t="s">
        <v>123</v>
      </c>
      <c r="CJ10" s="300" t="s">
        <v>128</v>
      </c>
      <c r="CK10" s="300" t="s">
        <v>108</v>
      </c>
      <c r="CL10" s="300" t="s">
        <v>134</v>
      </c>
      <c r="CM10" s="300" t="s">
        <v>123</v>
      </c>
      <c r="CN10" s="300" t="s">
        <v>127</v>
      </c>
      <c r="CO10" s="300" t="s">
        <v>108</v>
      </c>
      <c r="CP10" s="300" t="s">
        <v>123</v>
      </c>
      <c r="CQ10" s="30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t="str">
        <f ca="1">VLOOKUP(H2,Aux!$F:$O,9,0)</f>
        <v/>
      </c>
      <c r="I3" s="191" t="str">
        <f ca="1">VLOOKUP(H2,Aux!$F:$O,10,0)</f>
        <v/>
      </c>
      <c r="J3" s="191" t="str">
        <f t="shared" ref="J3" ca="1" si="0">IF(OR(H3="",I3=""),"",IF(H3&gt;I3,1,IF(H3=I3,"x",2)))</f>
        <v/>
      </c>
      <c r="K3" s="191" t="str">
        <f ca="1">VLOOKUP(K2,Aux!$F:$O,9,0)</f>
        <v/>
      </c>
      <c r="L3" s="191" t="str">
        <f ca="1">VLOOKUP(K2,Aux!$F:$O,10,0)</f>
        <v/>
      </c>
      <c r="M3" s="191" t="str">
        <f t="shared" ref="M3" ca="1" si="1">IF(OR(K3="",L3=""),"",IF(K3&gt;L3,1,IF(K3=L3,"x",2)))</f>
        <v/>
      </c>
      <c r="N3" s="191" t="str">
        <f ca="1">VLOOKUP(N2,Aux!$F:$O,9,0)</f>
        <v/>
      </c>
      <c r="O3" s="191" t="str">
        <f ca="1">VLOOKUP(N2,Aux!$F:$O,10,0)</f>
        <v/>
      </c>
      <c r="P3" s="191" t="str">
        <f t="shared" ref="P3" ca="1" si="2">IF(OR(N3="",O3=""),"",IF(N3&gt;O3,1,IF(N3=O3,"x",2)))</f>
        <v/>
      </c>
      <c r="Q3" s="191" t="str">
        <f ca="1">VLOOKUP(Q2,Aux!$F:$O,9,0)</f>
        <v/>
      </c>
      <c r="R3" s="191" t="str">
        <f ca="1">VLOOKUP(Q2,Aux!$F:$O,10,0)</f>
        <v/>
      </c>
      <c r="S3" s="191" t="str">
        <f t="shared" ref="S3" ca="1" si="3">IF(OR(Q3="",R3=""),"",IF(Q3&gt;R3,1,IF(Q3=R3,"x",2)))</f>
        <v/>
      </c>
      <c r="T3" s="191" t="str">
        <f ca="1">VLOOKUP(T2,Aux!$F:$O,9,0)</f>
        <v/>
      </c>
      <c r="U3" s="191" t="str">
        <f ca="1">VLOOKUP(T2,Aux!$F:$O,10,0)</f>
        <v/>
      </c>
      <c r="V3" s="191" t="str">
        <f t="shared" ref="V3" ca="1" si="4">IF(OR(T3="",U3=""),"",IF(T3&gt;U3,1,IF(T3=U3,"x",2)))</f>
        <v/>
      </c>
      <c r="W3" s="191" t="str">
        <f ca="1">VLOOKUP(W2,Aux!$F:$O,9,0)</f>
        <v/>
      </c>
      <c r="X3" s="191" t="str">
        <f ca="1">VLOOKUP(W2,Aux!$F:$O,10,0)</f>
        <v/>
      </c>
      <c r="Y3" s="191" t="str">
        <f t="shared" ref="Y3" ca="1" si="5">IF(OR(W3="",X3=""),"",IF(W3&gt;X3,1,IF(W3=X3,"x",2)))</f>
        <v/>
      </c>
      <c r="Z3" s="191" t="str">
        <f ca="1">VLOOKUP(Z2,Aux!$F:$O,9,0)</f>
        <v/>
      </c>
      <c r="AA3" s="191" t="str">
        <f ca="1">VLOOKUP(Z2,Aux!$F:$O,10,0)</f>
        <v/>
      </c>
      <c r="AB3" s="191" t="str">
        <f t="shared" ref="AB3" ca="1" si="6">IF(OR(Z3="",AA3=""),"",IF(Z3&gt;AA3,1,IF(Z3=AA3,"x",2)))</f>
        <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0</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0</v>
      </c>
      <c r="Q7">
        <f ca="1">IF($B7=0,0,IF(Q$3=TotalApuestas!Q2,Q$5,0))</f>
        <v>0</v>
      </c>
      <c r="R7">
        <f ca="1">IF($B7=0,0,IF(R$3=TotalApuestas!R2,R$5,0))</f>
        <v>0</v>
      </c>
      <c r="S7">
        <f ca="1">IF($B7=0,0,IF(AND(Q$3=TotalApuestas!Q2,Resultado!R$3=TotalApuestas!R2),Resultado!S$5+VLOOKUP(S$4&amp;"bonus",Aux!$W$1:$X$46,2,0),IF(S$3=TotalApuestas!S2,S$5,0)))</f>
        <v>0</v>
      </c>
      <c r="T7">
        <f ca="1">IF($B7=0,0,IF(T$3=TotalApuestas!T2,T$5,0))</f>
        <v>0</v>
      </c>
      <c r="U7">
        <f ca="1">IF($B7=0,0,IF(U$3=TotalApuestas!U2,U$5,0))</f>
        <v>0</v>
      </c>
      <c r="V7">
        <f ca="1">IF($B7=0,0,IF(AND(T$3=TotalApuestas!T2,Resultado!U$3=TotalApuestas!U2),Resultado!V$5+VLOOKUP(V$4&amp;"bonus",Aux!$W$1:$X$46,2,0),IF(V$3=TotalApuestas!V2,V$5,0)))</f>
        <v>0</v>
      </c>
      <c r="W7">
        <f ca="1">IF($B7=0,0,IF(W$3=TotalApuestas!W2,W$5,0))</f>
        <v>0</v>
      </c>
      <c r="X7">
        <f ca="1">IF($B7=0,0,IF(X$3=TotalApuestas!X2,X$5,0))</f>
        <v>0</v>
      </c>
      <c r="Y7">
        <f ca="1">IF($B7=0,0,IF(AND(W$3=TotalApuestas!W2,Resultado!X$3=TotalApuestas!X2),Resultado!Y$5+VLOOKUP(Y$4&amp;"bonus",Aux!$W$1:$X$46,2,0),IF(Y$3=TotalApuestas!Y2,Y$5,0)))</f>
        <v>0</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0</v>
      </c>
      <c r="AF7">
        <f ca="1">IF($B7=0,0,IF(AF$3=TotalApuestas!AF2,AF$5,0))</f>
        <v>0</v>
      </c>
      <c r="AG7">
        <f ca="1">IF($B7=0,0,IF(AG$3=TotalApuestas!AG2,AG$5,0))</f>
        <v>0</v>
      </c>
      <c r="AH7">
        <f ca="1">IF($B7=0,0,IF(AND(AF$3=TotalApuestas!AF2,Resultado!AG$3=TotalApuestas!AG2),Resultado!AH$5+VLOOKUP(AH$4&amp;"bonus",Aux!$W$1:$X$46,2,0),IF(AH$3=TotalApuestas!AH2,AH$5,0)))</f>
        <v>0</v>
      </c>
      <c r="AI7">
        <f ca="1">IF($B7=0,0,IF(AI$3=TotalApuestas!AI2,AI$5,0))</f>
        <v>0</v>
      </c>
      <c r="AJ7">
        <f ca="1">IF($B7=0,0,IF(AJ$3=TotalApuestas!AJ2,AJ$5,0))</f>
        <v>0</v>
      </c>
      <c r="AK7">
        <f ca="1">IF($B7=0,0,IF(AND(AI$3=TotalApuestas!AI2,Resultado!AJ$3=TotalApuestas!AJ2),Resultado!AK$5+VLOOKUP(AK$4&amp;"bonus",Aux!$W$1:$X$46,2,0),IF(AK$3=TotalApuestas!AK2,AK$5,0)))</f>
        <v>0</v>
      </c>
      <c r="AL7">
        <f ca="1">IF($B7=0,0,IF(AL$3=TotalApuestas!AL2,AL$5,0))</f>
        <v>0</v>
      </c>
      <c r="AM7">
        <f ca="1">IF($B7=0,0,IF(AM$3=TotalApuestas!AM2,AM$5,0))</f>
        <v>0</v>
      </c>
      <c r="AN7">
        <f ca="1">IF($B7=0,0,IF(AND(AL$3=TotalApuestas!AL2,Resultado!AM$3=TotalApuestas!AM2),Resultado!AN$5+VLOOKUP(AN$4&amp;"bonus",Aux!$W$1:$X$46,2,0),IF(AN$3=TotalApuestas!AN2,AN$5,0)))</f>
        <v>0</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0</v>
      </c>
      <c r="Q8">
        <f ca="1">IF($B8=0,0,IF(Q$3=TotalApuestas!Q3,Q$5,0))</f>
        <v>0</v>
      </c>
      <c r="R8">
        <f ca="1">IF($B8=0,0,IF(R$3=TotalApuestas!R3,R$5,0))</f>
        <v>0</v>
      </c>
      <c r="S8">
        <f ca="1">IF($B8=0,0,IF(AND(Q$3=TotalApuestas!Q3,Resultado!R$3=TotalApuestas!R3),Resultado!S$5+VLOOKUP(S$4&amp;"bonus",Aux!$W$1:$X$46,2,0),IF(S$3=TotalApuestas!S3,S$5,0)))</f>
        <v>0</v>
      </c>
      <c r="T8">
        <f ca="1">IF($B8=0,0,IF(T$3=TotalApuestas!T3,T$5,0))</f>
        <v>0</v>
      </c>
      <c r="U8">
        <f ca="1">IF($B8=0,0,IF(U$3=TotalApuestas!U3,U$5,0))</f>
        <v>0</v>
      </c>
      <c r="V8">
        <f ca="1">IF($B8=0,0,IF(AND(T$3=TotalApuestas!T3,Resultado!U$3=TotalApuestas!U3),Resultado!V$5+VLOOKUP(V$4&amp;"bonus",Aux!$W$1:$X$46,2,0),IF(V$3=TotalApuestas!V3,V$5,0)))</f>
        <v>0</v>
      </c>
      <c r="W8">
        <f ca="1">IF($B8=0,0,IF(W$3=TotalApuestas!W3,W$5,0))</f>
        <v>0</v>
      </c>
      <c r="X8">
        <f ca="1">IF($B8=0,0,IF(X$3=TotalApuestas!X3,X$5,0))</f>
        <v>0</v>
      </c>
      <c r="Y8">
        <f ca="1">IF($B8=0,0,IF(AND(W$3=TotalApuestas!W3,Resultado!X$3=TotalApuestas!X3),Resultado!Y$5+VLOOKUP(Y$4&amp;"bonus",Aux!$W$1:$X$46,2,0),IF(Y$3=TotalApuestas!Y3,Y$5,0)))</f>
        <v>0</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0</v>
      </c>
      <c r="AI8">
        <f ca="1">IF($B8=0,0,IF(AI$3=TotalApuestas!AI3,AI$5,0))</f>
        <v>0</v>
      </c>
      <c r="AJ8">
        <f ca="1">IF($B8=0,0,IF(AJ$3=TotalApuestas!AJ3,AJ$5,0))</f>
        <v>0</v>
      </c>
      <c r="AK8">
        <f ca="1">IF($B8=0,0,IF(AND(AI$3=TotalApuestas!AI3,Resultado!AJ$3=TotalApuestas!AJ3),Resultado!AK$5+VLOOKUP(AK$4&amp;"bonus",Aux!$W$1:$X$46,2,0),IF(AK$3=TotalApuestas!AK3,AK$5,0)))</f>
        <v>0</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0</v>
      </c>
      <c r="Q9">
        <f ca="1">IF($B9=0,0,IF(Q$3=TotalApuestas!Q4,Q$5,0))</f>
        <v>0</v>
      </c>
      <c r="R9">
        <f ca="1">IF($B9=0,0,IF(R$3=TotalApuestas!R4,R$5,0))</f>
        <v>0</v>
      </c>
      <c r="S9">
        <f ca="1">IF($B9=0,0,IF(AND(Q$3=TotalApuestas!Q4,Resultado!R$3=TotalApuestas!R4),Resultado!S$5+VLOOKUP(S$4&amp;"bonus",Aux!$W$1:$X$46,2,0),IF(S$3=TotalApuestas!S4,S$5,0)))</f>
        <v>0</v>
      </c>
      <c r="T9">
        <f ca="1">IF($B9=0,0,IF(T$3=TotalApuestas!T4,T$5,0))</f>
        <v>0</v>
      </c>
      <c r="U9">
        <f ca="1">IF($B9=0,0,IF(U$3=TotalApuestas!U4,U$5,0))</f>
        <v>0</v>
      </c>
      <c r="V9">
        <f ca="1">IF($B9=0,0,IF(AND(T$3=TotalApuestas!T4,Resultado!U$3=TotalApuestas!U4),Resultado!V$5+VLOOKUP(V$4&amp;"bonus",Aux!$W$1:$X$46,2,0),IF(V$3=TotalApuestas!V4,V$5,0)))</f>
        <v>0</v>
      </c>
      <c r="W9">
        <f ca="1">IF($B9=0,0,IF(W$3=TotalApuestas!W4,W$5,0))</f>
        <v>0</v>
      </c>
      <c r="X9">
        <f ca="1">IF($B9=0,0,IF(X$3=TotalApuestas!X4,X$5,0))</f>
        <v>0</v>
      </c>
      <c r="Y9">
        <f ca="1">IF($B9=0,0,IF(AND(W$3=TotalApuestas!W4,Resultado!X$3=TotalApuestas!X4),Resultado!Y$5+VLOOKUP(Y$4&amp;"bonus",Aux!$W$1:$X$46,2,0),IF(Y$3=TotalApuestas!Y4,Y$5,0)))</f>
        <v>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0</v>
      </c>
      <c r="AF9">
        <f ca="1">IF($B9=0,0,IF(AF$3=TotalApuestas!AF4,AF$5,0))</f>
        <v>0</v>
      </c>
      <c r="AG9">
        <f ca="1">IF($B9=0,0,IF(AG$3=TotalApuestas!AG4,AG$5,0))</f>
        <v>0</v>
      </c>
      <c r="AH9">
        <f ca="1">IF($B9=0,0,IF(AND(AF$3=TotalApuestas!AF4,Resultado!AG$3=TotalApuestas!AG4),Resultado!AH$5+VLOOKUP(AH$4&amp;"bonus",Aux!$W$1:$X$46,2,0),IF(AH$3=TotalApuestas!AH4,AH$5,0)))</f>
        <v>0</v>
      </c>
      <c r="AI9">
        <f ca="1">IF($B9=0,0,IF(AI$3=TotalApuestas!AI4,AI$5,0))</f>
        <v>0</v>
      </c>
      <c r="AJ9">
        <f ca="1">IF($B9=0,0,IF(AJ$3=TotalApuestas!AJ4,AJ$5,0))</f>
        <v>0</v>
      </c>
      <c r="AK9">
        <f ca="1">IF($B9=0,0,IF(AND(AI$3=TotalApuestas!AI4,Resultado!AJ$3=TotalApuestas!AJ4),Resultado!AK$5+VLOOKUP(AK$4&amp;"bonus",Aux!$W$1:$X$46,2,0),IF(AK$3=TotalApuestas!AK4,AK$5,0)))</f>
        <v>0</v>
      </c>
      <c r="AL9">
        <f ca="1">IF($B9=0,0,IF(AL$3=TotalApuestas!AL4,AL$5,0))</f>
        <v>0</v>
      </c>
      <c r="AM9">
        <f ca="1">IF($B9=0,0,IF(AM$3=TotalApuestas!AM4,AM$5,0))</f>
        <v>0</v>
      </c>
      <c r="AN9">
        <f ca="1">IF($B9=0,0,IF(AND(AL$3=TotalApuestas!AL4,Resultado!AM$3=TotalApuestas!AM4),Resultado!AN$5+VLOOKUP(AN$4&amp;"bonus",Aux!$W$1:$X$46,2,0),IF(AN$3=TotalApuestas!AN4,AN$5,0)))</f>
        <v>0</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0</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0</v>
      </c>
      <c r="T10">
        <f ca="1">IF($B10=0,0,IF(T$3=TotalApuestas!T5,T$5,0))</f>
        <v>0</v>
      </c>
      <c r="U10">
        <f ca="1">IF($B10=0,0,IF(U$3=TotalApuestas!U5,U$5,0))</f>
        <v>0</v>
      </c>
      <c r="V10">
        <f ca="1">IF($B10=0,0,IF(AND(T$3=TotalApuestas!T5,Resultado!U$3=TotalApuestas!U5),Resultado!V$5+VLOOKUP(V$4&amp;"bonus",Aux!$W$1:$X$46,2,0),IF(V$3=TotalApuestas!V5,V$5,0)))</f>
        <v>0</v>
      </c>
      <c r="W10">
        <f ca="1">IF($B10=0,0,IF(W$3=TotalApuestas!W5,W$5,0))</f>
        <v>0</v>
      </c>
      <c r="X10">
        <f ca="1">IF($B10=0,0,IF(X$3=TotalApuestas!X5,X$5,0))</f>
        <v>0</v>
      </c>
      <c r="Y10">
        <f ca="1">IF($B10=0,0,IF(AND(W$3=TotalApuestas!W5,Resultado!X$3=TotalApuestas!X5),Resultado!Y$5+VLOOKUP(Y$4&amp;"bonus",Aux!$W$1:$X$46,2,0),IF(Y$3=TotalApuestas!Y5,Y$5,0)))</f>
        <v>0</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0</v>
      </c>
      <c r="AI10">
        <f ca="1">IF($B10=0,0,IF(AI$3=TotalApuestas!AI5,AI$5,0))</f>
        <v>0</v>
      </c>
      <c r="AJ10">
        <f ca="1">IF($B10=0,0,IF(AJ$3=TotalApuestas!AJ5,AJ$5,0))</f>
        <v>0</v>
      </c>
      <c r="AK10">
        <f ca="1">IF($B10=0,0,IF(AND(AI$3=TotalApuestas!AI5,Resultado!AJ$3=TotalApuestas!AJ5),Resultado!AK$5+VLOOKUP(AK$4&amp;"bonus",Aux!$W$1:$X$46,2,0),IF(AK$3=TotalApuestas!AK5,AK$5,0)))</f>
        <v>0</v>
      </c>
      <c r="AL10">
        <f ca="1">IF($B10=0,0,IF(AL$3=TotalApuestas!AL5,AL$5,0))</f>
        <v>0</v>
      </c>
      <c r="AM10">
        <f ca="1">IF($B10=0,0,IF(AM$3=TotalApuestas!AM5,AM$5,0))</f>
        <v>0</v>
      </c>
      <c r="AN10">
        <f ca="1">IF($B10=0,0,IF(AND(AL$3=TotalApuestas!AL5,Resultado!AM$3=TotalApuestas!AM5),Resultado!AN$5+VLOOKUP(AN$4&amp;"bonus",Aux!$W$1:$X$46,2,0),IF(AN$3=TotalApuestas!AN5,AN$5,0)))</f>
        <v>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0</v>
      </c>
      <c r="Q11">
        <f ca="1">IF($B11=0,0,IF(Q$3=TotalApuestas!Q6,Q$5,0))</f>
        <v>0</v>
      </c>
      <c r="R11">
        <f ca="1">IF($B11=0,0,IF(R$3=TotalApuestas!R6,R$5,0))</f>
        <v>0</v>
      </c>
      <c r="S11">
        <f ca="1">IF($B11=0,0,IF(AND(Q$3=TotalApuestas!Q6,Resultado!R$3=TotalApuestas!R6),Resultado!S$5+VLOOKUP(S$4&amp;"bonus",Aux!$W$1:$X$46,2,0),IF(S$3=TotalApuestas!S6,S$5,0)))</f>
        <v>0</v>
      </c>
      <c r="T11">
        <f ca="1">IF($B11=0,0,IF(T$3=TotalApuestas!T6,T$5,0))</f>
        <v>0</v>
      </c>
      <c r="U11">
        <f ca="1">IF($B11=0,0,IF(U$3=TotalApuestas!U6,U$5,0))</f>
        <v>0</v>
      </c>
      <c r="V11">
        <f ca="1">IF($B11=0,0,IF(AND(T$3=TotalApuestas!T6,Resultado!U$3=TotalApuestas!U6),Resultado!V$5+VLOOKUP(V$4&amp;"bonus",Aux!$W$1:$X$46,2,0),IF(V$3=TotalApuestas!V6,V$5,0)))</f>
        <v>0</v>
      </c>
      <c r="W11">
        <f ca="1">IF($B11=0,0,IF(W$3=TotalApuestas!W6,W$5,0))</f>
        <v>0</v>
      </c>
      <c r="X11">
        <f ca="1">IF($B11=0,0,IF(X$3=TotalApuestas!X6,X$5,0))</f>
        <v>0</v>
      </c>
      <c r="Y11">
        <f ca="1">IF($B11=0,0,IF(AND(W$3=TotalApuestas!W6,Resultado!X$3=TotalApuestas!X6),Resultado!Y$5+VLOOKUP(Y$4&amp;"bonus",Aux!$W$1:$X$46,2,0),IF(Y$3=TotalApuestas!Y6,Y$5,0)))</f>
        <v>0</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0</v>
      </c>
      <c r="AF11">
        <f ca="1">IF($B11=0,0,IF(AF$3=TotalApuestas!AF6,AF$5,0))</f>
        <v>0</v>
      </c>
      <c r="AG11">
        <f ca="1">IF($B11=0,0,IF(AG$3=TotalApuestas!AG6,AG$5,0))</f>
        <v>0</v>
      </c>
      <c r="AH11">
        <f ca="1">IF($B11=0,0,IF(AND(AF$3=TotalApuestas!AF6,Resultado!AG$3=TotalApuestas!AG6),Resultado!AH$5+VLOOKUP(AH$4&amp;"bonus",Aux!$W$1:$X$46,2,0),IF(AH$3=TotalApuestas!AH6,AH$5,0)))</f>
        <v>0</v>
      </c>
      <c r="AI11">
        <f ca="1">IF($B11=0,0,IF(AI$3=TotalApuestas!AI6,AI$5,0))</f>
        <v>0</v>
      </c>
      <c r="AJ11">
        <f ca="1">IF($B11=0,0,IF(AJ$3=TotalApuestas!AJ6,AJ$5,0))</f>
        <v>0</v>
      </c>
      <c r="AK11">
        <f ca="1">IF($B11=0,0,IF(AND(AI$3=TotalApuestas!AI6,Resultado!AJ$3=TotalApuestas!AJ6),Resultado!AK$5+VLOOKUP(AK$4&amp;"bonus",Aux!$W$1:$X$46,2,0),IF(AK$3=TotalApuestas!AK6,AK$5,0)))</f>
        <v>0</v>
      </c>
      <c r="AL11">
        <f ca="1">IF($B11=0,0,IF(AL$3=TotalApuestas!AL6,AL$5,0))</f>
        <v>0</v>
      </c>
      <c r="AM11">
        <f ca="1">IF($B11=0,0,IF(AM$3=TotalApuestas!AM6,AM$5,0))</f>
        <v>0</v>
      </c>
      <c r="AN11">
        <f ca="1">IF($B11=0,0,IF(AND(AL$3=TotalApuestas!AL6,Resultado!AM$3=TotalApuestas!AM6),Resultado!AN$5+VLOOKUP(AN$4&amp;"bonus",Aux!$W$1:$X$46,2,0),IF(AN$3=TotalApuestas!AN6,AN$5,0)))</f>
        <v>0</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0</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0</v>
      </c>
      <c r="T12">
        <f ca="1">IF($B12=0,0,IF(T$3=TotalApuestas!T7,T$5,0))</f>
        <v>0</v>
      </c>
      <c r="U12">
        <f ca="1">IF($B12=0,0,IF(U$3=TotalApuestas!U7,U$5,0))</f>
        <v>0</v>
      </c>
      <c r="V12">
        <f ca="1">IF($B12=0,0,IF(AND(T$3=TotalApuestas!T7,Resultado!U$3=TotalApuestas!U7),Resultado!V$5+VLOOKUP(V$4&amp;"bonus",Aux!$W$1:$X$46,2,0),IF(V$3=TotalApuestas!V7,V$5,0)))</f>
        <v>0</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0</v>
      </c>
      <c r="AF12">
        <f ca="1">IF($B12=0,0,IF(AF$3=TotalApuestas!AF7,AF$5,0))</f>
        <v>0</v>
      </c>
      <c r="AG12">
        <f ca="1">IF($B12=0,0,IF(AG$3=TotalApuestas!AG7,AG$5,0))</f>
        <v>0</v>
      </c>
      <c r="AH12">
        <f ca="1">IF($B12=0,0,IF(AND(AF$3=TotalApuestas!AF7,Resultado!AG$3=TotalApuestas!AG7),Resultado!AH$5+VLOOKUP(AH$4&amp;"bonus",Aux!$W$1:$X$46,2,0),IF(AH$3=TotalApuestas!AH7,AH$5,0)))</f>
        <v>0</v>
      </c>
      <c r="AI12">
        <f ca="1">IF($B12=0,0,IF(AI$3=TotalApuestas!AI7,AI$5,0))</f>
        <v>0</v>
      </c>
      <c r="AJ12">
        <f ca="1">IF($B12=0,0,IF(AJ$3=TotalApuestas!AJ7,AJ$5,0))</f>
        <v>0</v>
      </c>
      <c r="AK12">
        <f ca="1">IF($B12=0,0,IF(AND(AI$3=TotalApuestas!AI7,Resultado!AJ$3=TotalApuestas!AJ7),Resultado!AK$5+VLOOKUP(AK$4&amp;"bonus",Aux!$W$1:$X$46,2,0),IF(AK$3=TotalApuestas!AK7,AK$5,0)))</f>
        <v>0</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0</v>
      </c>
      <c r="N13">
        <f ca="1">IF($B13=0,0,IF(N$3=TotalApuestas!N8,N$5,0))</f>
        <v>0</v>
      </c>
      <c r="O13">
        <f ca="1">IF($B13=0,0,IF(O$3=TotalApuestas!O8,O$5,0))</f>
        <v>0</v>
      </c>
      <c r="P13">
        <f ca="1">IF($B13=0,0,IF(AND(N$3=TotalApuestas!N8,Resultado!O$3=TotalApuestas!O8),Resultado!P$5+VLOOKUP(P$4&amp;"bonus",Aux!$W$1:$X$46,2,0),IF(P$3=TotalApuestas!P8,P$5,0)))</f>
        <v>0</v>
      </c>
      <c r="Q13">
        <f ca="1">IF($B13=0,0,IF(Q$3=TotalApuestas!Q8,Q$5,0))</f>
        <v>0</v>
      </c>
      <c r="R13">
        <f ca="1">IF($B13=0,0,IF(R$3=TotalApuestas!R8,R$5,0))</f>
        <v>0</v>
      </c>
      <c r="S13">
        <f ca="1">IF($B13=0,0,IF(AND(Q$3=TotalApuestas!Q8,Resultado!R$3=TotalApuestas!R8),Resultado!S$5+VLOOKUP(S$4&amp;"bonus",Aux!$W$1:$X$46,2,0),IF(S$3=TotalApuestas!S8,S$5,0)))</f>
        <v>0</v>
      </c>
      <c r="T13">
        <f ca="1">IF($B13=0,0,IF(T$3=TotalApuestas!T8,T$5,0))</f>
        <v>0</v>
      </c>
      <c r="U13">
        <f ca="1">IF($B13=0,0,IF(U$3=TotalApuestas!U8,U$5,0))</f>
        <v>0</v>
      </c>
      <c r="V13">
        <f ca="1">IF($B13=0,0,IF(AND(T$3=TotalApuestas!T8,Resultado!U$3=TotalApuestas!U8),Resultado!V$5+VLOOKUP(V$4&amp;"bonus",Aux!$W$1:$X$46,2,0),IF(V$3=TotalApuestas!V8,V$5,0)))</f>
        <v>0</v>
      </c>
      <c r="W13">
        <f ca="1">IF($B13=0,0,IF(W$3=TotalApuestas!W8,W$5,0))</f>
        <v>0</v>
      </c>
      <c r="X13">
        <f ca="1">IF($B13=0,0,IF(X$3=TotalApuestas!X8,X$5,0))</f>
        <v>0</v>
      </c>
      <c r="Y13">
        <f ca="1">IF($B13=0,0,IF(AND(W$3=TotalApuestas!W8,Resultado!X$3=TotalApuestas!X8),Resultado!Y$5+VLOOKUP(Y$4&amp;"bonus",Aux!$W$1:$X$46,2,0),IF(Y$3=TotalApuestas!Y8,Y$5,0)))</f>
        <v>0</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0</v>
      </c>
      <c r="AF13">
        <f ca="1">IF($B13=0,0,IF(AF$3=TotalApuestas!AF8,AF$5,0))</f>
        <v>0</v>
      </c>
      <c r="AG13">
        <f ca="1">IF($B13=0,0,IF(AG$3=TotalApuestas!AG8,AG$5,0))</f>
        <v>0</v>
      </c>
      <c r="AH13">
        <f ca="1">IF($B13=0,0,IF(AND(AF$3=TotalApuestas!AF8,Resultado!AG$3=TotalApuestas!AG8),Resultado!AH$5+VLOOKUP(AH$4&amp;"bonus",Aux!$W$1:$X$46,2,0),IF(AH$3=TotalApuestas!AH8,AH$5,0)))</f>
        <v>0</v>
      </c>
      <c r="AI13">
        <f ca="1">IF($B13=0,0,IF(AI$3=TotalApuestas!AI8,AI$5,0))</f>
        <v>0</v>
      </c>
      <c r="AJ13">
        <f ca="1">IF($B13=0,0,IF(AJ$3=TotalApuestas!AJ8,AJ$5,0))</f>
        <v>0</v>
      </c>
      <c r="AK13">
        <f ca="1">IF($B13=0,0,IF(AND(AI$3=TotalApuestas!AI8,Resultado!AJ$3=TotalApuestas!AJ8),Resultado!AK$5+VLOOKUP(AK$4&amp;"bonus",Aux!$W$1:$X$46,2,0),IF(AK$3=TotalApuestas!AK8,AK$5,0)))</f>
        <v>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0</v>
      </c>
      <c r="N14">
        <f ca="1">IF($B14=0,0,IF(N$3=TotalApuestas!N9,N$5,0))</f>
        <v>0</v>
      </c>
      <c r="O14">
        <f ca="1">IF($B14=0,0,IF(O$3=TotalApuestas!O9,O$5,0))</f>
        <v>0</v>
      </c>
      <c r="P14">
        <f ca="1">IF($B14=0,0,IF(AND(N$3=TotalApuestas!N9,Resultado!O$3=TotalApuestas!O9),Resultado!P$5+VLOOKUP(P$4&amp;"bonus",Aux!$W$1:$X$46,2,0),IF(P$3=TotalApuestas!P9,P$5,0)))</f>
        <v>0</v>
      </c>
      <c r="Q14">
        <f ca="1">IF($B14=0,0,IF(Q$3=TotalApuestas!Q9,Q$5,0))</f>
        <v>0</v>
      </c>
      <c r="R14">
        <f ca="1">IF($B14=0,0,IF(R$3=TotalApuestas!R9,R$5,0))</f>
        <v>0</v>
      </c>
      <c r="S14">
        <f ca="1">IF($B14=0,0,IF(AND(Q$3=TotalApuestas!Q9,Resultado!R$3=TotalApuestas!R9),Resultado!S$5+VLOOKUP(S$4&amp;"bonus",Aux!$W$1:$X$46,2,0),IF(S$3=TotalApuestas!S9,S$5,0)))</f>
        <v>0</v>
      </c>
      <c r="T14">
        <f ca="1">IF($B14=0,0,IF(T$3=TotalApuestas!T9,T$5,0))</f>
        <v>0</v>
      </c>
      <c r="U14">
        <f ca="1">IF($B14=0,0,IF(U$3=TotalApuestas!U9,U$5,0))</f>
        <v>0</v>
      </c>
      <c r="V14">
        <f ca="1">IF($B14=0,0,IF(AND(T$3=TotalApuestas!T9,Resultado!U$3=TotalApuestas!U9),Resultado!V$5+VLOOKUP(V$4&amp;"bonus",Aux!$W$1:$X$46,2,0),IF(V$3=TotalApuestas!V9,V$5,0)))</f>
        <v>0</v>
      </c>
      <c r="W14">
        <f ca="1">IF($B14=0,0,IF(W$3=TotalApuestas!W9,W$5,0))</f>
        <v>0</v>
      </c>
      <c r="X14">
        <f ca="1">IF($B14=0,0,IF(X$3=TotalApuestas!X9,X$5,0))</f>
        <v>0</v>
      </c>
      <c r="Y14">
        <f ca="1">IF($B14=0,0,IF(AND(W$3=TotalApuestas!W9,Resultado!X$3=TotalApuestas!X9),Resultado!Y$5+VLOOKUP(Y$4&amp;"bonus",Aux!$W$1:$X$46,2,0),IF(Y$3=TotalApuestas!Y9,Y$5,0)))</f>
        <v>0</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0</v>
      </c>
      <c r="AF14">
        <f ca="1">IF($B14=0,0,IF(AF$3=TotalApuestas!AF9,AF$5,0))</f>
        <v>0</v>
      </c>
      <c r="AG14">
        <f ca="1">IF($B14=0,0,IF(AG$3=TotalApuestas!AG9,AG$5,0))</f>
        <v>0</v>
      </c>
      <c r="AH14">
        <f ca="1">IF($B14=0,0,IF(AND(AF$3=TotalApuestas!AF9,Resultado!AG$3=TotalApuestas!AG9),Resultado!AH$5+VLOOKUP(AH$4&amp;"bonus",Aux!$W$1:$X$46,2,0),IF(AH$3=TotalApuestas!AH9,AH$5,0)))</f>
        <v>0</v>
      </c>
      <c r="AI14">
        <f ca="1">IF($B14=0,0,IF(AI$3=TotalApuestas!AI9,AI$5,0))</f>
        <v>0</v>
      </c>
      <c r="AJ14">
        <f ca="1">IF($B14=0,0,IF(AJ$3=TotalApuestas!AJ9,AJ$5,0))</f>
        <v>0</v>
      </c>
      <c r="AK14">
        <f ca="1">IF($B14=0,0,IF(AND(AI$3=TotalApuestas!AI9,Resultado!AJ$3=TotalApuestas!AJ9),Resultado!AK$5+VLOOKUP(AK$4&amp;"bonus",Aux!$W$1:$X$46,2,0),IF(AK$3=TotalApuestas!AK9,AK$5,0)))</f>
        <v>0</v>
      </c>
      <c r="AL14">
        <f ca="1">IF($B14=0,0,IF(AL$3=TotalApuestas!AL9,AL$5,0))</f>
        <v>0</v>
      </c>
      <c r="AM14">
        <f ca="1">IF($B14=0,0,IF(AM$3=TotalApuestas!AM9,AM$5,0))</f>
        <v>0</v>
      </c>
      <c r="AN14">
        <f ca="1">IF($B14=0,0,IF(AND(AL$3=TotalApuestas!AL9,Resultado!AM$3=TotalApuestas!AM9),Resultado!AN$5+VLOOKUP(AN$4&amp;"bonus",Aux!$W$1:$X$46,2,0),IF(AN$3=TotalApuestas!AN9,AN$5,0)))</f>
        <v>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0</v>
      </c>
      <c r="Q15">
        <f ca="1">IF($B15=0,0,IF(Q$3=TotalApuestas!Q10,Q$5,0))</f>
        <v>0</v>
      </c>
      <c r="R15">
        <f ca="1">IF($B15=0,0,IF(R$3=TotalApuestas!R10,R$5,0))</f>
        <v>0</v>
      </c>
      <c r="S15">
        <f ca="1">IF($B15=0,0,IF(AND(Q$3=TotalApuestas!Q10,Resultado!R$3=TotalApuestas!R10),Resultado!S$5+VLOOKUP(S$4&amp;"bonus",Aux!$W$1:$X$46,2,0),IF(S$3=TotalApuestas!S10,S$5,0)))</f>
        <v>0</v>
      </c>
      <c r="T15">
        <f ca="1">IF($B15=0,0,IF(T$3=TotalApuestas!T10,T$5,0))</f>
        <v>0</v>
      </c>
      <c r="U15">
        <f ca="1">IF($B15=0,0,IF(U$3=TotalApuestas!U10,U$5,0))</f>
        <v>0</v>
      </c>
      <c r="V15">
        <f ca="1">IF($B15=0,0,IF(AND(T$3=TotalApuestas!T10,Resultado!U$3=TotalApuestas!U10),Resultado!V$5+VLOOKUP(V$4&amp;"bonus",Aux!$W$1:$X$46,2,0),IF(V$3=TotalApuestas!V10,V$5,0)))</f>
        <v>0</v>
      </c>
      <c r="W15">
        <f ca="1">IF($B15=0,0,IF(W$3=TotalApuestas!W10,W$5,0))</f>
        <v>0</v>
      </c>
      <c r="X15">
        <f ca="1">IF($B15=0,0,IF(X$3=TotalApuestas!X10,X$5,0))</f>
        <v>0</v>
      </c>
      <c r="Y15">
        <f ca="1">IF($B15=0,0,IF(AND(W$3=TotalApuestas!W10,Resultado!X$3=TotalApuestas!X10),Resultado!Y$5+VLOOKUP(Y$4&amp;"bonus",Aux!$W$1:$X$46,2,0),IF(Y$3=TotalApuestas!Y10,Y$5,0)))</f>
        <v>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0</v>
      </c>
      <c r="AF15">
        <f ca="1">IF($B15=0,0,IF(AF$3=TotalApuestas!AF10,AF$5,0))</f>
        <v>0</v>
      </c>
      <c r="AG15">
        <f ca="1">IF($B15=0,0,IF(AG$3=TotalApuestas!AG10,AG$5,0))</f>
        <v>0</v>
      </c>
      <c r="AH15">
        <f ca="1">IF($B15=0,0,IF(AND(AF$3=TotalApuestas!AF10,Resultado!AG$3=TotalApuestas!AG10),Resultado!AH$5+VLOOKUP(AH$4&amp;"bonus",Aux!$W$1:$X$46,2,0),IF(AH$3=TotalApuestas!AH10,AH$5,0)))</f>
        <v>0</v>
      </c>
      <c r="AI15">
        <f ca="1">IF($B15=0,0,IF(AI$3=TotalApuestas!AI10,AI$5,0))</f>
        <v>0</v>
      </c>
      <c r="AJ15">
        <f ca="1">IF($B15=0,0,IF(AJ$3=TotalApuestas!AJ10,AJ$5,0))</f>
        <v>0</v>
      </c>
      <c r="AK15">
        <f ca="1">IF($B15=0,0,IF(AND(AI$3=TotalApuestas!AI10,Resultado!AJ$3=TotalApuestas!AJ10),Resultado!AK$5+VLOOKUP(AK$4&amp;"bonus",Aux!$W$1:$X$46,2,0),IF(AK$3=TotalApuestas!AK10,AK$5,0)))</f>
        <v>0</v>
      </c>
      <c r="AL15">
        <f ca="1">IF($B15=0,0,IF(AL$3=TotalApuestas!AL10,AL$5,0))</f>
        <v>0</v>
      </c>
      <c r="AM15">
        <f ca="1">IF($B15=0,0,IF(AM$3=TotalApuestas!AM10,AM$5,0))</f>
        <v>0</v>
      </c>
      <c r="AN15">
        <f ca="1">IF($B15=0,0,IF(AND(AL$3=TotalApuestas!AL10,Resultado!AM$3=TotalApuestas!AM10),Resultado!AN$5+VLOOKUP(AN$4&amp;"bonus",Aux!$W$1:$X$46,2,0),IF(AN$3=TotalApuestas!AN10,AN$5,0)))</f>
        <v>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0</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t="str">
        <f ca="1">+Resultado!H3</f>
        <v/>
      </c>
      <c r="I1" s="84" t="str">
        <f ca="1">+Resultado!I3</f>
        <v/>
      </c>
      <c r="J1" s="84" t="str">
        <f ca="1">+Resultado!J3</f>
        <v/>
      </c>
      <c r="K1" s="84" t="str">
        <f ca="1">+Resultado!K3</f>
        <v/>
      </c>
      <c r="L1" s="84" t="str">
        <f ca="1">+Resultado!L3</f>
        <v/>
      </c>
      <c r="M1" s="84" t="str">
        <f ca="1">+Resultado!M3</f>
        <v/>
      </c>
      <c r="N1" s="84" t="str">
        <f ca="1">+Resultado!N3</f>
        <v/>
      </c>
      <c r="O1" s="84" t="str">
        <f ca="1">+Resultado!O3</f>
        <v/>
      </c>
      <c r="P1" s="84" t="str">
        <f ca="1">+Resultado!P3</f>
        <v/>
      </c>
      <c r="Q1" s="84" t="str">
        <f ca="1">+Resultado!Q3</f>
        <v/>
      </c>
      <c r="R1" s="84" t="str">
        <f ca="1">+Resultado!R3</f>
        <v/>
      </c>
      <c r="S1" s="84" t="str">
        <f ca="1">+Resultado!S3</f>
        <v/>
      </c>
      <c r="T1" s="84" t="str">
        <f ca="1">+Resultado!T3</f>
        <v/>
      </c>
      <c r="U1" s="84" t="str">
        <f ca="1">+Resultado!U3</f>
        <v/>
      </c>
      <c r="V1" s="84" t="str">
        <f ca="1">+Resultado!V3</f>
        <v/>
      </c>
      <c r="W1" s="84" t="str">
        <f ca="1">+Resultado!W3</f>
        <v/>
      </c>
      <c r="X1" s="84" t="str">
        <f ca="1">+Resultado!X3</f>
        <v/>
      </c>
      <c r="Y1" s="84" t="str">
        <f ca="1">+Resultado!Y3</f>
        <v/>
      </c>
      <c r="Z1" s="84" t="str">
        <f ca="1">+Resultado!Z3</f>
        <v/>
      </c>
      <c r="AA1" s="84" t="str">
        <f ca="1">+Resultado!AA3</f>
        <v/>
      </c>
      <c r="AB1" s="84" t="str">
        <f ca="1">+Resultado!AB3</f>
        <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2024-06-21T15:08:59Z</dcterms:modified>
</cp:coreProperties>
</file>