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WebImage.xml" ContentType="application/vnd.ms-excel.rdrichvaluewebimage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eine\Documents\QUINIELA-VENECA\MUNDIAL DE CLUBES\Participantes\"/>
    </mc:Choice>
  </mc:AlternateContent>
  <xr:revisionPtr revIDLastSave="0" documentId="13_ncr:1_{B6CA2287-B111-4A11-A4A6-F7415301336D}" xr6:coauthVersionLast="47" xr6:coauthVersionMax="47" xr10:uidLastSave="{00000000-0000-0000-0000-000000000000}"/>
  <bookViews>
    <workbookView xWindow="-120" yWindow="-120" windowWidth="29040" windowHeight="15720" tabRatio="721" activeTab="12" xr2:uid="{A1A07F19-1258-4827-8AF7-173CDFEC396E}"/>
  </bookViews>
  <sheets>
    <sheet name="Normas" sheetId="23" r:id="rId1"/>
    <sheet name="Previa" sheetId="67" state="hidden" r:id="rId2"/>
    <sheet name="A" sheetId="49" r:id="rId3"/>
    <sheet name="B" sheetId="69" r:id="rId4"/>
    <sheet name="C" sheetId="72" r:id="rId5"/>
    <sheet name="D" sheetId="73" r:id="rId6"/>
    <sheet name="E" sheetId="74" r:id="rId7"/>
    <sheet name="F" sheetId="75" r:id="rId8"/>
    <sheet name="G" sheetId="70" r:id="rId9"/>
    <sheet name="H" sheetId="68" r:id="rId10"/>
    <sheet name="Octavos" sheetId="63" r:id="rId11"/>
    <sheet name="Cuartos" sheetId="64" r:id="rId12"/>
    <sheet name="Semis" sheetId="65" r:id="rId13"/>
    <sheet name="Final" sheetId="66" r:id="rId14"/>
    <sheet name="Aux" sheetId="1" state="hidden" r:id="rId15"/>
    <sheet name="Data" sheetId="36" state="hidden" r:id="rId16"/>
    <sheet name="TotalApuestas" sheetId="37" state="hidden" r:id="rId17"/>
    <sheet name="Resultado" sheetId="38" state="hidden" r:id="rId18"/>
    <sheet name="ClasificaciónPorra" sheetId="76" state="hidden" r:id="rId19"/>
    <sheet name="Seguimiento" sheetId="40" state="hidden" r:id="rId20"/>
  </sheets>
  <definedNames>
    <definedName name="_xlnm._FilterDatabase" localSheetId="14" hidden="1">Aux!$L$1:$V$65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4" i="23" l="1"/>
  <c r="GM22" i="38"/>
  <c r="GL22" i="38"/>
  <c r="GK22" i="38"/>
  <c r="GG22" i="38"/>
  <c r="GE22" i="38"/>
  <c r="DZ22" i="38"/>
  <c r="DY22" i="38"/>
  <c r="DU22" i="38"/>
  <c r="DS22" i="38"/>
  <c r="BO22" i="38"/>
  <c r="BN22" i="38"/>
  <c r="BM22" i="38"/>
  <c r="BI22" i="38"/>
  <c r="BG22" i="38"/>
  <c r="B22" i="38"/>
  <c r="HP22" i="38" s="1"/>
  <c r="B21" i="38"/>
  <c r="B20" i="38"/>
  <c r="B19" i="38"/>
  <c r="B18" i="38"/>
  <c r="AY26" i="40"/>
  <c r="W21" i="76"/>
  <c r="AL21" i="76" s="1"/>
  <c r="X21" i="76"/>
  <c r="Y21" i="76"/>
  <c r="Z21" i="76"/>
  <c r="AA21" i="76"/>
  <c r="AB21" i="76"/>
  <c r="AC21" i="76"/>
  <c r="AD21" i="76"/>
  <c r="AE21" i="76"/>
  <c r="AG21" i="76"/>
  <c r="AH21" i="76"/>
  <c r="AI21" i="76"/>
  <c r="AJ21" i="76"/>
  <c r="W22" i="76"/>
  <c r="AL22" i="76" s="1"/>
  <c r="X22" i="76"/>
  <c r="Y22" i="76"/>
  <c r="Z22" i="76"/>
  <c r="AA22" i="76"/>
  <c r="AB22" i="76"/>
  <c r="AC22" i="76"/>
  <c r="AD22" i="76"/>
  <c r="AE22" i="76"/>
  <c r="AG22" i="76"/>
  <c r="AH22" i="76"/>
  <c r="AI22" i="76"/>
  <c r="AJ22" i="76"/>
  <c r="W23" i="76"/>
  <c r="AL23" i="76" s="1"/>
  <c r="X23" i="76"/>
  <c r="Y23" i="76"/>
  <c r="Z23" i="76"/>
  <c r="AA23" i="76"/>
  <c r="AB23" i="76"/>
  <c r="AC23" i="76"/>
  <c r="AD23" i="76"/>
  <c r="AE23" i="76"/>
  <c r="AG23" i="76"/>
  <c r="AH23" i="76"/>
  <c r="AI23" i="76"/>
  <c r="AJ23" i="76"/>
  <c r="M22" i="38" l="1"/>
  <c r="BY22" i="38"/>
  <c r="EK22" i="38"/>
  <c r="Q22" i="38"/>
  <c r="CC22" i="38"/>
  <c r="HA22" i="38"/>
  <c r="R22" i="38"/>
  <c r="S22" i="38"/>
  <c r="CE22" i="38"/>
  <c r="HC22" i="38"/>
  <c r="CM22" i="38"/>
  <c r="AC22" i="38"/>
  <c r="HM22" i="38"/>
  <c r="AG22" i="38"/>
  <c r="CS22" i="38"/>
  <c r="FE22" i="38"/>
  <c r="AH22" i="38"/>
  <c r="CT22" i="38"/>
  <c r="FF22" i="38"/>
  <c r="AI22" i="38"/>
  <c r="CU22" i="38"/>
  <c r="FG22" i="38"/>
  <c r="BW22" i="38"/>
  <c r="GU22" i="38"/>
  <c r="EO22" i="38"/>
  <c r="CO22" i="38"/>
  <c r="AQ22" i="38"/>
  <c r="DC22" i="38"/>
  <c r="FO22" i="38"/>
  <c r="EI22" i="38"/>
  <c r="CD22" i="38"/>
  <c r="EQ22" i="38"/>
  <c r="AS22" i="38"/>
  <c r="DE22" i="38"/>
  <c r="FQ22" i="38"/>
  <c r="GW22" i="38"/>
  <c r="EP22" i="38"/>
  <c r="AA22" i="38"/>
  <c r="EY22" i="38"/>
  <c r="HK22" i="38"/>
  <c r="FA22" i="38"/>
  <c r="AW22" i="38"/>
  <c r="DI22" i="38"/>
  <c r="FU22" i="38"/>
  <c r="EA22" i="38"/>
  <c r="K22" i="38"/>
  <c r="HB22" i="38"/>
  <c r="W20" i="76"/>
  <c r="AL20" i="76" s="1"/>
  <c r="AX22" i="38"/>
  <c r="DJ22" i="38"/>
  <c r="FV22" i="38"/>
  <c r="AY22" i="38"/>
  <c r="DK22" i="38"/>
  <c r="FW22" i="38"/>
  <c r="T22" i="38"/>
  <c r="AJ22" i="38"/>
  <c r="AZ22" i="38"/>
  <c r="BP22" i="38"/>
  <c r="CF22" i="38"/>
  <c r="CV22" i="38"/>
  <c r="DL22" i="38"/>
  <c r="EB22" i="38"/>
  <c r="ER22" i="38"/>
  <c r="FH22" i="38"/>
  <c r="FX22" i="38"/>
  <c r="GN22" i="38"/>
  <c r="HD22" i="38"/>
  <c r="E22" i="38"/>
  <c r="U22" i="38"/>
  <c r="AK22" i="38"/>
  <c r="BA22" i="38"/>
  <c r="BQ22" i="38"/>
  <c r="CG22" i="38"/>
  <c r="CW22" i="38"/>
  <c r="DM22" i="38"/>
  <c r="EC22" i="38"/>
  <c r="ES22" i="38"/>
  <c r="FI22" i="38"/>
  <c r="FY22" i="38"/>
  <c r="GO22" i="38"/>
  <c r="HE22" i="38"/>
  <c r="F22" i="38"/>
  <c r="V22" i="38"/>
  <c r="AL22" i="38"/>
  <c r="BB22" i="38"/>
  <c r="BR22" i="38"/>
  <c r="CH22" i="38"/>
  <c r="CX22" i="38"/>
  <c r="DN22" i="38"/>
  <c r="ED22" i="38"/>
  <c r="ET22" i="38"/>
  <c r="FJ22" i="38"/>
  <c r="FZ22" i="38"/>
  <c r="GP22" i="38"/>
  <c r="HF22" i="38"/>
  <c r="G22" i="38"/>
  <c r="W22" i="38"/>
  <c r="AM22" i="38"/>
  <c r="BC22" i="38"/>
  <c r="BS22" i="38"/>
  <c r="CI22" i="38"/>
  <c r="CY22" i="38"/>
  <c r="DO22" i="38"/>
  <c r="EE22" i="38"/>
  <c r="EU22" i="38"/>
  <c r="FK22" i="38"/>
  <c r="GA22" i="38"/>
  <c r="GQ22" i="38"/>
  <c r="HG22" i="38"/>
  <c r="H22" i="38"/>
  <c r="X22" i="38"/>
  <c r="AN22" i="38"/>
  <c r="BD22" i="38"/>
  <c r="BT22" i="38"/>
  <c r="CJ22" i="38"/>
  <c r="CZ22" i="38"/>
  <c r="DP22" i="38"/>
  <c r="EF22" i="38"/>
  <c r="EV22" i="38"/>
  <c r="FL22" i="38"/>
  <c r="GB22" i="38"/>
  <c r="GR22" i="38"/>
  <c r="HH22" i="38"/>
  <c r="I22" i="38"/>
  <c r="Y22" i="38"/>
  <c r="AO22" i="38"/>
  <c r="BE22" i="38"/>
  <c r="BU22" i="38"/>
  <c r="CK22" i="38"/>
  <c r="DA22" i="38"/>
  <c r="DQ22" i="38"/>
  <c r="EG22" i="38"/>
  <c r="EW22" i="38"/>
  <c r="FM22" i="38"/>
  <c r="GC22" i="38"/>
  <c r="GS22" i="38"/>
  <c r="HI22" i="38"/>
  <c r="J22" i="38"/>
  <c r="Z22" i="38"/>
  <c r="AP22" i="38"/>
  <c r="BF22" i="38"/>
  <c r="BV22" i="38"/>
  <c r="CL22" i="38"/>
  <c r="DB22" i="38"/>
  <c r="DR22" i="38"/>
  <c r="EH22" i="38"/>
  <c r="EX22" i="38"/>
  <c r="FN22" i="38"/>
  <c r="GD22" i="38"/>
  <c r="GT22" i="38"/>
  <c r="HJ22" i="38"/>
  <c r="L22" i="38"/>
  <c r="AB22" i="38"/>
  <c r="AR22" i="38"/>
  <c r="BH22" i="38"/>
  <c r="BX22" i="38"/>
  <c r="CN22" i="38"/>
  <c r="DD22" i="38"/>
  <c r="DT22" i="38"/>
  <c r="EJ22" i="38"/>
  <c r="EZ22" i="38"/>
  <c r="FP22" i="38"/>
  <c r="GF22" i="38"/>
  <c r="GV22" i="38"/>
  <c r="HL22" i="38"/>
  <c r="N22" i="38"/>
  <c r="AD22" i="38"/>
  <c r="AT22" i="38"/>
  <c r="BJ22" i="38"/>
  <c r="BZ22" i="38"/>
  <c r="CP22" i="38"/>
  <c r="DF22" i="38"/>
  <c r="DV22" i="38"/>
  <c r="EL22" i="38"/>
  <c r="FB22" i="38"/>
  <c r="FR22" i="38"/>
  <c r="GH22" i="38"/>
  <c r="GX22" i="38"/>
  <c r="HN22" i="38"/>
  <c r="O22" i="38"/>
  <c r="AE22" i="38"/>
  <c r="AU22" i="38"/>
  <c r="BK22" i="38"/>
  <c r="CA22" i="38"/>
  <c r="CQ22" i="38"/>
  <c r="DG22" i="38"/>
  <c r="DW22" i="38"/>
  <c r="EM22" i="38"/>
  <c r="FC22" i="38"/>
  <c r="FS22" i="38"/>
  <c r="GI22" i="38"/>
  <c r="GY22" i="38"/>
  <c r="HO22" i="38"/>
  <c r="P22" i="38"/>
  <c r="AF22" i="38"/>
  <c r="AV22" i="38"/>
  <c r="BL22" i="38"/>
  <c r="CB22" i="38"/>
  <c r="CR22" i="38"/>
  <c r="DH22" i="38"/>
  <c r="DX22" i="38"/>
  <c r="EN22" i="38"/>
  <c r="FD22" i="38"/>
  <c r="FT22" i="38"/>
  <c r="GJ22" i="38"/>
  <c r="GZ22" i="38"/>
  <c r="AF21" i="76"/>
  <c r="AK21" i="76"/>
  <c r="AF22" i="76"/>
  <c r="AF23" i="76"/>
  <c r="AK23" i="76"/>
  <c r="AK22" i="76"/>
  <c r="AH16" i="69"/>
  <c r="AH14" i="69"/>
  <c r="BC8" i="69" s="1"/>
  <c r="AH12" i="69"/>
  <c r="AH10" i="69"/>
  <c r="BA8" i="69" s="1"/>
  <c r="AH16" i="49"/>
  <c r="AH14" i="49"/>
  <c r="AH12" i="49"/>
  <c r="AH10" i="49"/>
  <c r="BA8" i="49" s="1"/>
  <c r="AH16" i="74"/>
  <c r="AH14" i="74"/>
  <c r="AH12" i="74"/>
  <c r="AH10" i="74"/>
  <c r="BA8" i="74" s="1"/>
  <c r="AH16" i="75"/>
  <c r="BD8" i="75" s="1"/>
  <c r="AH14" i="75"/>
  <c r="AH12" i="75"/>
  <c r="BB8" i="75" s="1"/>
  <c r="AH10" i="75"/>
  <c r="AH16" i="70"/>
  <c r="AH14" i="70"/>
  <c r="AH12" i="70"/>
  <c r="AH10" i="70"/>
  <c r="BA8" i="70" s="1"/>
  <c r="AH16" i="68"/>
  <c r="AH14" i="68"/>
  <c r="AH12" i="68"/>
  <c r="AH10" i="68"/>
  <c r="BA8" i="68" s="1"/>
  <c r="AH14" i="73"/>
  <c r="AH12" i="73"/>
  <c r="AH10" i="73"/>
  <c r="BA8" i="73" s="1"/>
  <c r="BB8" i="49" l="1"/>
  <c r="BC8" i="49"/>
  <c r="BD8" i="49"/>
  <c r="BB8" i="69"/>
  <c r="BD8" i="69"/>
  <c r="BA8" i="75"/>
  <c r="BC8" i="75"/>
  <c r="BB8" i="70"/>
  <c r="BC8" i="70"/>
  <c r="BD8" i="70"/>
  <c r="BB8" i="68"/>
  <c r="BC8" i="68"/>
  <c r="BD8" i="68"/>
  <c r="BB8" i="74"/>
  <c r="BB8" i="73"/>
  <c r="BC8" i="73"/>
  <c r="BC8" i="74"/>
  <c r="BD8" i="74"/>
  <c r="W19" i="76"/>
  <c r="W17" i="76"/>
  <c r="B17" i="38"/>
  <c r="B16" i="38"/>
  <c r="B15" i="38"/>
  <c r="B14" i="38"/>
  <c r="B13" i="38"/>
  <c r="B12" i="38"/>
  <c r="W10" i="76" s="1"/>
  <c r="B11" i="38"/>
  <c r="W9" i="76" s="1"/>
  <c r="B10" i="38"/>
  <c r="W8" i="76" s="1"/>
  <c r="B9" i="38"/>
  <c r="W7" i="76" s="1"/>
  <c r="B8" i="38"/>
  <c r="AE18" i="1"/>
  <c r="AE19" i="1"/>
  <c r="C6" i="76"/>
  <c r="C7" i="76" s="1"/>
  <c r="D22" i="23"/>
  <c r="D21" i="23"/>
  <c r="D8" i="23"/>
  <c r="D6" i="23"/>
  <c r="D7" i="23"/>
  <c r="I2" i="40"/>
  <c r="T2" i="40" s="1"/>
  <c r="AE2" i="40" s="1"/>
  <c r="AP2" i="40" s="1"/>
  <c r="W6" i="76" l="1"/>
  <c r="W18" i="76"/>
  <c r="W11" i="76"/>
  <c r="W12" i="76"/>
  <c r="W13" i="76"/>
  <c r="W14" i="76"/>
  <c r="W15" i="76"/>
  <c r="W16" i="76"/>
  <c r="C8" i="76"/>
  <c r="V63" i="1"/>
  <c r="V59" i="1"/>
  <c r="V51" i="1"/>
  <c r="V2" i="1"/>
  <c r="V65" i="1"/>
  <c r="C9" i="76" l="1"/>
  <c r="C10" i="76" l="1"/>
  <c r="D11" i="23"/>
  <c r="D10" i="23"/>
  <c r="D9" i="23"/>
  <c r="GA2" i="38"/>
  <c r="GB1" i="38" s="1"/>
  <c r="AH16" i="72"/>
  <c r="AH14" i="72"/>
  <c r="AH12" i="72"/>
  <c r="AH10" i="72"/>
  <c r="S10" i="67"/>
  <c r="BY2" i="38"/>
  <c r="CB2" i="38" s="1"/>
  <c r="FZ1" i="38"/>
  <c r="FY1" i="38"/>
  <c r="FX1" i="38"/>
  <c r="BX1" i="38"/>
  <c r="BW1" i="38"/>
  <c r="BV1" i="38"/>
  <c r="BU1" i="38"/>
  <c r="BT1" i="38"/>
  <c r="BS1" i="38"/>
  <c r="BR1" i="38"/>
  <c r="BQ1" i="38"/>
  <c r="BP1" i="38"/>
  <c r="BO1" i="38"/>
  <c r="BN1" i="38"/>
  <c r="BM1" i="38"/>
  <c r="BL1" i="38"/>
  <c r="BK1" i="38"/>
  <c r="BJ1" i="38"/>
  <c r="BI1" i="38"/>
  <c r="BH1" i="38"/>
  <c r="BG1" i="38"/>
  <c r="BF1" i="38"/>
  <c r="BE1" i="38"/>
  <c r="BD1" i="38"/>
  <c r="BC1" i="38"/>
  <c r="BB1" i="38"/>
  <c r="BA1" i="38"/>
  <c r="AZ1" i="38"/>
  <c r="AY1" i="38"/>
  <c r="AX1" i="38"/>
  <c r="AW1" i="38"/>
  <c r="AV1" i="38"/>
  <c r="AU1" i="38"/>
  <c r="AT1" i="38"/>
  <c r="AS1" i="38"/>
  <c r="AR1" i="38"/>
  <c r="AQ1" i="38"/>
  <c r="AP1" i="38"/>
  <c r="AO1" i="38"/>
  <c r="AN1" i="38"/>
  <c r="AM1" i="38"/>
  <c r="AL1" i="38"/>
  <c r="AK1" i="38"/>
  <c r="AJ1" i="38"/>
  <c r="AI1" i="38"/>
  <c r="AH1" i="38"/>
  <c r="AG1" i="38"/>
  <c r="AF1" i="38"/>
  <c r="AE1" i="38"/>
  <c r="AD1" i="38"/>
  <c r="AC1" i="38"/>
  <c r="AB1" i="38"/>
  <c r="AA1" i="38"/>
  <c r="Z1" i="38"/>
  <c r="Y1" i="38"/>
  <c r="X1" i="38"/>
  <c r="W1" i="38"/>
  <c r="V1" i="38"/>
  <c r="U1" i="38"/>
  <c r="T1" i="38"/>
  <c r="S1" i="38"/>
  <c r="R1" i="38"/>
  <c r="Q1" i="38"/>
  <c r="P1" i="38"/>
  <c r="O1" i="38"/>
  <c r="N1" i="38"/>
  <c r="M1" i="38"/>
  <c r="L1" i="38"/>
  <c r="K1" i="38"/>
  <c r="J1" i="38"/>
  <c r="I1" i="38"/>
  <c r="H1" i="38"/>
  <c r="G1" i="38"/>
  <c r="F1" i="38"/>
  <c r="E1" i="38"/>
  <c r="U51" i="1"/>
  <c r="U65" i="1"/>
  <c r="U2" i="1"/>
  <c r="U63" i="1"/>
  <c r="D12" i="23" l="1"/>
  <c r="AE6" i="1"/>
  <c r="AE7" i="1"/>
  <c r="AE5" i="1"/>
  <c r="D13" i="23"/>
  <c r="C14" i="23"/>
  <c r="D14" i="23" s="1"/>
  <c r="GD2" i="38"/>
  <c r="GF1" i="38" s="1"/>
  <c r="BA8" i="72"/>
  <c r="BB8" i="72"/>
  <c r="BC8" i="72"/>
  <c r="BD8" i="72"/>
  <c r="BZ1" i="38"/>
  <c r="C11" i="76"/>
  <c r="GG2" i="38"/>
  <c r="GJ2" i="38" s="1"/>
  <c r="GJ1" i="38" s="1"/>
  <c r="GM2" i="38"/>
  <c r="GL1" i="38"/>
  <c r="GK1" i="38"/>
  <c r="GD1" i="38"/>
  <c r="GE1" i="38"/>
  <c r="GH1" i="38"/>
  <c r="GC1" i="38"/>
  <c r="GA1" i="38"/>
  <c r="BY1" i="38"/>
  <c r="CB1" i="38"/>
  <c r="CE2" i="38"/>
  <c r="CA1" i="38"/>
  <c r="CC1" i="38"/>
  <c r="CD1" i="38"/>
  <c r="S10" i="66"/>
  <c r="C13" i="65"/>
  <c r="S10" i="65"/>
  <c r="C13" i="64"/>
  <c r="S10" i="64"/>
  <c r="S28" i="63"/>
  <c r="S22" i="63"/>
  <c r="S16" i="63"/>
  <c r="S10" i="63"/>
  <c r="C25" i="63"/>
  <c r="S25" i="63" s="1"/>
  <c r="C13" i="63"/>
  <c r="U59" i="1"/>
  <c r="U64" i="1"/>
  <c r="V60" i="1"/>
  <c r="U60" i="1"/>
  <c r="V64" i="1"/>
  <c r="U55" i="1"/>
  <c r="U52" i="1"/>
  <c r="V52" i="1"/>
  <c r="V55" i="1"/>
  <c r="GI1" i="38" l="1"/>
  <c r="GG1" i="38"/>
  <c r="C12" i="76"/>
  <c r="GM1" i="38"/>
  <c r="GP2" i="38"/>
  <c r="GN1" i="38"/>
  <c r="GO1" i="38"/>
  <c r="CH2" i="38"/>
  <c r="CG1" i="38"/>
  <c r="CF1" i="38"/>
  <c r="CE1" i="38"/>
  <c r="C16" i="64"/>
  <c r="S13" i="65"/>
  <c r="S13" i="64"/>
  <c r="S13" i="63"/>
  <c r="C31" i="63"/>
  <c r="G13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2" i="1"/>
  <c r="G11" i="1"/>
  <c r="G10" i="1"/>
  <c r="G9" i="1"/>
  <c r="G8" i="1"/>
  <c r="G7" i="1"/>
  <c r="G6" i="1"/>
  <c r="G5" i="1"/>
  <c r="G4" i="1"/>
  <c r="G3" i="1"/>
  <c r="G2" i="1"/>
  <c r="U61" i="1"/>
  <c r="V61" i="1"/>
  <c r="C13" i="76" l="1"/>
  <c r="GP1" i="38"/>
  <c r="GS2" i="38"/>
  <c r="GV2" i="38" s="1"/>
  <c r="GQ1" i="38"/>
  <c r="GR1" i="38"/>
  <c r="CJ1" i="38"/>
  <c r="CI1" i="38"/>
  <c r="CK2" i="38"/>
  <c r="CH1" i="38"/>
  <c r="S16" i="64"/>
  <c r="C19" i="64"/>
  <c r="S31" i="63"/>
  <c r="C19" i="63"/>
  <c r="C33" i="1"/>
  <c r="C34" i="1"/>
  <c r="V58" i="1"/>
  <c r="V53" i="1"/>
  <c r="V54" i="1"/>
  <c r="V57" i="1"/>
  <c r="V56" i="1"/>
  <c r="U54" i="1"/>
  <c r="U53" i="1"/>
  <c r="U56" i="1"/>
  <c r="U58" i="1"/>
  <c r="U57" i="1"/>
  <c r="V62" i="1"/>
  <c r="U62" i="1"/>
  <c r="C14" i="76" l="1"/>
  <c r="GW1" i="38"/>
  <c r="GV1" i="38"/>
  <c r="GY2" i="38"/>
  <c r="GW3" i="38"/>
  <c r="GX1" i="38"/>
  <c r="GV3" i="38"/>
  <c r="GU1" i="38"/>
  <c r="GT1" i="38"/>
  <c r="GS1" i="38"/>
  <c r="CK1" i="38"/>
  <c r="CN2" i="38"/>
  <c r="CM1" i="38"/>
  <c r="CL1" i="38"/>
  <c r="S19" i="64"/>
  <c r="S19" i="63"/>
  <c r="C29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30" i="1"/>
  <c r="C31" i="1"/>
  <c r="C32" i="1"/>
  <c r="C2" i="1"/>
  <c r="GV20" i="38" l="1"/>
  <c r="GV21" i="38"/>
  <c r="GV19" i="38"/>
  <c r="GV18" i="38"/>
  <c r="GW18" i="38"/>
  <c r="GW20" i="38"/>
  <c r="GW19" i="38"/>
  <c r="GW21" i="38"/>
  <c r="GV16" i="38"/>
  <c r="GV11" i="38"/>
  <c r="GV9" i="38"/>
  <c r="GV8" i="38"/>
  <c r="GV13" i="38"/>
  <c r="GV10" i="38"/>
  <c r="GV17" i="38"/>
  <c r="GV12" i="38"/>
  <c r="GW11" i="38"/>
  <c r="GW17" i="38"/>
  <c r="GW12" i="38"/>
  <c r="GW14" i="38"/>
  <c r="GW13" i="38"/>
  <c r="GW8" i="38"/>
  <c r="GW9" i="38"/>
  <c r="GW16" i="38"/>
  <c r="C15" i="76"/>
  <c r="GW1" i="36"/>
  <c r="GV1" i="36"/>
  <c r="GX3" i="38"/>
  <c r="GX20" i="38" s="1"/>
  <c r="GY1" i="38"/>
  <c r="HA1" i="38"/>
  <c r="HB2" i="38"/>
  <c r="GZ1" i="38"/>
  <c r="GY3" i="38"/>
  <c r="GZ3" i="38"/>
  <c r="CP1" i="38"/>
  <c r="CO1" i="38"/>
  <c r="CQ2" i="38"/>
  <c r="CN1" i="38"/>
  <c r="GX18" i="38" l="1"/>
  <c r="GY20" i="38"/>
  <c r="GY18" i="38"/>
  <c r="GY21" i="38"/>
  <c r="GY19" i="38"/>
  <c r="GZ21" i="38"/>
  <c r="GZ20" i="38"/>
  <c r="GZ18" i="38"/>
  <c r="GZ19" i="38"/>
  <c r="GX19" i="38"/>
  <c r="GX21" i="38"/>
  <c r="GX16" i="38"/>
  <c r="GX13" i="38"/>
  <c r="GX10" i="38"/>
  <c r="GX9" i="38"/>
  <c r="GX14" i="38"/>
  <c r="GY15" i="38"/>
  <c r="GY9" i="38"/>
  <c r="GY11" i="38"/>
  <c r="GY14" i="38"/>
  <c r="GY17" i="38"/>
  <c r="GY12" i="38"/>
  <c r="GY16" i="38"/>
  <c r="GY13" i="38"/>
  <c r="GX11" i="38"/>
  <c r="GX8" i="38"/>
  <c r="GZ16" i="38"/>
  <c r="GZ15" i="38"/>
  <c r="GZ10" i="38"/>
  <c r="GZ8" i="38"/>
  <c r="GZ17" i="38"/>
  <c r="GZ11" i="38"/>
  <c r="GZ13" i="38"/>
  <c r="GZ9" i="38"/>
  <c r="GZ12" i="38"/>
  <c r="GX17" i="38"/>
  <c r="C16" i="76"/>
  <c r="GX1" i="36"/>
  <c r="GZ1" i="36"/>
  <c r="GY1" i="36"/>
  <c r="HA3" i="38"/>
  <c r="HA20" i="38" s="1"/>
  <c r="HB1" i="38"/>
  <c r="HE2" i="38"/>
  <c r="HD1" i="38"/>
  <c r="HC1" i="38"/>
  <c r="HC3" i="38"/>
  <c r="HB3" i="38"/>
  <c r="CQ1" i="38"/>
  <c r="CS1" i="38"/>
  <c r="CT2" i="38"/>
  <c r="CR1" i="38"/>
  <c r="FA5" i="38"/>
  <c r="AE20" i="1"/>
  <c r="AE21" i="1"/>
  <c r="AE22" i="1"/>
  <c r="FW5" i="38" s="1"/>
  <c r="AE17" i="1"/>
  <c r="AE8" i="1"/>
  <c r="AE9" i="1"/>
  <c r="AE10" i="1"/>
  <c r="AE4" i="1"/>
  <c r="AE2" i="1"/>
  <c r="AE3" i="1"/>
  <c r="AE11" i="1" l="1"/>
  <c r="D16" i="23"/>
  <c r="AE13" i="1"/>
  <c r="D17" i="23"/>
  <c r="AE12" i="1"/>
  <c r="D15" i="23"/>
  <c r="HA19" i="38"/>
  <c r="HA21" i="38"/>
  <c r="HA18" i="38"/>
  <c r="HC21" i="38"/>
  <c r="HC18" i="38"/>
  <c r="HC19" i="38"/>
  <c r="HC20" i="38"/>
  <c r="HB19" i="38"/>
  <c r="HB20" i="38"/>
  <c r="HB21" i="38"/>
  <c r="HB18" i="38"/>
  <c r="HA9" i="38"/>
  <c r="HB15" i="38"/>
  <c r="HB16" i="38"/>
  <c r="HB10" i="38"/>
  <c r="HB8" i="38"/>
  <c r="HB14" i="38"/>
  <c r="HB11" i="38"/>
  <c r="HB12" i="38"/>
  <c r="HB13" i="38"/>
  <c r="HB9" i="38"/>
  <c r="HC10" i="38"/>
  <c r="HC9" i="38"/>
  <c r="HC13" i="38"/>
  <c r="HC8" i="38"/>
  <c r="HC12" i="38"/>
  <c r="HC16" i="38"/>
  <c r="HC11" i="38"/>
  <c r="HC17" i="38"/>
  <c r="HC14" i="38"/>
  <c r="HC15" i="38"/>
  <c r="HA15" i="38"/>
  <c r="HA14" i="38"/>
  <c r="HA8" i="38"/>
  <c r="HA10" i="38"/>
  <c r="C17" i="76"/>
  <c r="HA1" i="36"/>
  <c r="HC1" i="36"/>
  <c r="HB1" i="36"/>
  <c r="FP5" i="38"/>
  <c r="FO5" i="38"/>
  <c r="FN5" i="38"/>
  <c r="FM5" i="38"/>
  <c r="FL5" i="38"/>
  <c r="FK5" i="38"/>
  <c r="FJ5" i="38"/>
  <c r="FI5" i="38"/>
  <c r="HD3" i="38"/>
  <c r="HD19" i="38" s="1"/>
  <c r="HE1" i="38"/>
  <c r="HG1" i="38"/>
  <c r="HF1" i="38"/>
  <c r="HH2" i="38"/>
  <c r="HE3" i="38"/>
  <c r="HF3" i="38"/>
  <c r="FH5" i="38"/>
  <c r="FG5" i="38"/>
  <c r="FF5" i="38"/>
  <c r="FE5" i="38"/>
  <c r="FB5" i="38"/>
  <c r="FD5" i="38"/>
  <c r="FC5" i="38"/>
  <c r="EG5" i="38"/>
  <c r="DA5" i="38"/>
  <c r="CK5" i="38"/>
  <c r="BE5" i="38"/>
  <c r="AO5" i="38"/>
  <c r="I5" i="38"/>
  <c r="CH5" i="38"/>
  <c r="AL5" i="38"/>
  <c r="DM5" i="38"/>
  <c r="BA5" i="38"/>
  <c r="E5" i="38"/>
  <c r="DP5" i="38"/>
  <c r="CZ5" i="38"/>
  <c r="BT5" i="38"/>
  <c r="BD5" i="38"/>
  <c r="X5" i="38"/>
  <c r="H5" i="38"/>
  <c r="ED5" i="38"/>
  <c r="CX5" i="38"/>
  <c r="BB5" i="38"/>
  <c r="F5" i="38"/>
  <c r="EE5" i="38"/>
  <c r="DO5" i="38"/>
  <c r="CI5" i="38"/>
  <c r="BS5" i="38"/>
  <c r="AM5" i="38"/>
  <c r="W5" i="38"/>
  <c r="EB5" i="38"/>
  <c r="DL5" i="38"/>
  <c r="CF5" i="38"/>
  <c r="BP5" i="38"/>
  <c r="AJ5" i="38"/>
  <c r="T5" i="38"/>
  <c r="EQ5" i="38"/>
  <c r="EA5" i="38"/>
  <c r="CE5" i="38"/>
  <c r="AY5" i="38"/>
  <c r="AI5" i="38"/>
  <c r="CB5" i="38"/>
  <c r="AF5" i="38"/>
  <c r="DG5" i="38"/>
  <c r="CU5" i="38"/>
  <c r="EM5" i="38"/>
  <c r="BK5" i="38"/>
  <c r="EP5" i="38"/>
  <c r="DJ5" i="38"/>
  <c r="CT5" i="38"/>
  <c r="BN5" i="38"/>
  <c r="AX5" i="38"/>
  <c r="R5" i="38"/>
  <c r="EN5" i="38"/>
  <c r="CQ5" i="38"/>
  <c r="O5" i="38"/>
  <c r="DY5" i="38"/>
  <c r="DI5" i="38"/>
  <c r="CC5" i="38"/>
  <c r="BM5" i="38"/>
  <c r="AG5" i="38"/>
  <c r="Q5" i="38"/>
  <c r="DX5" i="38"/>
  <c r="CR5" i="38"/>
  <c r="AV5" i="38"/>
  <c r="AU5" i="38"/>
  <c r="DV5" i="38"/>
  <c r="DF5" i="38"/>
  <c r="BZ5" i="38"/>
  <c r="BJ5" i="38"/>
  <c r="AD5" i="38"/>
  <c r="N5" i="38"/>
  <c r="DS5" i="38"/>
  <c r="BW5" i="38"/>
  <c r="AA5" i="38"/>
  <c r="EH5" i="38"/>
  <c r="DR5" i="38"/>
  <c r="BV5" i="38"/>
  <c r="Z5" i="38"/>
  <c r="BQ5" i="38"/>
  <c r="EK5" i="38"/>
  <c r="DU5" i="38"/>
  <c r="CO5" i="38"/>
  <c r="BY5" i="38"/>
  <c r="AS5" i="38"/>
  <c r="AC5" i="38"/>
  <c r="CL5" i="38"/>
  <c r="AP5" i="38"/>
  <c r="CW5" i="38"/>
  <c r="U5" i="38"/>
  <c r="EJ5" i="38"/>
  <c r="DD5" i="38"/>
  <c r="CN5" i="38"/>
  <c r="BH5" i="38"/>
  <c r="AR5" i="38"/>
  <c r="L5" i="38"/>
  <c r="DC5" i="38"/>
  <c r="BG5" i="38"/>
  <c r="K5" i="38"/>
  <c r="GO5" i="38"/>
  <c r="GL5" i="38"/>
  <c r="GK5" i="38"/>
  <c r="GN5" i="38"/>
  <c r="GM5" i="38"/>
  <c r="GJ5" i="38"/>
  <c r="FV5" i="38"/>
  <c r="FU5" i="38"/>
  <c r="GI5" i="38"/>
  <c r="GF5" i="38"/>
  <c r="GC5" i="38"/>
  <c r="FZ5" i="38"/>
  <c r="FY5" i="38"/>
  <c r="FX5" i="38"/>
  <c r="GH5" i="38"/>
  <c r="GE5" i="38"/>
  <c r="GG5" i="38"/>
  <c r="GD5" i="38"/>
  <c r="GB5" i="38"/>
  <c r="GA5" i="38"/>
  <c r="EW5" i="38"/>
  <c r="EV5" i="38"/>
  <c r="EU5" i="38"/>
  <c r="ET5" i="38"/>
  <c r="ES5" i="38"/>
  <c r="EZ5" i="38"/>
  <c r="EY5" i="38"/>
  <c r="EX5" i="38"/>
  <c r="FT5" i="38"/>
  <c r="FS5" i="38"/>
  <c r="FR5" i="38"/>
  <c r="FQ5" i="38"/>
  <c r="DQ5" i="38"/>
  <c r="BU5" i="38"/>
  <c r="Y5" i="38"/>
  <c r="EF5" i="38"/>
  <c r="CJ5" i="38"/>
  <c r="AN5" i="38"/>
  <c r="EC5" i="38"/>
  <c r="CG5" i="38"/>
  <c r="CY5" i="38"/>
  <c r="BC5" i="38"/>
  <c r="G5" i="38"/>
  <c r="DN5" i="38"/>
  <c r="BR5" i="38"/>
  <c r="V5" i="38"/>
  <c r="AK5" i="38"/>
  <c r="ER5" i="38"/>
  <c r="CV5" i="38"/>
  <c r="AZ5" i="38"/>
  <c r="DK5" i="38"/>
  <c r="CA5" i="38"/>
  <c r="AE5" i="38"/>
  <c r="BO5" i="38"/>
  <c r="S5" i="38"/>
  <c r="DH5" i="38"/>
  <c r="P5" i="38"/>
  <c r="DZ5" i="38"/>
  <c r="CD5" i="38"/>
  <c r="AH5" i="38"/>
  <c r="BL5" i="38"/>
  <c r="EO5" i="38"/>
  <c r="CS5" i="38"/>
  <c r="AW5" i="38"/>
  <c r="DW5" i="38"/>
  <c r="EL5" i="38"/>
  <c r="CP5" i="38"/>
  <c r="AT5" i="38"/>
  <c r="AQ5" i="38"/>
  <c r="DE5" i="38"/>
  <c r="BI5" i="38"/>
  <c r="M5" i="38"/>
  <c r="CM5" i="38"/>
  <c r="DT5" i="38"/>
  <c r="BX5" i="38"/>
  <c r="AB5" i="38"/>
  <c r="EI5" i="38"/>
  <c r="DB5" i="38"/>
  <c r="BF5" i="38"/>
  <c r="J5" i="38"/>
  <c r="CW2" i="38"/>
  <c r="CV1" i="38"/>
  <c r="CT1" i="38"/>
  <c r="CU1" i="38"/>
  <c r="D1" i="36"/>
  <c r="C1" i="36"/>
  <c r="B1" i="36"/>
  <c r="L2" i="1"/>
  <c r="HD20" i="38" l="1"/>
  <c r="HD21" i="38"/>
  <c r="HD18" i="38"/>
  <c r="HF18" i="38"/>
  <c r="HF19" i="38"/>
  <c r="HF20" i="38"/>
  <c r="HF21" i="38"/>
  <c r="HE20" i="38"/>
  <c r="HE18" i="38"/>
  <c r="HE21" i="38"/>
  <c r="HE19" i="38"/>
  <c r="HD11" i="38"/>
  <c r="HD14" i="38"/>
  <c r="HF16" i="38"/>
  <c r="HF11" i="38"/>
  <c r="HF10" i="38"/>
  <c r="HF9" i="38"/>
  <c r="HF13" i="38"/>
  <c r="HF17" i="38"/>
  <c r="HF14" i="38"/>
  <c r="HF12" i="38"/>
  <c r="HF15" i="38"/>
  <c r="HD13" i="38"/>
  <c r="HE11" i="38"/>
  <c r="HE9" i="38"/>
  <c r="HE12" i="38"/>
  <c r="HE10" i="38"/>
  <c r="HE13" i="38"/>
  <c r="HE8" i="38"/>
  <c r="HE14" i="38"/>
  <c r="HE15" i="38"/>
  <c r="HE17" i="38"/>
  <c r="HD15" i="38"/>
  <c r="HD8" i="38"/>
  <c r="HD16" i="38"/>
  <c r="HD17" i="38"/>
  <c r="C18" i="76"/>
  <c r="HD1" i="36"/>
  <c r="HF1" i="36"/>
  <c r="HE1" i="36"/>
  <c r="HG3" i="38"/>
  <c r="HG18" i="38" s="1"/>
  <c r="HH1" i="38"/>
  <c r="HJ1" i="38"/>
  <c r="HI1" i="38"/>
  <c r="HK2" i="38"/>
  <c r="HH3" i="38"/>
  <c r="HI3" i="38"/>
  <c r="P45" i="1"/>
  <c r="B9" i="68" s="1" a="1"/>
  <c r="P61" i="1"/>
  <c r="P2" i="1"/>
  <c r="P46" i="1"/>
  <c r="P62" i="1"/>
  <c r="P47" i="1"/>
  <c r="P63" i="1"/>
  <c r="P48" i="1"/>
  <c r="P64" i="1"/>
  <c r="P49" i="1"/>
  <c r="P65" i="1"/>
  <c r="P37" i="1"/>
  <c r="P34" i="1"/>
  <c r="P51" i="1"/>
  <c r="P36" i="1"/>
  <c r="P58" i="1"/>
  <c r="P35" i="1"/>
  <c r="P52" i="1"/>
  <c r="P50" i="1"/>
  <c r="P53" i="1"/>
  <c r="P42" i="1"/>
  <c r="P38" i="1"/>
  <c r="P54" i="1"/>
  <c r="P39" i="1"/>
  <c r="B9" i="70" s="1" a="1"/>
  <c r="P55" i="1"/>
  <c r="P56" i="1"/>
  <c r="P40" i="1"/>
  <c r="P60" i="1"/>
  <c r="P41" i="1"/>
  <c r="P57" i="1"/>
  <c r="P43" i="1"/>
  <c r="P59" i="1"/>
  <c r="P44" i="1"/>
  <c r="P17" i="1"/>
  <c r="P33" i="1"/>
  <c r="B9" i="75" s="1" a="1"/>
  <c r="P18" i="1"/>
  <c r="P3" i="1"/>
  <c r="B9" i="49" s="1" a="1"/>
  <c r="P19" i="1"/>
  <c r="P4" i="1"/>
  <c r="P20" i="1"/>
  <c r="P5" i="1"/>
  <c r="P21" i="1"/>
  <c r="P6" i="1"/>
  <c r="P22" i="1"/>
  <c r="P7" i="1"/>
  <c r="P23" i="1"/>
  <c r="P8" i="1"/>
  <c r="P24" i="1"/>
  <c r="P9" i="1"/>
  <c r="B9" i="69" s="1" a="1"/>
  <c r="P25" i="1"/>
  <c r="P10" i="1"/>
  <c r="P26" i="1"/>
  <c r="P11" i="1"/>
  <c r="P27" i="1"/>
  <c r="B9" i="74" s="1" a="1"/>
  <c r="P12" i="1"/>
  <c r="P28" i="1"/>
  <c r="P13" i="1"/>
  <c r="P29" i="1"/>
  <c r="P14" i="1"/>
  <c r="P30" i="1"/>
  <c r="P15" i="1"/>
  <c r="B9" i="72" s="1" a="1"/>
  <c r="P31" i="1"/>
  <c r="P16" i="1"/>
  <c r="P32" i="1"/>
  <c r="CW1" i="38"/>
  <c r="CY1" i="38"/>
  <c r="CX1" i="38"/>
  <c r="CZ2" i="38"/>
  <c r="AZ6" i="40" a="1"/>
  <c r="D6" i="40"/>
  <c r="B7" i="38"/>
  <c r="W5" i="76" s="1"/>
  <c r="HG21" i="38" l="1"/>
  <c r="HG20" i="38"/>
  <c r="HH18" i="38"/>
  <c r="HH19" i="38"/>
  <c r="HH20" i="38"/>
  <c r="HH21" i="38"/>
  <c r="HG19" i="38"/>
  <c r="HI18" i="38"/>
  <c r="HI19" i="38"/>
  <c r="HI20" i="38"/>
  <c r="HI21" i="38"/>
  <c r="BF26" i="40" a="1"/>
  <c r="BF26" i="40" s="1"/>
  <c r="BE26" i="40" a="1"/>
  <c r="BE26" i="40" s="1"/>
  <c r="BD26" i="40" a="1"/>
  <c r="BD26" i="40" s="1"/>
  <c r="BA26" i="40" a="1"/>
  <c r="BA26" i="40" s="1"/>
  <c r="BB26" i="40" a="1"/>
  <c r="BB26" i="40" s="1"/>
  <c r="BG26" i="40" a="1"/>
  <c r="BG26" i="40" s="1"/>
  <c r="BC26" i="40" a="1"/>
  <c r="BC26" i="40" s="1"/>
  <c r="HG14" i="38"/>
  <c r="HG11" i="38"/>
  <c r="HG17" i="38"/>
  <c r="HG13" i="38"/>
  <c r="HH16" i="38"/>
  <c r="HH14" i="38"/>
  <c r="HH15" i="38"/>
  <c r="HH9" i="38"/>
  <c r="HH12" i="38"/>
  <c r="HH17" i="38"/>
  <c r="HH8" i="38"/>
  <c r="HH13" i="38"/>
  <c r="HG9" i="38"/>
  <c r="HG10" i="38"/>
  <c r="HI15" i="38"/>
  <c r="HI14" i="38"/>
  <c r="HI10" i="38"/>
  <c r="HI12" i="38"/>
  <c r="HI13" i="38"/>
  <c r="HI8" i="38"/>
  <c r="HI17" i="38"/>
  <c r="HI9" i="38"/>
  <c r="HG16" i="38"/>
  <c r="C19" i="76"/>
  <c r="HG1" i="36"/>
  <c r="HI1" i="36"/>
  <c r="HH1" i="36"/>
  <c r="HJ3" i="38"/>
  <c r="HJ18" i="38" s="1"/>
  <c r="HK1" i="38"/>
  <c r="HN2" i="38"/>
  <c r="HL1" i="38"/>
  <c r="HM1" i="38"/>
  <c r="HK3" i="38"/>
  <c r="HL3" i="38"/>
  <c r="R20" i="69"/>
  <c r="R18" i="69"/>
  <c r="D12" i="69"/>
  <c r="C20" i="69"/>
  <c r="O14" i="69"/>
  <c r="O10" i="69"/>
  <c r="C18" i="69"/>
  <c r="D20" i="69"/>
  <c r="C14" i="69"/>
  <c r="D18" i="69"/>
  <c r="G12" i="69"/>
  <c r="R14" i="69"/>
  <c r="D14" i="69"/>
  <c r="G18" i="69"/>
  <c r="O16" i="69"/>
  <c r="O20" i="69"/>
  <c r="C10" i="69"/>
  <c r="R10" i="69"/>
  <c r="D10" i="69"/>
  <c r="G20" i="69"/>
  <c r="O12" i="69"/>
  <c r="G14" i="69"/>
  <c r="C16" i="69"/>
  <c r="R16" i="69"/>
  <c r="D16" i="69"/>
  <c r="G10" i="69"/>
  <c r="G16" i="69"/>
  <c r="O18" i="69"/>
  <c r="C12" i="69"/>
  <c r="R12" i="69"/>
  <c r="B9" i="69"/>
  <c r="D10" i="64"/>
  <c r="E10" i="64"/>
  <c r="E31" i="63"/>
  <c r="D31" i="63"/>
  <c r="D28" i="63"/>
  <c r="E28" i="63"/>
  <c r="D10" i="63"/>
  <c r="E10" i="63"/>
  <c r="R20" i="72"/>
  <c r="G16" i="72"/>
  <c r="D12" i="72"/>
  <c r="C18" i="72"/>
  <c r="R18" i="72"/>
  <c r="O14" i="72"/>
  <c r="C20" i="72"/>
  <c r="O10" i="72"/>
  <c r="D18" i="72"/>
  <c r="C14" i="72"/>
  <c r="G12" i="72"/>
  <c r="D20" i="72"/>
  <c r="R14" i="72"/>
  <c r="D14" i="72"/>
  <c r="G18" i="72"/>
  <c r="O16" i="72"/>
  <c r="C10" i="72"/>
  <c r="R10" i="72"/>
  <c r="D10" i="72"/>
  <c r="G20" i="72"/>
  <c r="O12" i="72"/>
  <c r="G14" i="72"/>
  <c r="C12" i="72"/>
  <c r="C16" i="72"/>
  <c r="R16" i="72"/>
  <c r="O18" i="72"/>
  <c r="D16" i="72"/>
  <c r="B9" i="72"/>
  <c r="G10" i="72"/>
  <c r="O20" i="72"/>
  <c r="R12" i="72"/>
  <c r="D13" i="64"/>
  <c r="E13" i="64"/>
  <c r="E10" i="66"/>
  <c r="D10" i="66"/>
  <c r="D19" i="63"/>
  <c r="E19" i="63"/>
  <c r="E16" i="63"/>
  <c r="D16" i="63"/>
  <c r="E13" i="65"/>
  <c r="D13" i="65"/>
  <c r="R20" i="70"/>
  <c r="O10" i="70"/>
  <c r="D12" i="70"/>
  <c r="C14" i="70"/>
  <c r="O14" i="70"/>
  <c r="D20" i="70"/>
  <c r="C18" i="70"/>
  <c r="B9" i="70"/>
  <c r="D18" i="70"/>
  <c r="G12" i="70"/>
  <c r="D14" i="70"/>
  <c r="R14" i="70"/>
  <c r="O16" i="70"/>
  <c r="D10" i="70"/>
  <c r="G18" i="70"/>
  <c r="C20" i="70"/>
  <c r="O12" i="70"/>
  <c r="R10" i="70"/>
  <c r="G20" i="70"/>
  <c r="C16" i="70"/>
  <c r="G16" i="70"/>
  <c r="D16" i="70"/>
  <c r="G14" i="70"/>
  <c r="O18" i="70"/>
  <c r="R16" i="70"/>
  <c r="C12" i="70"/>
  <c r="G10" i="70"/>
  <c r="R12" i="70"/>
  <c r="C10" i="70"/>
  <c r="R18" i="70"/>
  <c r="O20" i="70"/>
  <c r="D25" i="63"/>
  <c r="E25" i="63"/>
  <c r="E10" i="65"/>
  <c r="D10" i="65"/>
  <c r="R20" i="74"/>
  <c r="G10" i="74"/>
  <c r="O20" i="74"/>
  <c r="G16" i="74"/>
  <c r="D12" i="74"/>
  <c r="R18" i="74"/>
  <c r="O14" i="74"/>
  <c r="C20" i="74"/>
  <c r="C18" i="74"/>
  <c r="D18" i="74"/>
  <c r="O10" i="74"/>
  <c r="C14" i="74"/>
  <c r="G12" i="74"/>
  <c r="D20" i="74"/>
  <c r="R16" i="74"/>
  <c r="R14" i="74"/>
  <c r="R12" i="74"/>
  <c r="G18" i="74"/>
  <c r="D14" i="74"/>
  <c r="C10" i="74"/>
  <c r="O16" i="74"/>
  <c r="B9" i="74"/>
  <c r="R10" i="74"/>
  <c r="D10" i="74"/>
  <c r="G20" i="74"/>
  <c r="O12" i="74"/>
  <c r="G14" i="74"/>
  <c r="C16" i="74"/>
  <c r="D16" i="74"/>
  <c r="O18" i="74"/>
  <c r="C12" i="74"/>
  <c r="C20" i="49"/>
  <c r="R20" i="49"/>
  <c r="G14" i="49"/>
  <c r="C16" i="49"/>
  <c r="D18" i="49"/>
  <c r="O16" i="49"/>
  <c r="B9" i="49"/>
  <c r="O14" i="49"/>
  <c r="R16" i="49"/>
  <c r="C10" i="49"/>
  <c r="D16" i="49"/>
  <c r="O18" i="49"/>
  <c r="D12" i="49"/>
  <c r="R14" i="49"/>
  <c r="G16" i="49"/>
  <c r="R12" i="49"/>
  <c r="R10" i="49"/>
  <c r="C18" i="49"/>
  <c r="O12" i="49"/>
  <c r="C12" i="49"/>
  <c r="D14" i="49"/>
  <c r="G12" i="49"/>
  <c r="D20" i="49"/>
  <c r="G18" i="49"/>
  <c r="G10" i="49"/>
  <c r="G20" i="49"/>
  <c r="O10" i="49"/>
  <c r="R18" i="49"/>
  <c r="D10" i="49"/>
  <c r="O20" i="49"/>
  <c r="C14" i="49"/>
  <c r="E19" i="64"/>
  <c r="D19" i="64"/>
  <c r="E22" i="63"/>
  <c r="D22" i="63"/>
  <c r="R20" i="75"/>
  <c r="G16" i="75"/>
  <c r="C12" i="75"/>
  <c r="R18" i="75"/>
  <c r="O20" i="75"/>
  <c r="C16" i="75"/>
  <c r="D12" i="75"/>
  <c r="C20" i="75"/>
  <c r="O14" i="75"/>
  <c r="C18" i="75"/>
  <c r="O10" i="75"/>
  <c r="C14" i="75"/>
  <c r="D18" i="75"/>
  <c r="D20" i="75"/>
  <c r="G12" i="75"/>
  <c r="R12" i="75"/>
  <c r="R14" i="75"/>
  <c r="D14" i="75"/>
  <c r="B9" i="75"/>
  <c r="O16" i="75"/>
  <c r="G18" i="75"/>
  <c r="R10" i="75"/>
  <c r="C10" i="75"/>
  <c r="G20" i="75"/>
  <c r="D10" i="75"/>
  <c r="G14" i="75"/>
  <c r="O12" i="75"/>
  <c r="R16" i="75"/>
  <c r="D16" i="75"/>
  <c r="O18" i="75"/>
  <c r="G10" i="75"/>
  <c r="E10" i="67"/>
  <c r="D10" i="67"/>
  <c r="D13" i="63"/>
  <c r="E13" i="63"/>
  <c r="D16" i="64"/>
  <c r="E16" i="64"/>
  <c r="R20" i="68"/>
  <c r="G16" i="68"/>
  <c r="D12" i="68"/>
  <c r="R18" i="68"/>
  <c r="O14" i="68"/>
  <c r="C20" i="68"/>
  <c r="C18" i="68"/>
  <c r="G12" i="68"/>
  <c r="O10" i="68"/>
  <c r="D18" i="68"/>
  <c r="R14" i="68"/>
  <c r="D20" i="68"/>
  <c r="B9" i="68"/>
  <c r="D14" i="68"/>
  <c r="C12" i="68"/>
  <c r="G18" i="68"/>
  <c r="O16" i="68"/>
  <c r="C10" i="68"/>
  <c r="G20" i="68"/>
  <c r="O18" i="68"/>
  <c r="D10" i="68"/>
  <c r="G14" i="68"/>
  <c r="R16" i="68"/>
  <c r="O12" i="68"/>
  <c r="C16" i="68"/>
  <c r="D16" i="68"/>
  <c r="R10" i="68"/>
  <c r="G10" i="68"/>
  <c r="O20" i="68"/>
  <c r="R12" i="68"/>
  <c r="C14" i="68"/>
  <c r="DC2" i="38"/>
  <c r="CZ1" i="38"/>
  <c r="DA1" i="38"/>
  <c r="DB1" i="38"/>
  <c r="L7" i="40"/>
  <c r="I7" i="40"/>
  <c r="I8" i="40" s="1"/>
  <c r="F7" i="40"/>
  <c r="AZ6" i="40"/>
  <c r="AZ26" i="40" s="1" a="1"/>
  <c r="AZ26" i="40" s="1"/>
  <c r="V38" i="1"/>
  <c r="U13" i="1"/>
  <c r="U30" i="1"/>
  <c r="U9" i="1"/>
  <c r="U35" i="1"/>
  <c r="U43" i="1"/>
  <c r="U3" i="1"/>
  <c r="U42" i="1"/>
  <c r="U49" i="1"/>
  <c r="V45" i="1"/>
  <c r="V19" i="1"/>
  <c r="V16" i="1"/>
  <c r="U38" i="1"/>
  <c r="V47" i="1"/>
  <c r="V13" i="1"/>
  <c r="V34" i="1"/>
  <c r="V33" i="1"/>
  <c r="U5" i="1"/>
  <c r="V3" i="1"/>
  <c r="U32" i="1"/>
  <c r="U41" i="1"/>
  <c r="U19" i="1"/>
  <c r="V40" i="1"/>
  <c r="U48" i="1"/>
  <c r="U44" i="1"/>
  <c r="U50" i="1"/>
  <c r="U11" i="1"/>
  <c r="U15" i="1"/>
  <c r="V44" i="1"/>
  <c r="V12" i="1"/>
  <c r="U17" i="1"/>
  <c r="V37" i="1"/>
  <c r="V36" i="1"/>
  <c r="U18" i="1"/>
  <c r="V50" i="1"/>
  <c r="U36" i="1"/>
  <c r="V48" i="1"/>
  <c r="V31" i="1"/>
  <c r="U29" i="1"/>
  <c r="U34" i="1"/>
  <c r="U8" i="1"/>
  <c r="V32" i="1"/>
  <c r="U40" i="1"/>
  <c r="U33" i="1"/>
  <c r="U6" i="1"/>
  <c r="V14" i="1"/>
  <c r="U28" i="1"/>
  <c r="V49" i="1"/>
  <c r="U27" i="1"/>
  <c r="U10" i="1"/>
  <c r="U46" i="1"/>
  <c r="U16" i="1"/>
  <c r="V8" i="1"/>
  <c r="V35" i="1"/>
  <c r="V27" i="1"/>
  <c r="U12" i="1"/>
  <c r="U14" i="1"/>
  <c r="V17" i="1"/>
  <c r="V9" i="1"/>
  <c r="V43" i="1"/>
  <c r="V18" i="1"/>
  <c r="V11" i="1"/>
  <c r="V39" i="1"/>
  <c r="V20" i="1"/>
  <c r="V10" i="1"/>
  <c r="V46" i="1"/>
  <c r="U20" i="1"/>
  <c r="U37" i="1"/>
  <c r="V42" i="1"/>
  <c r="V30" i="1"/>
  <c r="V7" i="1"/>
  <c r="V6" i="1"/>
  <c r="U45" i="1"/>
  <c r="U31" i="1"/>
  <c r="V4" i="1"/>
  <c r="V15" i="1"/>
  <c r="U4" i="1"/>
  <c r="V41" i="1"/>
  <c r="U7" i="1"/>
  <c r="U47" i="1"/>
  <c r="V5" i="1"/>
  <c r="V28" i="1"/>
  <c r="V29" i="1"/>
  <c r="U39" i="1"/>
  <c r="HJ20" i="38" l="1"/>
  <c r="HJ21" i="38"/>
  <c r="HJ19" i="38"/>
  <c r="HK20" i="38"/>
  <c r="HK18" i="38"/>
  <c r="HK19" i="38"/>
  <c r="HK21" i="38"/>
  <c r="HL20" i="38"/>
  <c r="HL21" i="38"/>
  <c r="HL19" i="38"/>
  <c r="HL18" i="38"/>
  <c r="HJ13" i="38"/>
  <c r="BA14" i="72" a="1"/>
  <c r="BA14" i="72" s="1"/>
  <c r="BC14" i="72" a="1"/>
  <c r="BC14" i="72" s="1"/>
  <c r="BB14" i="72" a="1"/>
  <c r="BB14" i="72" s="1"/>
  <c r="BD12" i="72" a="1"/>
  <c r="BD12" i="72" s="1"/>
  <c r="BC12" i="72" a="1"/>
  <c r="BC12" i="72" s="1"/>
  <c r="BB12" i="72" a="1"/>
  <c r="BB12" i="72" s="1"/>
  <c r="BA12" i="72" a="1"/>
  <c r="BA12" i="72" s="1"/>
  <c r="BB10" i="72" a="1"/>
  <c r="BB10" i="72" s="1"/>
  <c r="BC10" i="72" a="1"/>
  <c r="BC10" i="72" s="1"/>
  <c r="BD10" i="72" a="1"/>
  <c r="BD10" i="72" s="1"/>
  <c r="BA10" i="72" a="1"/>
  <c r="BA10" i="72" s="1"/>
  <c r="BD16" i="72" a="1"/>
  <c r="BD16" i="72" s="1"/>
  <c r="BC16" i="72" a="1"/>
  <c r="BC16" i="72" s="1"/>
  <c r="BD14" i="72" a="1"/>
  <c r="BD14" i="72" s="1"/>
  <c r="BB16" i="72" a="1"/>
  <c r="BB16" i="72" s="1"/>
  <c r="BA16" i="72" a="1"/>
  <c r="BA16" i="72" s="1"/>
  <c r="BC14" i="69" a="1"/>
  <c r="BC14" i="69" s="1"/>
  <c r="AK12" i="69" a="1"/>
  <c r="AK12" i="69" s="1"/>
  <c r="BA10" i="69" a="1"/>
  <c r="BA10" i="69" s="1"/>
  <c r="BA16" i="69" a="1"/>
  <c r="BA16" i="69" s="1"/>
  <c r="BC16" i="69" a="1"/>
  <c r="BC16" i="69" s="1"/>
  <c r="AO16" i="69" a="1"/>
  <c r="AO16" i="69" s="1"/>
  <c r="BC12" i="69" a="1"/>
  <c r="BC12" i="69" s="1"/>
  <c r="BA12" i="69" a="1"/>
  <c r="BA12" i="69" s="1"/>
  <c r="AM14" i="69" a="1"/>
  <c r="AM14" i="69" s="1"/>
  <c r="AN10" i="69" a="1"/>
  <c r="AN10" i="69" s="1"/>
  <c r="AL10" i="69" a="1"/>
  <c r="AL10" i="69" s="1"/>
  <c r="AL16" i="69" a="1"/>
  <c r="AL16" i="69" s="1"/>
  <c r="AL14" i="69" a="1"/>
  <c r="AL14" i="69" s="1"/>
  <c r="AN14" i="69" a="1"/>
  <c r="AN14" i="69" s="1"/>
  <c r="AN12" i="69" a="1"/>
  <c r="AN12" i="69" s="1"/>
  <c r="AN16" i="69" a="1"/>
  <c r="AN16" i="69" s="1"/>
  <c r="BC10" i="69" a="1"/>
  <c r="BC10" i="69" s="1"/>
  <c r="BA14" i="69" a="1"/>
  <c r="BA14" i="69" s="1"/>
  <c r="AK10" i="69" a="1"/>
  <c r="AK10" i="69" s="1"/>
  <c r="AM10" i="69" a="1"/>
  <c r="AM10" i="69" s="1"/>
  <c r="AM12" i="69" a="1"/>
  <c r="AM12" i="69" s="1"/>
  <c r="AO12" i="69" a="1"/>
  <c r="AO12" i="69" s="1"/>
  <c r="AL12" i="69" a="1"/>
  <c r="AL12" i="69" s="1"/>
  <c r="AO14" i="69" a="1"/>
  <c r="AO14" i="69" s="1"/>
  <c r="AK16" i="69" a="1"/>
  <c r="AK16" i="69" s="1"/>
  <c r="AO10" i="69" a="1"/>
  <c r="AO10" i="69" s="1"/>
  <c r="AK14" i="69" a="1"/>
  <c r="AK14" i="69" s="1"/>
  <c r="AM16" i="69" a="1"/>
  <c r="AM16" i="69" s="1"/>
  <c r="BB14" i="69" a="1"/>
  <c r="BB14" i="69" s="1"/>
  <c r="BD14" i="69" a="1"/>
  <c r="BD14" i="69" s="1"/>
  <c r="BB16" i="69" a="1"/>
  <c r="BB16" i="69" s="1"/>
  <c r="BB12" i="69" a="1"/>
  <c r="BB12" i="69" s="1"/>
  <c r="BD10" i="69" a="1"/>
  <c r="BD10" i="69" s="1"/>
  <c r="BD12" i="69" a="1"/>
  <c r="BD12" i="69" s="1"/>
  <c r="BD16" i="69" a="1"/>
  <c r="BD16" i="69" s="1"/>
  <c r="BB10" i="69" a="1"/>
  <c r="BB10" i="69" s="1"/>
  <c r="AK14" i="49" a="1"/>
  <c r="AK14" i="49" s="1"/>
  <c r="AM10" i="49" a="1"/>
  <c r="AM10" i="49" s="1"/>
  <c r="BA14" i="49" a="1"/>
  <c r="BA14" i="49" s="1"/>
  <c r="AO14" i="49" a="1"/>
  <c r="AO14" i="49" s="1"/>
  <c r="AK10" i="49" a="1"/>
  <c r="AK10" i="49" s="1"/>
  <c r="AO10" i="49" a="1"/>
  <c r="AO10" i="49" s="1"/>
  <c r="BA16" i="49" a="1"/>
  <c r="BA16" i="49" s="1"/>
  <c r="AL10" i="49" a="1"/>
  <c r="AL10" i="49" s="1"/>
  <c r="AM16" i="49" a="1"/>
  <c r="AM16" i="49" s="1"/>
  <c r="AL12" i="49" a="1"/>
  <c r="AL12" i="49" s="1"/>
  <c r="AN12" i="49" a="1"/>
  <c r="AN12" i="49" s="1"/>
  <c r="AL16" i="49" a="1"/>
  <c r="AL16" i="49" s="1"/>
  <c r="AL14" i="49" a="1"/>
  <c r="AL14" i="49" s="1"/>
  <c r="AN14" i="49" a="1"/>
  <c r="AN14" i="49" s="1"/>
  <c r="AN16" i="49" a="1"/>
  <c r="AN16" i="49" s="1"/>
  <c r="AM12" i="49" a="1"/>
  <c r="AM12" i="49" s="1"/>
  <c r="AN10" i="49" a="1"/>
  <c r="AN10" i="49" s="1"/>
  <c r="BA10" i="49" a="1"/>
  <c r="BA10" i="49" s="1"/>
  <c r="AO12" i="49" a="1"/>
  <c r="AO12" i="49" s="1"/>
  <c r="AK12" i="49" a="1"/>
  <c r="AK12" i="49" s="1"/>
  <c r="BD14" i="49" a="1"/>
  <c r="BD14" i="49" s="1"/>
  <c r="AM14" i="49" a="1"/>
  <c r="AM14" i="49" s="1"/>
  <c r="BD12" i="49" a="1"/>
  <c r="BD12" i="49" s="1"/>
  <c r="AO16" i="49" a="1"/>
  <c r="AO16" i="49" s="1"/>
  <c r="AK16" i="49" a="1"/>
  <c r="AK16" i="49" s="1"/>
  <c r="BC16" i="49" a="1"/>
  <c r="BC16" i="49" s="1"/>
  <c r="BC14" i="49" a="1"/>
  <c r="BC14" i="49" s="1"/>
  <c r="BA12" i="49" a="1"/>
  <c r="BA12" i="49" s="1"/>
  <c r="BC12" i="49" a="1"/>
  <c r="BC12" i="49" s="1"/>
  <c r="BD16" i="49" a="1"/>
  <c r="BD16" i="49" s="1"/>
  <c r="BB12" i="49" a="1"/>
  <c r="BB12" i="49" s="1"/>
  <c r="BB14" i="49" a="1"/>
  <c r="BB14" i="49" s="1"/>
  <c r="BD10" i="49" a="1"/>
  <c r="BD10" i="49" s="1"/>
  <c r="BC10" i="49" a="1"/>
  <c r="BC10" i="49" s="1"/>
  <c r="BB10" i="49" a="1"/>
  <c r="BB10" i="49" s="1"/>
  <c r="BB16" i="49" a="1"/>
  <c r="BB16" i="49" s="1"/>
  <c r="AK14" i="70" a="1"/>
  <c r="AK14" i="70" s="1"/>
  <c r="AO10" i="70" a="1"/>
  <c r="AO10" i="70" s="1"/>
  <c r="AM16" i="70" a="1"/>
  <c r="AM16" i="70" s="1"/>
  <c r="AN10" i="70" a="1"/>
  <c r="AN10" i="70" s="1"/>
  <c r="AL16" i="70" a="1"/>
  <c r="AL16" i="70" s="1"/>
  <c r="AO14" i="70" a="1"/>
  <c r="AO14" i="70" s="1"/>
  <c r="BA14" i="70" a="1"/>
  <c r="BA14" i="70" s="1"/>
  <c r="AO16" i="70" a="1"/>
  <c r="AO16" i="70" s="1"/>
  <c r="AL12" i="70" a="1"/>
  <c r="AL12" i="70" s="1"/>
  <c r="BB14" i="70" a="1"/>
  <c r="BB14" i="70" s="1"/>
  <c r="AN14" i="70" a="1"/>
  <c r="AN14" i="70" s="1"/>
  <c r="BD16" i="70" a="1"/>
  <c r="BD16" i="70" s="1"/>
  <c r="BA10" i="70" a="1"/>
  <c r="BA10" i="70" s="1"/>
  <c r="AO12" i="70" a="1"/>
  <c r="AO12" i="70" s="1"/>
  <c r="AL14" i="70" a="1"/>
  <c r="AL14" i="70" s="1"/>
  <c r="AN16" i="70" a="1"/>
  <c r="AN16" i="70" s="1"/>
  <c r="AM10" i="70" a="1"/>
  <c r="AM10" i="70" s="1"/>
  <c r="BA12" i="70" a="1"/>
  <c r="BA12" i="70" s="1"/>
  <c r="AK12" i="70" a="1"/>
  <c r="AK12" i="70" s="1"/>
  <c r="BB10" i="70" a="1"/>
  <c r="BB10" i="70" s="1"/>
  <c r="BC12" i="70" a="1"/>
  <c r="BC12" i="70" s="1"/>
  <c r="BB12" i="70" a="1"/>
  <c r="BB12" i="70" s="1"/>
  <c r="AK10" i="70" a="1"/>
  <c r="AK10" i="70" s="1"/>
  <c r="AL10" i="70" a="1"/>
  <c r="AL10" i="70" s="1"/>
  <c r="AK16" i="70" a="1"/>
  <c r="AK16" i="70" s="1"/>
  <c r="BA16" i="70" a="1"/>
  <c r="BA16" i="70" s="1"/>
  <c r="BD14" i="70" a="1"/>
  <c r="BD14" i="70" s="1"/>
  <c r="AM12" i="70" a="1"/>
  <c r="AM12" i="70" s="1"/>
  <c r="AN12" i="70" a="1"/>
  <c r="AN12" i="70" s="1"/>
  <c r="AM14" i="70" a="1"/>
  <c r="AM14" i="70" s="1"/>
  <c r="BD12" i="70" a="1"/>
  <c r="BD12" i="70" s="1"/>
  <c r="BC10" i="70" a="1"/>
  <c r="BC10" i="70" s="1"/>
  <c r="BD10" i="70" a="1"/>
  <c r="BD10" i="70" s="1"/>
  <c r="BB16" i="70" a="1"/>
  <c r="BB16" i="70" s="1"/>
  <c r="BC16" i="70" a="1"/>
  <c r="BC16" i="70" s="1"/>
  <c r="BC14" i="70" a="1"/>
  <c r="BC14" i="70" s="1"/>
  <c r="AM12" i="74" a="1"/>
  <c r="AM12" i="74" s="1"/>
  <c r="AK10" i="74" a="1"/>
  <c r="AK10" i="74" s="1"/>
  <c r="AN14" i="74" a="1"/>
  <c r="AN14" i="74" s="1"/>
  <c r="AL12" i="74" a="1"/>
  <c r="AL12" i="74" s="1"/>
  <c r="AM14" i="74" a="1"/>
  <c r="AM14" i="74" s="1"/>
  <c r="BA12" i="74" a="1"/>
  <c r="BA12" i="74" s="1"/>
  <c r="BB16" i="74" a="1"/>
  <c r="BB16" i="74" s="1"/>
  <c r="AO10" i="74" a="1"/>
  <c r="AO10" i="74" s="1"/>
  <c r="AL14" i="74" a="1"/>
  <c r="AL14" i="74" s="1"/>
  <c r="BD16" i="74" a="1"/>
  <c r="BD16" i="74" s="1"/>
  <c r="AK12" i="74" a="1"/>
  <c r="AK12" i="74" s="1"/>
  <c r="AK14" i="74" a="1"/>
  <c r="AK14" i="74" s="1"/>
  <c r="AN16" i="74" a="1"/>
  <c r="AN16" i="74" s="1"/>
  <c r="AM16" i="74" a="1"/>
  <c r="AM16" i="74" s="1"/>
  <c r="BB14" i="74" a="1"/>
  <c r="BB14" i="74" s="1"/>
  <c r="AM10" i="74" a="1"/>
  <c r="AM10" i="74" s="1"/>
  <c r="AO12" i="74" a="1"/>
  <c r="AO12" i="74" s="1"/>
  <c r="AN10" i="74" a="1"/>
  <c r="AN10" i="74" s="1"/>
  <c r="BA10" i="74" a="1"/>
  <c r="BA10" i="74" s="1"/>
  <c r="AK16" i="74" a="1"/>
  <c r="AK16" i="74" s="1"/>
  <c r="AL16" i="74" a="1"/>
  <c r="AL16" i="74" s="1"/>
  <c r="BA16" i="74" a="1"/>
  <c r="BA16" i="74" s="1"/>
  <c r="BA14" i="74" a="1"/>
  <c r="BA14" i="74" s="1"/>
  <c r="BC16" i="74" a="1"/>
  <c r="BC16" i="74" s="1"/>
  <c r="AO16" i="74" a="1"/>
  <c r="AO16" i="74" s="1"/>
  <c r="AL10" i="74" a="1"/>
  <c r="AL10" i="74" s="1"/>
  <c r="AN12" i="74" a="1"/>
  <c r="AN12" i="74" s="1"/>
  <c r="AO14" i="74" a="1"/>
  <c r="AO14" i="74" s="1"/>
  <c r="BD14" i="74" a="1"/>
  <c r="BD14" i="74" s="1"/>
  <c r="BB12" i="74" a="1"/>
  <c r="BB12" i="74" s="1"/>
  <c r="BC10" i="74" a="1"/>
  <c r="BC10" i="74" s="1"/>
  <c r="BB10" i="74" a="1"/>
  <c r="BB10" i="74" s="1"/>
  <c r="BC12" i="74" a="1"/>
  <c r="BC12" i="74" s="1"/>
  <c r="BC14" i="74" a="1"/>
  <c r="BC14" i="74" s="1"/>
  <c r="BD12" i="74" a="1"/>
  <c r="BD12" i="74" s="1"/>
  <c r="BD10" i="74" a="1"/>
  <c r="BD10" i="74" s="1"/>
  <c r="BA10" i="68" a="1"/>
  <c r="BA10" i="68" s="1"/>
  <c r="AM10" i="68" a="1"/>
  <c r="AM10" i="68" s="1"/>
  <c r="AO12" i="68" a="1"/>
  <c r="AO12" i="68" s="1"/>
  <c r="AN12" i="68" a="1"/>
  <c r="AN12" i="68" s="1"/>
  <c r="AL10" i="68" a="1"/>
  <c r="AL10" i="68" s="1"/>
  <c r="AK16" i="68" a="1"/>
  <c r="AK16" i="68" s="1"/>
  <c r="AO14" i="68" a="1"/>
  <c r="AO14" i="68" s="1"/>
  <c r="AN10" i="68" a="1"/>
  <c r="AN10" i="68" s="1"/>
  <c r="AL16" i="68" a="1"/>
  <c r="AL16" i="68" s="1"/>
  <c r="BC16" i="68" a="1"/>
  <c r="BC16" i="68" s="1"/>
  <c r="BB10" i="68" a="1"/>
  <c r="BB10" i="68" s="1"/>
  <c r="BA14" i="68" a="1"/>
  <c r="BA14" i="68" s="1"/>
  <c r="AL12" i="68" a="1"/>
  <c r="AL12" i="68" s="1"/>
  <c r="AN14" i="68" a="1"/>
  <c r="AN14" i="68" s="1"/>
  <c r="AK12" i="68" a="1"/>
  <c r="AK12" i="68" s="1"/>
  <c r="AO10" i="68" a="1"/>
  <c r="AO10" i="68" s="1"/>
  <c r="BB14" i="68" a="1"/>
  <c r="BB14" i="68" s="1"/>
  <c r="AM14" i="68" a="1"/>
  <c r="AM14" i="68" s="1"/>
  <c r="BA12" i="68" a="1"/>
  <c r="BA12" i="68" s="1"/>
  <c r="AK14" i="68" a="1"/>
  <c r="AK14" i="68" s="1"/>
  <c r="BD16" i="68" a="1"/>
  <c r="BD16" i="68" s="1"/>
  <c r="AO16" i="68" a="1"/>
  <c r="AO16" i="68" s="1"/>
  <c r="BD10" i="68" a="1"/>
  <c r="BD10" i="68" s="1"/>
  <c r="AK10" i="68" a="1"/>
  <c r="AK10" i="68" s="1"/>
  <c r="AM16" i="68" a="1"/>
  <c r="AM16" i="68" s="1"/>
  <c r="BB12" i="68" a="1"/>
  <c r="BB12" i="68" s="1"/>
  <c r="AL14" i="68" a="1"/>
  <c r="AL14" i="68" s="1"/>
  <c r="AM12" i="68" a="1"/>
  <c r="AM12" i="68" s="1"/>
  <c r="BA16" i="68" a="1"/>
  <c r="BA16" i="68" s="1"/>
  <c r="BB16" i="68" a="1"/>
  <c r="BB16" i="68" s="1"/>
  <c r="AN16" i="68" a="1"/>
  <c r="AN16" i="68" s="1"/>
  <c r="BC10" i="68" a="1"/>
  <c r="BC10" i="68" s="1"/>
  <c r="BD14" i="68" a="1"/>
  <c r="BD14" i="68" s="1"/>
  <c r="BC12" i="68" a="1"/>
  <c r="BC12" i="68" s="1"/>
  <c r="BD12" i="68" a="1"/>
  <c r="BD12" i="68" s="1"/>
  <c r="BC14" i="68" a="1"/>
  <c r="BC14" i="68" s="1"/>
  <c r="AK12" i="75" a="1"/>
  <c r="AK12" i="75" s="1"/>
  <c r="AO16" i="75" a="1"/>
  <c r="AO16" i="75" s="1"/>
  <c r="AM14" i="75" a="1"/>
  <c r="AM14" i="75" s="1"/>
  <c r="AL14" i="75" a="1"/>
  <c r="AL14" i="75" s="1"/>
  <c r="AN16" i="75" a="1"/>
  <c r="AN16" i="75" s="1"/>
  <c r="AK16" i="75" a="1"/>
  <c r="AK16" i="75" s="1"/>
  <c r="BD10" i="75" a="1"/>
  <c r="BD10" i="75" s="1"/>
  <c r="BB16" i="75" a="1"/>
  <c r="BB16" i="75" s="1"/>
  <c r="AK10" i="75" a="1"/>
  <c r="AK10" i="75" s="1"/>
  <c r="AM12" i="75" a="1"/>
  <c r="AM12" i="75" s="1"/>
  <c r="BB12" i="75" a="1"/>
  <c r="BB12" i="75" s="1"/>
  <c r="AO14" i="75" a="1"/>
  <c r="AO14" i="75" s="1"/>
  <c r="AL10" i="75" a="1"/>
  <c r="AL10" i="75" s="1"/>
  <c r="AO10" i="75" a="1"/>
  <c r="AO10" i="75" s="1"/>
  <c r="BD14" i="75" a="1"/>
  <c r="BD14" i="75" s="1"/>
  <c r="AN12" i="75" a="1"/>
  <c r="AN12" i="75" s="1"/>
  <c r="AO12" i="75" a="1"/>
  <c r="AO12" i="75" s="1"/>
  <c r="BC10" i="75" a="1"/>
  <c r="BC10" i="75" s="1"/>
  <c r="AK14" i="75" a="1"/>
  <c r="AK14" i="75" s="1"/>
  <c r="AL12" i="75" a="1"/>
  <c r="AL12" i="75" s="1"/>
  <c r="AM16" i="75" a="1"/>
  <c r="AM16" i="75" s="1"/>
  <c r="AN14" i="75" a="1"/>
  <c r="AN14" i="75" s="1"/>
  <c r="BB14" i="75" a="1"/>
  <c r="BB14" i="75" s="1"/>
  <c r="BD16" i="75" a="1"/>
  <c r="BD16" i="75" s="1"/>
  <c r="BB10" i="75" a="1"/>
  <c r="BB10" i="75" s="1"/>
  <c r="AN10" i="75" a="1"/>
  <c r="AN10" i="75" s="1"/>
  <c r="BD12" i="75" a="1"/>
  <c r="BD12" i="75" s="1"/>
  <c r="AM10" i="75" a="1"/>
  <c r="AM10" i="75" s="1"/>
  <c r="AL16" i="75" a="1"/>
  <c r="AL16" i="75" s="1"/>
  <c r="BA16" i="75" a="1"/>
  <c r="BA16" i="75" s="1"/>
  <c r="BA10" i="75" a="1"/>
  <c r="BA10" i="75" s="1"/>
  <c r="BC16" i="75" a="1"/>
  <c r="BC16" i="75" s="1"/>
  <c r="BA14" i="75" a="1"/>
  <c r="BA14" i="75" s="1"/>
  <c r="BC12" i="75" a="1"/>
  <c r="BC12" i="75" s="1"/>
  <c r="BC14" i="75" a="1"/>
  <c r="BC14" i="75" s="1"/>
  <c r="BA12" i="75" a="1"/>
  <c r="BA12" i="75" s="1"/>
  <c r="AM16" i="72" a="1"/>
  <c r="AM16" i="72" s="1"/>
  <c r="AN16" i="72" a="1"/>
  <c r="AN16" i="72" s="1"/>
  <c r="AL16" i="72" a="1"/>
  <c r="AL16" i="72" s="1"/>
  <c r="AO10" i="72" a="1"/>
  <c r="AO10" i="72" s="1"/>
  <c r="AK16" i="72" a="1"/>
  <c r="AK16" i="72" s="1"/>
  <c r="AM10" i="72" a="1"/>
  <c r="AM10" i="72" s="1"/>
  <c r="AO14" i="72" a="1"/>
  <c r="AO14" i="72" s="1"/>
  <c r="AL10" i="72" a="1"/>
  <c r="AL10" i="72" s="1"/>
  <c r="AN14" i="72" a="1"/>
  <c r="AN14" i="72" s="1"/>
  <c r="AM14" i="72" a="1"/>
  <c r="AM14" i="72" s="1"/>
  <c r="AK10" i="72" a="1"/>
  <c r="AK10" i="72" s="1"/>
  <c r="AK14" i="72" a="1"/>
  <c r="AK14" i="72" s="1"/>
  <c r="AN10" i="72" a="1"/>
  <c r="AN10" i="72" s="1"/>
  <c r="AL14" i="72" a="1"/>
  <c r="AL14" i="72" s="1"/>
  <c r="AO12" i="72" a="1"/>
  <c r="AO12" i="72" s="1"/>
  <c r="AN12" i="72" a="1"/>
  <c r="AN12" i="72" s="1"/>
  <c r="AM12" i="72" a="1"/>
  <c r="AM12" i="72" s="1"/>
  <c r="AL12" i="72" a="1"/>
  <c r="AL12" i="72" s="1"/>
  <c r="AK12" i="72" a="1"/>
  <c r="AK12" i="72" s="1"/>
  <c r="AO16" i="72" a="1"/>
  <c r="AO16" i="72" s="1"/>
  <c r="HJ16" i="38"/>
  <c r="HJ15" i="38"/>
  <c r="HJ9" i="38"/>
  <c r="HL15" i="38"/>
  <c r="HL10" i="38"/>
  <c r="HL17" i="38"/>
  <c r="HL16" i="38"/>
  <c r="HL13" i="38"/>
  <c r="HL12" i="38"/>
  <c r="HJ17" i="38"/>
  <c r="HK14" i="38"/>
  <c r="HK10" i="38"/>
  <c r="HK9" i="38"/>
  <c r="HK15" i="38"/>
  <c r="HK8" i="38"/>
  <c r="HK12" i="38"/>
  <c r="HK16" i="38"/>
  <c r="HJ8" i="38"/>
  <c r="C20" i="76"/>
  <c r="HJ1" i="36"/>
  <c r="T7" i="40"/>
  <c r="T8" i="40" s="1"/>
  <c r="J9" i="40"/>
  <c r="HL1" i="36"/>
  <c r="D9" i="40"/>
  <c r="HK1" i="36"/>
  <c r="HM3" i="38"/>
  <c r="HM13" i="38" s="1"/>
  <c r="HN1" i="38"/>
  <c r="HP1" i="38"/>
  <c r="HO1" i="38"/>
  <c r="HN3" i="38"/>
  <c r="HO3" i="38"/>
  <c r="BK3" i="38"/>
  <c r="BG3" i="38"/>
  <c r="CW3" i="38"/>
  <c r="Q3" i="38"/>
  <c r="BH3" i="38"/>
  <c r="R3" i="38"/>
  <c r="BJ3" i="38"/>
  <c r="L3" i="38"/>
  <c r="CZ3" i="38"/>
  <c r="DA3" i="38"/>
  <c r="CX3" i="38"/>
  <c r="K3" i="38"/>
  <c r="E3" i="38"/>
  <c r="BB3" i="38"/>
  <c r="N3" i="38"/>
  <c r="BD3" i="38"/>
  <c r="F3" i="38"/>
  <c r="BA3" i="38"/>
  <c r="O3" i="38"/>
  <c r="BE3" i="38"/>
  <c r="AL3" i="38"/>
  <c r="AM3" i="38"/>
  <c r="AF3" i="38"/>
  <c r="CC3" i="38"/>
  <c r="GB3" i="38"/>
  <c r="GG3" i="38"/>
  <c r="CH3" i="38"/>
  <c r="AG3" i="38"/>
  <c r="CB3" i="38"/>
  <c r="GA3" i="38"/>
  <c r="GH3" i="38"/>
  <c r="CI3" i="38"/>
  <c r="FY3" i="38"/>
  <c r="BZ3" i="38"/>
  <c r="AJ3" i="38"/>
  <c r="AC3" i="38"/>
  <c r="GE3" i="38"/>
  <c r="CF3" i="38"/>
  <c r="AD3" i="38"/>
  <c r="AI3" i="38"/>
  <c r="BY3" i="38"/>
  <c r="FX3" i="38"/>
  <c r="GD3" i="38"/>
  <c r="CE3" i="38"/>
  <c r="GM3" i="38"/>
  <c r="CN3" i="38"/>
  <c r="AR3" i="38"/>
  <c r="GP3" i="38"/>
  <c r="CQ3" i="38"/>
  <c r="AU3" i="38"/>
  <c r="AV3" i="38"/>
  <c r="GN3" i="38"/>
  <c r="CO3" i="38"/>
  <c r="GQ3" i="38"/>
  <c r="CR3" i="38"/>
  <c r="AS3" i="38"/>
  <c r="AX3" i="38"/>
  <c r="AY3" i="38"/>
  <c r="GS3" i="38"/>
  <c r="CT3" i="38"/>
  <c r="GJ3" i="38"/>
  <c r="CK3" i="38"/>
  <c r="GK3" i="38"/>
  <c r="CL3" i="38"/>
  <c r="AO3" i="38"/>
  <c r="GT3" i="38"/>
  <c r="CU3" i="38"/>
  <c r="AP3" i="38"/>
  <c r="BW3" i="38"/>
  <c r="H3" i="38"/>
  <c r="I3" i="38"/>
  <c r="BN3" i="38"/>
  <c r="X3" i="38"/>
  <c r="W3" i="38"/>
  <c r="BM3" i="38"/>
  <c r="BV3" i="38"/>
  <c r="P20" i="69"/>
  <c r="N20" i="69"/>
  <c r="P10" i="75"/>
  <c r="N10" i="75"/>
  <c r="F12" i="74"/>
  <c r="H12" i="74"/>
  <c r="P18" i="68"/>
  <c r="N18" i="68"/>
  <c r="P14" i="75"/>
  <c r="N14" i="75"/>
  <c r="P18" i="49"/>
  <c r="N18" i="49"/>
  <c r="H14" i="74"/>
  <c r="F14" i="74"/>
  <c r="P10" i="74"/>
  <c r="N10" i="74"/>
  <c r="P10" i="72"/>
  <c r="N10" i="72"/>
  <c r="P16" i="69"/>
  <c r="N16" i="69"/>
  <c r="P20" i="49"/>
  <c r="N20" i="49"/>
  <c r="H14" i="75"/>
  <c r="F14" i="75"/>
  <c r="H20" i="68"/>
  <c r="F20" i="68"/>
  <c r="H20" i="75"/>
  <c r="F20" i="75"/>
  <c r="P10" i="49"/>
  <c r="N10" i="49"/>
  <c r="P12" i="74"/>
  <c r="N12" i="74"/>
  <c r="P16" i="70"/>
  <c r="N16" i="70"/>
  <c r="H18" i="69"/>
  <c r="F18" i="69"/>
  <c r="H14" i="68"/>
  <c r="F14" i="68"/>
  <c r="H18" i="70"/>
  <c r="F18" i="70"/>
  <c r="H16" i="68"/>
  <c r="F16" i="68"/>
  <c r="F20" i="49"/>
  <c r="H20" i="49"/>
  <c r="H20" i="74"/>
  <c r="F20" i="74"/>
  <c r="H14" i="72"/>
  <c r="F14" i="72"/>
  <c r="P14" i="72"/>
  <c r="N14" i="72"/>
  <c r="P12" i="75"/>
  <c r="N12" i="75"/>
  <c r="P18" i="72"/>
  <c r="N18" i="72"/>
  <c r="P14" i="68"/>
  <c r="N14" i="68"/>
  <c r="P20" i="70"/>
  <c r="N20" i="70"/>
  <c r="P16" i="68"/>
  <c r="N16" i="68"/>
  <c r="F10" i="49"/>
  <c r="H10" i="49"/>
  <c r="H10" i="70"/>
  <c r="F10" i="70"/>
  <c r="P12" i="72"/>
  <c r="N12" i="72"/>
  <c r="P18" i="69"/>
  <c r="N18" i="69"/>
  <c r="H20" i="72"/>
  <c r="F20" i="72"/>
  <c r="F16" i="69"/>
  <c r="H16" i="69"/>
  <c r="F12" i="69"/>
  <c r="H12" i="69"/>
  <c r="H18" i="68"/>
  <c r="F18" i="68"/>
  <c r="H18" i="75"/>
  <c r="F18" i="75"/>
  <c r="P20" i="75"/>
  <c r="N20" i="75"/>
  <c r="F18" i="49"/>
  <c r="H18" i="49"/>
  <c r="P14" i="49"/>
  <c r="N14" i="49"/>
  <c r="P14" i="74"/>
  <c r="N14" i="74"/>
  <c r="F12" i="70"/>
  <c r="H12" i="70"/>
  <c r="P16" i="75"/>
  <c r="N16" i="75"/>
  <c r="H10" i="69"/>
  <c r="F10" i="69"/>
  <c r="F12" i="49"/>
  <c r="H12" i="49"/>
  <c r="N16" i="74"/>
  <c r="P16" i="74"/>
  <c r="P20" i="68"/>
  <c r="N20" i="68"/>
  <c r="H16" i="75"/>
  <c r="F16" i="75"/>
  <c r="H16" i="74"/>
  <c r="F16" i="74"/>
  <c r="H14" i="70"/>
  <c r="F14" i="70"/>
  <c r="P16" i="49"/>
  <c r="N16" i="49"/>
  <c r="P18" i="70"/>
  <c r="N18" i="70"/>
  <c r="H16" i="72"/>
  <c r="F16" i="72"/>
  <c r="H10" i="68"/>
  <c r="F10" i="68"/>
  <c r="P20" i="74"/>
  <c r="N20" i="74"/>
  <c r="P16" i="72"/>
  <c r="N16" i="72"/>
  <c r="P10" i="69"/>
  <c r="N10" i="69"/>
  <c r="P14" i="69"/>
  <c r="N14" i="69"/>
  <c r="H18" i="72"/>
  <c r="F18" i="72"/>
  <c r="N10" i="68"/>
  <c r="P10" i="68"/>
  <c r="N18" i="75"/>
  <c r="P18" i="75"/>
  <c r="H20" i="70"/>
  <c r="F20" i="70"/>
  <c r="H10" i="72"/>
  <c r="F10" i="72"/>
  <c r="H20" i="69"/>
  <c r="F20" i="69"/>
  <c r="F14" i="49"/>
  <c r="H14" i="49"/>
  <c r="F10" i="74"/>
  <c r="H10" i="74"/>
  <c r="P14" i="70"/>
  <c r="N14" i="70"/>
  <c r="H14" i="69"/>
  <c r="F14" i="69"/>
  <c r="F12" i="75"/>
  <c r="H12" i="75"/>
  <c r="P12" i="68"/>
  <c r="N12" i="68"/>
  <c r="F12" i="68"/>
  <c r="H12" i="68"/>
  <c r="P10" i="70"/>
  <c r="N10" i="70"/>
  <c r="P12" i="49"/>
  <c r="N12" i="49"/>
  <c r="H18" i="74"/>
  <c r="F18" i="74"/>
  <c r="H16" i="70"/>
  <c r="F16" i="70"/>
  <c r="H10" i="75"/>
  <c r="F10" i="75"/>
  <c r="P20" i="72"/>
  <c r="N20" i="72"/>
  <c r="P12" i="69"/>
  <c r="N12" i="69"/>
  <c r="F16" i="49"/>
  <c r="H16" i="49"/>
  <c r="P18" i="74"/>
  <c r="N18" i="74"/>
  <c r="P12" i="70"/>
  <c r="N12" i="70"/>
  <c r="F12" i="72"/>
  <c r="H12" i="72"/>
  <c r="DE1" i="38"/>
  <c r="DC1" i="38"/>
  <c r="DF2" i="38"/>
  <c r="DD1" i="38"/>
  <c r="DD3" i="38"/>
  <c r="DC3" i="38"/>
  <c r="Z9" i="40"/>
  <c r="O6" i="40"/>
  <c r="W7" i="40"/>
  <c r="Q7" i="40"/>
  <c r="M7" i="40"/>
  <c r="K7" i="40"/>
  <c r="G7" i="40"/>
  <c r="E7" i="40"/>
  <c r="AP12" i="74" l="1"/>
  <c r="AP12" i="70"/>
  <c r="AP10" i="70"/>
  <c r="BN19" i="38"/>
  <c r="BN18" i="38"/>
  <c r="BN21" i="38"/>
  <c r="BN20" i="38"/>
  <c r="AS18" i="38"/>
  <c r="AS20" i="38"/>
  <c r="AS19" i="38"/>
  <c r="AS21" i="38"/>
  <c r="AI20" i="38"/>
  <c r="AI21" i="38"/>
  <c r="AI19" i="38"/>
  <c r="AI18" i="38"/>
  <c r="CC20" i="38"/>
  <c r="CC18" i="38"/>
  <c r="CC19" i="38"/>
  <c r="CC21" i="38"/>
  <c r="L20" i="38"/>
  <c r="L19" i="38"/>
  <c r="L21" i="38"/>
  <c r="L18" i="38"/>
  <c r="H18" i="38"/>
  <c r="H19" i="38"/>
  <c r="H21" i="38"/>
  <c r="H20" i="38"/>
  <c r="AL18" i="38"/>
  <c r="AL20" i="38"/>
  <c r="AL21" i="38"/>
  <c r="AL19" i="38"/>
  <c r="BH20" i="38"/>
  <c r="BH19" i="38"/>
  <c r="BH18" i="38"/>
  <c r="BH21" i="38"/>
  <c r="I18" i="38"/>
  <c r="I19" i="38"/>
  <c r="I21" i="38"/>
  <c r="I20" i="38"/>
  <c r="R19" i="38"/>
  <c r="R18" i="38"/>
  <c r="R21" i="38"/>
  <c r="R20" i="38"/>
  <c r="AP19" i="38"/>
  <c r="AP18" i="38"/>
  <c r="AP21" i="38"/>
  <c r="AP20" i="38"/>
  <c r="GN19" i="38"/>
  <c r="GN18" i="38"/>
  <c r="GN20" i="38"/>
  <c r="GN21" i="38"/>
  <c r="AC18" i="38"/>
  <c r="AC20" i="38"/>
  <c r="AC19" i="38"/>
  <c r="AC21" i="38"/>
  <c r="BE18" i="38"/>
  <c r="BE19" i="38"/>
  <c r="BE21" i="38"/>
  <c r="BE20" i="38"/>
  <c r="Q20" i="38"/>
  <c r="Q18" i="38"/>
  <c r="Q19" i="38"/>
  <c r="Q21" i="38"/>
  <c r="AF20" i="38"/>
  <c r="AF21" i="38"/>
  <c r="AF19" i="38"/>
  <c r="AF18" i="38"/>
  <c r="AV20" i="38"/>
  <c r="AV21" i="38"/>
  <c r="AV19" i="38"/>
  <c r="AV18" i="38"/>
  <c r="AJ19" i="38"/>
  <c r="AJ20" i="38"/>
  <c r="AJ21" i="38"/>
  <c r="AJ18" i="38"/>
  <c r="O20" i="38"/>
  <c r="O18" i="38"/>
  <c r="O21" i="38"/>
  <c r="O19" i="38"/>
  <c r="CW20" i="38"/>
  <c r="CW18" i="38"/>
  <c r="CW19" i="38"/>
  <c r="CW21" i="38"/>
  <c r="CR20" i="38"/>
  <c r="CR21" i="38"/>
  <c r="CR19" i="38"/>
  <c r="CR18" i="38"/>
  <c r="BZ18" i="38"/>
  <c r="BZ20" i="38"/>
  <c r="BZ21" i="38"/>
  <c r="BZ19" i="38"/>
  <c r="BG20" i="38"/>
  <c r="BG18" i="38"/>
  <c r="BG19" i="38"/>
  <c r="BG21" i="38"/>
  <c r="BW18" i="38"/>
  <c r="BW20" i="38"/>
  <c r="BW19" i="38"/>
  <c r="BW21" i="38"/>
  <c r="AU20" i="38"/>
  <c r="AU21" i="38"/>
  <c r="AU18" i="38"/>
  <c r="AU19" i="38"/>
  <c r="BA20" i="38"/>
  <c r="BA18" i="38"/>
  <c r="BA19" i="38"/>
  <c r="BA21" i="38"/>
  <c r="AO19" i="38"/>
  <c r="AO18" i="38"/>
  <c r="AO21" i="38"/>
  <c r="AO20" i="38"/>
  <c r="CQ20" i="38"/>
  <c r="CQ21" i="38"/>
  <c r="CQ18" i="38"/>
  <c r="CQ19" i="38"/>
  <c r="FY18" i="38"/>
  <c r="FY20" i="38"/>
  <c r="FY19" i="38"/>
  <c r="FY21" i="38"/>
  <c r="F18" i="38"/>
  <c r="F20" i="38"/>
  <c r="F21" i="38"/>
  <c r="F19" i="38"/>
  <c r="BK20" i="38"/>
  <c r="BK21" i="38"/>
  <c r="BK18" i="38"/>
  <c r="BK19" i="38"/>
  <c r="AM20" i="38"/>
  <c r="AM18" i="38"/>
  <c r="AM21" i="38"/>
  <c r="AM19" i="38"/>
  <c r="GE18" i="38"/>
  <c r="GE20" i="38"/>
  <c r="GE21" i="38"/>
  <c r="GE19" i="38"/>
  <c r="GT18" i="38"/>
  <c r="GT19" i="38"/>
  <c r="GT20" i="38"/>
  <c r="GT21" i="38"/>
  <c r="CL18" i="38"/>
  <c r="CL20" i="38"/>
  <c r="CL19" i="38"/>
  <c r="CL21" i="38"/>
  <c r="GP18" i="38"/>
  <c r="GP20" i="38"/>
  <c r="GP19" i="38"/>
  <c r="GP21" i="38"/>
  <c r="CI18" i="38"/>
  <c r="CI20" i="38"/>
  <c r="CI21" i="38"/>
  <c r="CI19" i="38"/>
  <c r="BD19" i="38"/>
  <c r="BD18" i="38"/>
  <c r="BD21" i="38"/>
  <c r="BD20" i="38"/>
  <c r="HO20" i="38"/>
  <c r="HO18" i="38"/>
  <c r="HO21" i="38"/>
  <c r="HO19" i="38"/>
  <c r="CU19" i="38"/>
  <c r="CU18" i="38"/>
  <c r="CU20" i="38"/>
  <c r="CU21" i="38"/>
  <c r="GK20" i="38"/>
  <c r="GK18" i="38"/>
  <c r="GK21" i="38"/>
  <c r="GK19" i="38"/>
  <c r="AR20" i="38"/>
  <c r="AR19" i="38"/>
  <c r="AR21" i="38"/>
  <c r="AR18" i="38"/>
  <c r="GH20" i="38"/>
  <c r="GH21" i="38"/>
  <c r="GH19" i="38"/>
  <c r="GH18" i="38"/>
  <c r="N18" i="38"/>
  <c r="N20" i="38"/>
  <c r="N21" i="38"/>
  <c r="N19" i="38"/>
  <c r="HN20" i="38"/>
  <c r="HN21" i="38"/>
  <c r="HN19" i="38"/>
  <c r="HN18" i="38"/>
  <c r="HM19" i="38"/>
  <c r="CK18" i="38"/>
  <c r="CK19" i="38"/>
  <c r="CK21" i="38"/>
  <c r="CK20" i="38"/>
  <c r="CN20" i="38"/>
  <c r="CN18" i="38"/>
  <c r="CN19" i="38"/>
  <c r="CN21" i="38"/>
  <c r="GA20" i="38"/>
  <c r="GA18" i="38"/>
  <c r="GA19" i="38"/>
  <c r="GA21" i="38"/>
  <c r="BB18" i="38"/>
  <c r="BB21" i="38"/>
  <c r="BB20" i="38"/>
  <c r="BB19" i="38"/>
  <c r="BJ18" i="38"/>
  <c r="BJ20" i="38"/>
  <c r="BJ21" i="38"/>
  <c r="BJ19" i="38"/>
  <c r="GQ20" i="38"/>
  <c r="GQ18" i="38"/>
  <c r="GQ19" i="38"/>
  <c r="GQ21" i="38"/>
  <c r="GJ21" i="38"/>
  <c r="GJ18" i="38"/>
  <c r="GJ20" i="38"/>
  <c r="GJ19" i="38"/>
  <c r="GM21" i="38"/>
  <c r="GM18" i="38"/>
  <c r="GM19" i="38"/>
  <c r="GM20" i="38"/>
  <c r="CB20" i="38"/>
  <c r="CB21" i="38"/>
  <c r="CB19" i="38"/>
  <c r="CB18" i="38"/>
  <c r="E18" i="38"/>
  <c r="E20" i="38"/>
  <c r="E21" i="38"/>
  <c r="E19" i="38"/>
  <c r="HM21" i="38"/>
  <c r="CF19" i="38"/>
  <c r="CF20" i="38"/>
  <c r="CF21" i="38"/>
  <c r="CF18" i="38"/>
  <c r="BV19" i="38"/>
  <c r="BV18" i="38"/>
  <c r="BV21" i="38"/>
  <c r="BV20" i="38"/>
  <c r="CT19" i="38"/>
  <c r="CT18" i="38"/>
  <c r="CT20" i="38"/>
  <c r="CT21" i="38"/>
  <c r="CE18" i="38"/>
  <c r="CE20" i="38"/>
  <c r="CE19" i="38"/>
  <c r="CE21" i="38"/>
  <c r="AG18" i="38"/>
  <c r="AG20" i="38"/>
  <c r="AG19" i="38"/>
  <c r="AG21" i="38"/>
  <c r="K20" i="38"/>
  <c r="K18" i="38"/>
  <c r="K19" i="38"/>
  <c r="K21" i="38"/>
  <c r="HM20" i="38"/>
  <c r="BM20" i="38"/>
  <c r="BM18" i="38"/>
  <c r="BM19" i="38"/>
  <c r="BM21" i="38"/>
  <c r="GS18" i="38"/>
  <c r="GS19" i="38"/>
  <c r="GS20" i="38"/>
  <c r="GS21" i="38"/>
  <c r="GD18" i="38"/>
  <c r="GD19" i="38"/>
  <c r="GD20" i="38"/>
  <c r="GD21" i="38"/>
  <c r="CH18" i="38"/>
  <c r="CH21" i="38"/>
  <c r="CH19" i="38"/>
  <c r="CH20" i="38"/>
  <c r="CX18" i="38"/>
  <c r="CX21" i="38"/>
  <c r="CX19" i="38"/>
  <c r="CX20" i="38"/>
  <c r="AD18" i="38"/>
  <c r="AD20" i="38"/>
  <c r="AD19" i="38"/>
  <c r="AD21" i="38"/>
  <c r="DC20" i="38"/>
  <c r="DC18" i="38"/>
  <c r="DC21" i="38"/>
  <c r="DC19" i="38"/>
  <c r="W20" i="38"/>
  <c r="W18" i="38"/>
  <c r="W19" i="38"/>
  <c r="W21" i="38"/>
  <c r="AY20" i="38"/>
  <c r="AY19" i="38"/>
  <c r="AY21" i="38"/>
  <c r="AY18" i="38"/>
  <c r="FX18" i="38"/>
  <c r="FX19" i="38"/>
  <c r="FX20" i="38"/>
  <c r="FX21" i="38"/>
  <c r="GG18" i="38"/>
  <c r="GG20" i="38"/>
  <c r="GG21" i="38"/>
  <c r="GG19" i="38"/>
  <c r="DA18" i="38"/>
  <c r="DA19" i="38"/>
  <c r="DA20" i="38"/>
  <c r="DA21" i="38"/>
  <c r="CO18" i="38"/>
  <c r="CO20" i="38"/>
  <c r="CO19" i="38"/>
  <c r="CO21" i="38"/>
  <c r="DD20" i="38"/>
  <c r="DD18" i="38"/>
  <c r="DD19" i="38"/>
  <c r="DD21" i="38"/>
  <c r="X18" i="38"/>
  <c r="X19" i="38"/>
  <c r="X20" i="38"/>
  <c r="X21" i="38"/>
  <c r="AX18" i="38"/>
  <c r="AX19" i="38"/>
  <c r="AX21" i="38"/>
  <c r="AX20" i="38"/>
  <c r="BY18" i="38"/>
  <c r="BY20" i="38"/>
  <c r="BY19" i="38"/>
  <c r="BY21" i="38"/>
  <c r="GB18" i="38"/>
  <c r="GB21" i="38"/>
  <c r="GB20" i="38"/>
  <c r="GB19" i="38"/>
  <c r="CZ18" i="38"/>
  <c r="CZ19" i="38"/>
  <c r="CZ21" i="38"/>
  <c r="CZ20" i="38"/>
  <c r="HM18" i="38"/>
  <c r="AP10" i="74"/>
  <c r="AP14" i="75"/>
  <c r="AP14" i="49"/>
  <c r="AP16" i="68"/>
  <c r="AP16" i="75"/>
  <c r="AP12" i="75"/>
  <c r="AP16" i="49"/>
  <c r="AP16" i="69"/>
  <c r="AP12" i="49"/>
  <c r="AP12" i="69"/>
  <c r="AP14" i="69"/>
  <c r="AJ16" i="49"/>
  <c r="AI16" i="49"/>
  <c r="AJ14" i="69"/>
  <c r="AI14" i="69"/>
  <c r="AP10" i="69"/>
  <c r="AJ10" i="49"/>
  <c r="AI10" i="49"/>
  <c r="AJ16" i="69"/>
  <c r="AI16" i="69"/>
  <c r="AJ12" i="49"/>
  <c r="AI12" i="49"/>
  <c r="AP10" i="49"/>
  <c r="AJ14" i="49"/>
  <c r="AI14" i="49"/>
  <c r="AI10" i="69"/>
  <c r="AJ10" i="69"/>
  <c r="AJ12" i="69"/>
  <c r="AI12" i="69"/>
  <c r="AJ10" i="68"/>
  <c r="AI10" i="68"/>
  <c r="AP10" i="68"/>
  <c r="AJ14" i="74"/>
  <c r="AI14" i="74"/>
  <c r="AP16" i="70"/>
  <c r="AJ12" i="74"/>
  <c r="AI12" i="74"/>
  <c r="AJ16" i="68"/>
  <c r="AI16" i="68"/>
  <c r="AJ12" i="75"/>
  <c r="AI12" i="75"/>
  <c r="AJ14" i="75"/>
  <c r="AI14" i="75"/>
  <c r="AJ14" i="68"/>
  <c r="AI14" i="68"/>
  <c r="AP12" i="68"/>
  <c r="AP14" i="70"/>
  <c r="AJ16" i="70"/>
  <c r="AI16" i="70"/>
  <c r="AJ16" i="74"/>
  <c r="AI16" i="74"/>
  <c r="AJ12" i="68"/>
  <c r="AI12" i="68"/>
  <c r="AP14" i="74"/>
  <c r="AJ10" i="70"/>
  <c r="AI10" i="70"/>
  <c r="AP10" i="75"/>
  <c r="AP14" i="68"/>
  <c r="AJ10" i="74"/>
  <c r="AI10" i="74"/>
  <c r="AJ10" i="75"/>
  <c r="AI10" i="75"/>
  <c r="AJ12" i="70"/>
  <c r="AI12" i="70"/>
  <c r="AJ16" i="75"/>
  <c r="AI16" i="75"/>
  <c r="AP16" i="74"/>
  <c r="AJ14" i="70"/>
  <c r="AI14" i="70"/>
  <c r="AP10" i="72"/>
  <c r="AP14" i="72"/>
  <c r="AJ10" i="72"/>
  <c r="AI10" i="72"/>
  <c r="AJ12" i="72"/>
  <c r="AI12" i="72"/>
  <c r="AJ16" i="72"/>
  <c r="AI16" i="72"/>
  <c r="AP12" i="72"/>
  <c r="AP16" i="72"/>
  <c r="AJ14" i="72"/>
  <c r="AI14" i="72"/>
  <c r="HM12" i="38"/>
  <c r="HM9" i="38"/>
  <c r="HM15" i="38"/>
  <c r="HM8" i="38"/>
  <c r="HM14" i="38"/>
  <c r="HM16" i="38"/>
  <c r="AI15" i="38"/>
  <c r="AI10" i="38"/>
  <c r="AI11" i="38"/>
  <c r="AI9" i="38"/>
  <c r="AI12" i="38"/>
  <c r="AI8" i="38"/>
  <c r="AI17" i="38"/>
  <c r="AI16" i="38"/>
  <c r="AI13" i="38"/>
  <c r="AI14" i="38"/>
  <c r="AD16" i="38"/>
  <c r="AD11" i="38"/>
  <c r="AD12" i="38"/>
  <c r="AD17" i="38"/>
  <c r="AD9" i="38"/>
  <c r="AD14" i="38"/>
  <c r="AD8" i="38"/>
  <c r="AD10" i="38"/>
  <c r="AD15" i="38"/>
  <c r="AD13" i="38"/>
  <c r="AU16" i="38"/>
  <c r="AU15" i="38"/>
  <c r="AU10" i="38"/>
  <c r="AU11" i="38"/>
  <c r="AU9" i="38"/>
  <c r="AU17" i="38"/>
  <c r="AU14" i="38"/>
  <c r="AU12" i="38"/>
  <c r="AU8" i="38"/>
  <c r="AU13" i="38"/>
  <c r="BV15" i="38"/>
  <c r="BV16" i="38"/>
  <c r="BV11" i="38"/>
  <c r="BV9" i="38"/>
  <c r="BV10" i="38"/>
  <c r="BV14" i="38"/>
  <c r="BV8" i="38"/>
  <c r="BV12" i="38"/>
  <c r="BV13" i="38"/>
  <c r="BV17" i="38"/>
  <c r="GJ15" i="38"/>
  <c r="GJ9" i="38"/>
  <c r="GJ11" i="38"/>
  <c r="GJ16" i="38"/>
  <c r="GJ17" i="38"/>
  <c r="GJ14" i="38"/>
  <c r="GJ13" i="38"/>
  <c r="GJ10" i="38"/>
  <c r="GJ12" i="38"/>
  <c r="GJ8" i="38"/>
  <c r="CQ16" i="38"/>
  <c r="CQ11" i="38"/>
  <c r="CQ9" i="38"/>
  <c r="CQ13" i="38"/>
  <c r="CQ8" i="38"/>
  <c r="CQ10" i="38"/>
  <c r="CQ14" i="38"/>
  <c r="CQ12" i="38"/>
  <c r="CQ15" i="38"/>
  <c r="CQ17" i="38"/>
  <c r="GE16" i="38"/>
  <c r="GE14" i="38"/>
  <c r="GE10" i="38"/>
  <c r="GE8" i="38"/>
  <c r="GE17" i="38"/>
  <c r="GE12" i="38"/>
  <c r="GE13" i="38"/>
  <c r="GE11" i="38"/>
  <c r="GE15" i="38"/>
  <c r="GE9" i="38"/>
  <c r="GB16" i="38"/>
  <c r="GB15" i="38"/>
  <c r="GB14" i="38"/>
  <c r="GB10" i="38"/>
  <c r="GB8" i="38"/>
  <c r="GB11" i="38"/>
  <c r="GB9" i="38"/>
  <c r="GB13" i="38"/>
  <c r="GB17" i="38"/>
  <c r="GB12" i="38"/>
  <c r="E7" i="38"/>
  <c r="E9" i="38"/>
  <c r="E11" i="38"/>
  <c r="E10" i="38"/>
  <c r="E8" i="38"/>
  <c r="E12" i="38"/>
  <c r="E14" i="38"/>
  <c r="E13" i="38"/>
  <c r="E17" i="38"/>
  <c r="E16" i="38"/>
  <c r="E15" i="38"/>
  <c r="BK15" i="38"/>
  <c r="BK14" i="38"/>
  <c r="BK9" i="38"/>
  <c r="BK10" i="38"/>
  <c r="BK11" i="38"/>
  <c r="BK12" i="38"/>
  <c r="BK17" i="38"/>
  <c r="BK8" i="38"/>
  <c r="BK13" i="38"/>
  <c r="BK16" i="38"/>
  <c r="CH15" i="38"/>
  <c r="CH14" i="38"/>
  <c r="CH11" i="38"/>
  <c r="CH9" i="38"/>
  <c r="CH10" i="38"/>
  <c r="CH16" i="38"/>
  <c r="CH13" i="38"/>
  <c r="CH17" i="38"/>
  <c r="CH12" i="38"/>
  <c r="CH8" i="38"/>
  <c r="BG16" i="38"/>
  <c r="BG11" i="38"/>
  <c r="BG15" i="38"/>
  <c r="BG9" i="38"/>
  <c r="BG10" i="38"/>
  <c r="BG14" i="38"/>
  <c r="BG12" i="38"/>
  <c r="BG8" i="38"/>
  <c r="BG13" i="38"/>
  <c r="BG17" i="38"/>
  <c r="X16" i="38"/>
  <c r="X14" i="38"/>
  <c r="X15" i="38"/>
  <c r="X11" i="38"/>
  <c r="X9" i="38"/>
  <c r="X10" i="38"/>
  <c r="X13" i="38"/>
  <c r="X8" i="38"/>
  <c r="X17" i="38"/>
  <c r="X12" i="38"/>
  <c r="BN15" i="38"/>
  <c r="BN16" i="38"/>
  <c r="BN10" i="38"/>
  <c r="BN12" i="38"/>
  <c r="BN11" i="38"/>
  <c r="BN8" i="38"/>
  <c r="BN14" i="38"/>
  <c r="BN17" i="38"/>
  <c r="BN9" i="38"/>
  <c r="BN13" i="38"/>
  <c r="CT14" i="38"/>
  <c r="CT9" i="38"/>
  <c r="CT15" i="38"/>
  <c r="CT11" i="38"/>
  <c r="CT8" i="38"/>
  <c r="CT10" i="38"/>
  <c r="CT12" i="38"/>
  <c r="CT17" i="38"/>
  <c r="CT16" i="38"/>
  <c r="CT13" i="38"/>
  <c r="GP10" i="38"/>
  <c r="GP13" i="38"/>
  <c r="GP15" i="38"/>
  <c r="GP11" i="38"/>
  <c r="GP8" i="38"/>
  <c r="GP9" i="38"/>
  <c r="AC11" i="38"/>
  <c r="AC10" i="38"/>
  <c r="AC15" i="38"/>
  <c r="AC12" i="38"/>
  <c r="AC9" i="38"/>
  <c r="AC13" i="38"/>
  <c r="AC8" i="38"/>
  <c r="AC14" i="38"/>
  <c r="AC17" i="38"/>
  <c r="AC16" i="38"/>
  <c r="CC16" i="38"/>
  <c r="CC10" i="38"/>
  <c r="CC9" i="38"/>
  <c r="CC11" i="38"/>
  <c r="CC12" i="38"/>
  <c r="CC14" i="38"/>
  <c r="CC8" i="38"/>
  <c r="CC13" i="38"/>
  <c r="CC17" i="38"/>
  <c r="CC15" i="38"/>
  <c r="K16" i="38"/>
  <c r="K11" i="38"/>
  <c r="K17" i="38"/>
  <c r="K10" i="38"/>
  <c r="K15" i="38"/>
  <c r="K9" i="38"/>
  <c r="K14" i="38"/>
  <c r="K12" i="38"/>
  <c r="K13" i="38"/>
  <c r="K8" i="38"/>
  <c r="HO17" i="38"/>
  <c r="HO9" i="38"/>
  <c r="HO8" i="38"/>
  <c r="HO12" i="38"/>
  <c r="HO11" i="38"/>
  <c r="HO13" i="38"/>
  <c r="BM15" i="38"/>
  <c r="BM14" i="38"/>
  <c r="BM10" i="38"/>
  <c r="BM13" i="38"/>
  <c r="BM12" i="38"/>
  <c r="BM11" i="38"/>
  <c r="BM9" i="38"/>
  <c r="BM8" i="38"/>
  <c r="BM17" i="38"/>
  <c r="BM16" i="38"/>
  <c r="I16" i="38"/>
  <c r="I15" i="38"/>
  <c r="I11" i="38"/>
  <c r="I17" i="38"/>
  <c r="I10" i="38"/>
  <c r="I14" i="38"/>
  <c r="I9" i="38"/>
  <c r="I12" i="38"/>
  <c r="I8" i="38"/>
  <c r="I13" i="38"/>
  <c r="GS15" i="38"/>
  <c r="GS11" i="38"/>
  <c r="GS16" i="38"/>
  <c r="GS9" i="38"/>
  <c r="GS12" i="38"/>
  <c r="GS17" i="38"/>
  <c r="GS10" i="38"/>
  <c r="GS14" i="38"/>
  <c r="GS8" i="38"/>
  <c r="GS13" i="38"/>
  <c r="AR16" i="38"/>
  <c r="AR11" i="38"/>
  <c r="AR15" i="38"/>
  <c r="AR10" i="38"/>
  <c r="AR8" i="38"/>
  <c r="AR17" i="38"/>
  <c r="AR12" i="38"/>
  <c r="AR9" i="38"/>
  <c r="AR13" i="38"/>
  <c r="AR14" i="38"/>
  <c r="AJ15" i="38"/>
  <c r="AJ14" i="38"/>
  <c r="AJ11" i="38"/>
  <c r="AJ9" i="38"/>
  <c r="AJ8" i="38"/>
  <c r="AJ13" i="38"/>
  <c r="AJ17" i="38"/>
  <c r="AJ12" i="38"/>
  <c r="AJ10" i="38"/>
  <c r="AJ16" i="38"/>
  <c r="AF15" i="38"/>
  <c r="AF16" i="38"/>
  <c r="AF14" i="38"/>
  <c r="AF8" i="38"/>
  <c r="AF11" i="38"/>
  <c r="AF10" i="38"/>
  <c r="AF17" i="38"/>
  <c r="AF9" i="38"/>
  <c r="AF12" i="38"/>
  <c r="AF13" i="38"/>
  <c r="CX11" i="38"/>
  <c r="CX15" i="38"/>
  <c r="CX14" i="38"/>
  <c r="CX12" i="38"/>
  <c r="CX10" i="38"/>
  <c r="CX9" i="38"/>
  <c r="CX17" i="38"/>
  <c r="CX8" i="38"/>
  <c r="CX13" i="38"/>
  <c r="CX16" i="38"/>
  <c r="HN16" i="38"/>
  <c r="HN15" i="38"/>
  <c r="HN10" i="38"/>
  <c r="HN13" i="38"/>
  <c r="HN17" i="38"/>
  <c r="HN14" i="38"/>
  <c r="HN8" i="38"/>
  <c r="HN9" i="38"/>
  <c r="HN12" i="38"/>
  <c r="CL15" i="38"/>
  <c r="CL11" i="38"/>
  <c r="CL17" i="38"/>
  <c r="CL10" i="38"/>
  <c r="CL12" i="38"/>
  <c r="CL16" i="38"/>
  <c r="CL8" i="38"/>
  <c r="CL13" i="38"/>
  <c r="CL14" i="38"/>
  <c r="CL9" i="38"/>
  <c r="H16" i="38"/>
  <c r="H15" i="38"/>
  <c r="H14" i="38"/>
  <c r="H11" i="38"/>
  <c r="H10" i="38"/>
  <c r="H13" i="38"/>
  <c r="H9" i="38"/>
  <c r="H17" i="38"/>
  <c r="H8" i="38"/>
  <c r="H12" i="38"/>
  <c r="AY15" i="38"/>
  <c r="AY14" i="38"/>
  <c r="AY10" i="38"/>
  <c r="AY9" i="38"/>
  <c r="AY11" i="38"/>
  <c r="AY16" i="38"/>
  <c r="AY8" i="38"/>
  <c r="AY12" i="38"/>
  <c r="AY17" i="38"/>
  <c r="AY13" i="38"/>
  <c r="CN16" i="38"/>
  <c r="CN15" i="38"/>
  <c r="CN11" i="38"/>
  <c r="CN10" i="38"/>
  <c r="CN12" i="38"/>
  <c r="CN8" i="38"/>
  <c r="CN13" i="38"/>
  <c r="CN14" i="38"/>
  <c r="CN17" i="38"/>
  <c r="CN9" i="38"/>
  <c r="BZ16" i="38"/>
  <c r="BZ14" i="38"/>
  <c r="BZ11" i="38"/>
  <c r="BZ10" i="38"/>
  <c r="BZ12" i="38"/>
  <c r="BZ8" i="38"/>
  <c r="BZ15" i="38"/>
  <c r="BZ17" i="38"/>
  <c r="BZ13" i="38"/>
  <c r="BZ9" i="38"/>
  <c r="AM14" i="38"/>
  <c r="AM11" i="38"/>
  <c r="AM10" i="38"/>
  <c r="AM9" i="38"/>
  <c r="AM15" i="38"/>
  <c r="AM8" i="38"/>
  <c r="AM13" i="38"/>
  <c r="AM12" i="38"/>
  <c r="AM16" i="38"/>
  <c r="AM17" i="38"/>
  <c r="DA15" i="38"/>
  <c r="DA16" i="38"/>
  <c r="DA10" i="38"/>
  <c r="DA11" i="38"/>
  <c r="DA9" i="38"/>
  <c r="DA17" i="38"/>
  <c r="DA12" i="38"/>
  <c r="DA8" i="38"/>
  <c r="DA13" i="38"/>
  <c r="DA14" i="38"/>
  <c r="GN15" i="38"/>
  <c r="GN10" i="38"/>
  <c r="GN11" i="38"/>
  <c r="GN14" i="38"/>
  <c r="GN9" i="38"/>
  <c r="GN13" i="38"/>
  <c r="GN8" i="38"/>
  <c r="GN12" i="38"/>
  <c r="GN16" i="38"/>
  <c r="GN17" i="38"/>
  <c r="CW15" i="38"/>
  <c r="CW14" i="38"/>
  <c r="CW10" i="38"/>
  <c r="CW8" i="38"/>
  <c r="CW13" i="38"/>
  <c r="CW16" i="38"/>
  <c r="CW12" i="38"/>
  <c r="CW17" i="38"/>
  <c r="CW9" i="38"/>
  <c r="CW11" i="38"/>
  <c r="GG16" i="38"/>
  <c r="GG15" i="38"/>
  <c r="GG14" i="38"/>
  <c r="GG11" i="38"/>
  <c r="GG9" i="38"/>
  <c r="GG10" i="38"/>
  <c r="GG12" i="38"/>
  <c r="GG17" i="38"/>
  <c r="GG13" i="38"/>
  <c r="GG8" i="38"/>
  <c r="DD11" i="38"/>
  <c r="DD16" i="38"/>
  <c r="DD9" i="38"/>
  <c r="DD13" i="38"/>
  <c r="DD14" i="38"/>
  <c r="DD12" i="38"/>
  <c r="DD10" i="38"/>
  <c r="DD8" i="38"/>
  <c r="DD17" i="38"/>
  <c r="DD15" i="38"/>
  <c r="BW15" i="38"/>
  <c r="BW11" i="38"/>
  <c r="BW9" i="38"/>
  <c r="BW10" i="38"/>
  <c r="BW14" i="38"/>
  <c r="BW8" i="38"/>
  <c r="BW17" i="38"/>
  <c r="BW12" i="38"/>
  <c r="BW13" i="38"/>
  <c r="BW16" i="38"/>
  <c r="AX15" i="38"/>
  <c r="AX14" i="38"/>
  <c r="AX10" i="38"/>
  <c r="AX9" i="38"/>
  <c r="AX11" i="38"/>
  <c r="AX13" i="38"/>
  <c r="AX8" i="38"/>
  <c r="AX17" i="38"/>
  <c r="AX16" i="38"/>
  <c r="AX12" i="38"/>
  <c r="GM15" i="38"/>
  <c r="GM11" i="38"/>
  <c r="GM9" i="38"/>
  <c r="GM10" i="38"/>
  <c r="GM8" i="38"/>
  <c r="GM17" i="38"/>
  <c r="GM16" i="38"/>
  <c r="GM13" i="38"/>
  <c r="GM14" i="38"/>
  <c r="GM12" i="38"/>
  <c r="FY11" i="38"/>
  <c r="FY15" i="38"/>
  <c r="FY17" i="38"/>
  <c r="FY10" i="38"/>
  <c r="FY9" i="38"/>
  <c r="FY12" i="38"/>
  <c r="FY14" i="38"/>
  <c r="FY8" i="38"/>
  <c r="FY13" i="38"/>
  <c r="FY16" i="38"/>
  <c r="AL15" i="38"/>
  <c r="AL14" i="38"/>
  <c r="AL16" i="38"/>
  <c r="AL11" i="38"/>
  <c r="AL10" i="38"/>
  <c r="AL9" i="38"/>
  <c r="AL8" i="38"/>
  <c r="AL12" i="38"/>
  <c r="AL17" i="38"/>
  <c r="AL13" i="38"/>
  <c r="CZ15" i="38"/>
  <c r="CZ16" i="38"/>
  <c r="CZ14" i="38"/>
  <c r="CZ10" i="38"/>
  <c r="CZ11" i="38"/>
  <c r="CZ9" i="38"/>
  <c r="CZ17" i="38"/>
  <c r="CZ13" i="38"/>
  <c r="CZ8" i="38"/>
  <c r="CZ12" i="38"/>
  <c r="N14" i="38"/>
  <c r="N15" i="38"/>
  <c r="N10" i="38"/>
  <c r="N16" i="38"/>
  <c r="N9" i="38"/>
  <c r="N11" i="38"/>
  <c r="N12" i="38"/>
  <c r="N17" i="38"/>
  <c r="N13" i="38"/>
  <c r="N8" i="38"/>
  <c r="CF15" i="38"/>
  <c r="CF11" i="38"/>
  <c r="CF9" i="38"/>
  <c r="CF16" i="38"/>
  <c r="CF13" i="38"/>
  <c r="CF12" i="38"/>
  <c r="CF14" i="38"/>
  <c r="CF10" i="38"/>
  <c r="CF8" i="38"/>
  <c r="CF17" i="38"/>
  <c r="AP16" i="38"/>
  <c r="AP10" i="38"/>
  <c r="AP11" i="38"/>
  <c r="AP12" i="38"/>
  <c r="AP17" i="38"/>
  <c r="AP15" i="38"/>
  <c r="AP9" i="38"/>
  <c r="AP13" i="38"/>
  <c r="AP8" i="38"/>
  <c r="AP14" i="38"/>
  <c r="AS16" i="38"/>
  <c r="AS11" i="38"/>
  <c r="AS17" i="38"/>
  <c r="AS15" i="38"/>
  <c r="AS14" i="38"/>
  <c r="AS12" i="38"/>
  <c r="AS10" i="38"/>
  <c r="AS9" i="38"/>
  <c r="AS13" i="38"/>
  <c r="AS8" i="38"/>
  <c r="CE11" i="38"/>
  <c r="CE10" i="38"/>
  <c r="CE9" i="38"/>
  <c r="CE12" i="38"/>
  <c r="CE8" i="38"/>
  <c r="CE13" i="38"/>
  <c r="CE17" i="38"/>
  <c r="CE15" i="38"/>
  <c r="CE14" i="38"/>
  <c r="CE16" i="38"/>
  <c r="CI15" i="38"/>
  <c r="CI11" i="38"/>
  <c r="CI9" i="38"/>
  <c r="CI14" i="38"/>
  <c r="CI10" i="38"/>
  <c r="CI12" i="38"/>
  <c r="CI17" i="38"/>
  <c r="CI8" i="38"/>
  <c r="CI16" i="38"/>
  <c r="CI13" i="38"/>
  <c r="BE15" i="38"/>
  <c r="BE16" i="38"/>
  <c r="BE11" i="38"/>
  <c r="BE9" i="38"/>
  <c r="BE10" i="38"/>
  <c r="BE13" i="38"/>
  <c r="BE14" i="38"/>
  <c r="BE17" i="38"/>
  <c r="BE8" i="38"/>
  <c r="BE12" i="38"/>
  <c r="L14" i="38"/>
  <c r="L15" i="38"/>
  <c r="L11" i="38"/>
  <c r="L16" i="38"/>
  <c r="L9" i="38"/>
  <c r="L12" i="38"/>
  <c r="L10" i="38"/>
  <c r="L8" i="38"/>
  <c r="L17" i="38"/>
  <c r="L13" i="38"/>
  <c r="AG15" i="38"/>
  <c r="AG14" i="38"/>
  <c r="AG16" i="38"/>
  <c r="AG9" i="38"/>
  <c r="AG11" i="38"/>
  <c r="AG10" i="38"/>
  <c r="AG13" i="38"/>
  <c r="AG12" i="38"/>
  <c r="AG8" i="38"/>
  <c r="AG17" i="38"/>
  <c r="W16" i="38"/>
  <c r="W11" i="38"/>
  <c r="W10" i="38"/>
  <c r="W9" i="38"/>
  <c r="W15" i="38"/>
  <c r="W14" i="38"/>
  <c r="W12" i="38"/>
  <c r="W17" i="38"/>
  <c r="W13" i="38"/>
  <c r="W8" i="38"/>
  <c r="CU15" i="38"/>
  <c r="CU14" i="38"/>
  <c r="CU9" i="38"/>
  <c r="CU11" i="38"/>
  <c r="CU10" i="38"/>
  <c r="CU8" i="38"/>
  <c r="CU12" i="38"/>
  <c r="CU13" i="38"/>
  <c r="CU17" i="38"/>
  <c r="CU16" i="38"/>
  <c r="CR16" i="38"/>
  <c r="CR9" i="38"/>
  <c r="CR11" i="38"/>
  <c r="CR13" i="38"/>
  <c r="CR12" i="38"/>
  <c r="CR10" i="38"/>
  <c r="CR8" i="38"/>
  <c r="CR17" i="38"/>
  <c r="CR14" i="38"/>
  <c r="CR15" i="38"/>
  <c r="GD16" i="38"/>
  <c r="GD10" i="38"/>
  <c r="GD14" i="38"/>
  <c r="GD15" i="38"/>
  <c r="GD12" i="38"/>
  <c r="GD9" i="38"/>
  <c r="GD11" i="38"/>
  <c r="GD13" i="38"/>
  <c r="GD8" i="38"/>
  <c r="GD17" i="38"/>
  <c r="GH16" i="38"/>
  <c r="GH11" i="38"/>
  <c r="GH10" i="38"/>
  <c r="GH9" i="38"/>
  <c r="GH8" i="38"/>
  <c r="GH17" i="38"/>
  <c r="GH13" i="38"/>
  <c r="GH14" i="38"/>
  <c r="GH12" i="38"/>
  <c r="GH15" i="38"/>
  <c r="O15" i="38"/>
  <c r="O10" i="38"/>
  <c r="O9" i="38"/>
  <c r="O8" i="38"/>
  <c r="O11" i="38"/>
  <c r="O13" i="38"/>
  <c r="O17" i="38"/>
  <c r="O14" i="38"/>
  <c r="O12" i="38"/>
  <c r="O16" i="38"/>
  <c r="BJ16" i="38"/>
  <c r="BJ15" i="38"/>
  <c r="BJ9" i="38"/>
  <c r="BJ10" i="38"/>
  <c r="BJ14" i="38"/>
  <c r="BJ8" i="38"/>
  <c r="BJ11" i="38"/>
  <c r="BJ13" i="38"/>
  <c r="BJ17" i="38"/>
  <c r="BJ12" i="38"/>
  <c r="Q11" i="38"/>
  <c r="Q8" i="38"/>
  <c r="Q17" i="38"/>
  <c r="Q12" i="38"/>
  <c r="Q9" i="38"/>
  <c r="Q14" i="38"/>
  <c r="Q13" i="38"/>
  <c r="Q15" i="38"/>
  <c r="Q10" i="38"/>
  <c r="Q16" i="38"/>
  <c r="GK15" i="38"/>
  <c r="GK11" i="38"/>
  <c r="GK13" i="38"/>
  <c r="GK12" i="38"/>
  <c r="GK17" i="38"/>
  <c r="GK8" i="38"/>
  <c r="GK9" i="38"/>
  <c r="GK14" i="38"/>
  <c r="GK10" i="38"/>
  <c r="GK16" i="38"/>
  <c r="BB10" i="38"/>
  <c r="BB12" i="38"/>
  <c r="BB11" i="38"/>
  <c r="BB8" i="38"/>
  <c r="BB17" i="38"/>
  <c r="BB16" i="38"/>
  <c r="BB9" i="38"/>
  <c r="BB13" i="38"/>
  <c r="BB14" i="38"/>
  <c r="BB15" i="38"/>
  <c r="GT16" i="38"/>
  <c r="GT11" i="38"/>
  <c r="GT9" i="38"/>
  <c r="GT8" i="38"/>
  <c r="GT17" i="38"/>
  <c r="GT13" i="38"/>
  <c r="GT12" i="38"/>
  <c r="GT15" i="38"/>
  <c r="GQ16" i="38"/>
  <c r="GQ14" i="38"/>
  <c r="GQ10" i="38"/>
  <c r="GQ12" i="38"/>
  <c r="GQ9" i="38"/>
  <c r="GQ17" i="38"/>
  <c r="GQ13" i="38"/>
  <c r="GQ11" i="38"/>
  <c r="GQ8" i="38"/>
  <c r="FX11" i="38"/>
  <c r="FX15" i="38"/>
  <c r="FX9" i="38"/>
  <c r="FX8" i="38"/>
  <c r="FX13" i="38"/>
  <c r="FX17" i="38"/>
  <c r="FX14" i="38"/>
  <c r="FX12" i="38"/>
  <c r="FX16" i="38"/>
  <c r="FX10" i="38"/>
  <c r="GA11" i="38"/>
  <c r="GA15" i="38"/>
  <c r="GA9" i="38"/>
  <c r="GA10" i="38"/>
  <c r="GA14" i="38"/>
  <c r="GA16" i="38"/>
  <c r="GA8" i="38"/>
  <c r="GA12" i="38"/>
  <c r="GA13" i="38"/>
  <c r="GA17" i="38"/>
  <c r="BA15" i="38"/>
  <c r="BA14" i="38"/>
  <c r="BA10" i="38"/>
  <c r="BA8" i="38"/>
  <c r="BA12" i="38"/>
  <c r="BA13" i="38"/>
  <c r="BA11" i="38"/>
  <c r="BA9" i="38"/>
  <c r="BA17" i="38"/>
  <c r="BA16" i="38"/>
  <c r="R16" i="38"/>
  <c r="R9" i="38"/>
  <c r="R11" i="38"/>
  <c r="R10" i="38"/>
  <c r="R12" i="38"/>
  <c r="R8" i="38"/>
  <c r="R13" i="38"/>
  <c r="R14" i="38"/>
  <c r="R15" i="38"/>
  <c r="R17" i="38"/>
  <c r="BD16" i="38"/>
  <c r="BD11" i="38"/>
  <c r="BD8" i="38"/>
  <c r="BD10" i="38"/>
  <c r="BD17" i="38"/>
  <c r="BD12" i="38"/>
  <c r="BD9" i="38"/>
  <c r="BD13" i="38"/>
  <c r="BD14" i="38"/>
  <c r="BD15" i="38"/>
  <c r="AV16" i="38"/>
  <c r="AV15" i="38"/>
  <c r="AV14" i="38"/>
  <c r="AV9" i="38"/>
  <c r="AV11" i="38"/>
  <c r="AV13" i="38"/>
  <c r="AV17" i="38"/>
  <c r="AV10" i="38"/>
  <c r="AV8" i="38"/>
  <c r="AV12" i="38"/>
  <c r="CK15" i="38"/>
  <c r="CK14" i="38"/>
  <c r="CK10" i="38"/>
  <c r="CK17" i="38"/>
  <c r="CK12" i="38"/>
  <c r="CK11" i="38"/>
  <c r="CK9" i="38"/>
  <c r="CK16" i="38"/>
  <c r="CK8" i="38"/>
  <c r="CK13" i="38"/>
  <c r="DC16" i="38"/>
  <c r="DC10" i="38"/>
  <c r="DC11" i="38"/>
  <c r="DC9" i="38"/>
  <c r="DC17" i="38"/>
  <c r="DC8" i="38"/>
  <c r="DC13" i="38"/>
  <c r="DC12" i="38"/>
  <c r="DC15" i="38"/>
  <c r="DC14" i="38"/>
  <c r="AO11" i="38"/>
  <c r="AO10" i="38"/>
  <c r="AO17" i="38"/>
  <c r="AO8" i="38"/>
  <c r="AO12" i="38"/>
  <c r="AO13" i="38"/>
  <c r="AO9" i="38"/>
  <c r="AO14" i="38"/>
  <c r="AO15" i="38"/>
  <c r="AO16" i="38"/>
  <c r="CO16" i="38"/>
  <c r="CO11" i="38"/>
  <c r="CO10" i="38"/>
  <c r="CO9" i="38"/>
  <c r="CO12" i="38"/>
  <c r="CO13" i="38"/>
  <c r="CO17" i="38"/>
  <c r="CO8" i="38"/>
  <c r="CO14" i="38"/>
  <c r="CO15" i="38"/>
  <c r="BY10" i="38"/>
  <c r="BY15" i="38"/>
  <c r="BY8" i="38"/>
  <c r="BY17" i="38"/>
  <c r="BY12" i="38"/>
  <c r="BY14" i="38"/>
  <c r="BY11" i="38"/>
  <c r="BY13" i="38"/>
  <c r="BY9" i="38"/>
  <c r="BY16" i="38"/>
  <c r="CB16" i="38"/>
  <c r="CB10" i="38"/>
  <c r="CB11" i="38"/>
  <c r="CB13" i="38"/>
  <c r="CB12" i="38"/>
  <c r="CB8" i="38"/>
  <c r="CB17" i="38"/>
  <c r="CB14" i="38"/>
  <c r="CB15" i="38"/>
  <c r="CB9" i="38"/>
  <c r="F14" i="38"/>
  <c r="F9" i="38"/>
  <c r="F12" i="38"/>
  <c r="F11" i="38"/>
  <c r="F10" i="38"/>
  <c r="F13" i="38"/>
  <c r="F8" i="38"/>
  <c r="F15" i="38"/>
  <c r="F16" i="38"/>
  <c r="F17" i="38"/>
  <c r="BH15" i="38"/>
  <c r="BH14" i="38"/>
  <c r="BH16" i="38"/>
  <c r="BH11" i="38"/>
  <c r="BH9" i="38"/>
  <c r="BH13" i="38"/>
  <c r="BH8" i="38"/>
  <c r="BH10" i="38"/>
  <c r="BH17" i="38"/>
  <c r="BH12" i="38"/>
  <c r="C21" i="76"/>
  <c r="GN7" i="38"/>
  <c r="GK7" i="38"/>
  <c r="GH7" i="38"/>
  <c r="GE7" i="38"/>
  <c r="GB7" i="38"/>
  <c r="GA7" i="38"/>
  <c r="GJ7" i="38"/>
  <c r="GM7" i="38"/>
  <c r="GD7" i="38"/>
  <c r="GG7" i="38"/>
  <c r="FY7" i="38"/>
  <c r="FX7" i="38"/>
  <c r="HM1" i="36"/>
  <c r="AF9" i="40"/>
  <c r="AE9" i="40" s="1"/>
  <c r="AE7" i="40"/>
  <c r="AE8" i="40" s="1"/>
  <c r="I9" i="40"/>
  <c r="BN1" i="36"/>
  <c r="L1" i="36"/>
  <c r="I1" i="36"/>
  <c r="AD1" i="36"/>
  <c r="GQ1" i="36"/>
  <c r="R1" i="36"/>
  <c r="AS1" i="36"/>
  <c r="AM1" i="36"/>
  <c r="BW1" i="36"/>
  <c r="GE1" i="36"/>
  <c r="BH1" i="36"/>
  <c r="AP1" i="36"/>
  <c r="GN1" i="36"/>
  <c r="BE1" i="36"/>
  <c r="AV1" i="36"/>
  <c r="AJ1" i="36"/>
  <c r="O1" i="36"/>
  <c r="AY1" i="36"/>
  <c r="GT1" i="36"/>
  <c r="BK1" i="36"/>
  <c r="FY1" i="36"/>
  <c r="GK1" i="36"/>
  <c r="GH1" i="36"/>
  <c r="F1" i="36"/>
  <c r="BB1" i="36"/>
  <c r="AG1" i="36"/>
  <c r="X1" i="36"/>
  <c r="GB1" i="36"/>
  <c r="AL1" i="36"/>
  <c r="AU1" i="36"/>
  <c r="BA1" i="36"/>
  <c r="AO1" i="36"/>
  <c r="BG1" i="36"/>
  <c r="AR1" i="36"/>
  <c r="N1" i="36"/>
  <c r="GP1" i="36"/>
  <c r="BD1" i="36"/>
  <c r="GA1" i="36"/>
  <c r="GJ1" i="36"/>
  <c r="GM1" i="36"/>
  <c r="K1" i="36"/>
  <c r="BV1" i="36"/>
  <c r="BM1" i="36"/>
  <c r="GS1" i="36"/>
  <c r="GD1" i="36"/>
  <c r="W1" i="36"/>
  <c r="FX1" i="36"/>
  <c r="GG1" i="36"/>
  <c r="AX1" i="36"/>
  <c r="AI1" i="36"/>
  <c r="AF1" i="36"/>
  <c r="H1" i="36"/>
  <c r="BJ1" i="36"/>
  <c r="AC1" i="36"/>
  <c r="Q1" i="36"/>
  <c r="CU1" i="36"/>
  <c r="CU7" i="38"/>
  <c r="BZ1" i="36"/>
  <c r="BZ7" i="38"/>
  <c r="CQ1" i="36"/>
  <c r="CQ7" i="38"/>
  <c r="CR1" i="36"/>
  <c r="CR7" i="38"/>
  <c r="CF1" i="36"/>
  <c r="CF7" i="38"/>
  <c r="CL1" i="36"/>
  <c r="CL7" i="38"/>
  <c r="CI1" i="36"/>
  <c r="CI7" i="38"/>
  <c r="DD1" i="36"/>
  <c r="DD7" i="38"/>
  <c r="CO1" i="36"/>
  <c r="CO7" i="38"/>
  <c r="HO1" i="36"/>
  <c r="CK1" i="36"/>
  <c r="CK7" i="38"/>
  <c r="CN1" i="36"/>
  <c r="CN7" i="38"/>
  <c r="HN1" i="36"/>
  <c r="CE1" i="36"/>
  <c r="CE7" i="38"/>
  <c r="CB1" i="36"/>
  <c r="CB7" i="38"/>
  <c r="CH1" i="36"/>
  <c r="CH7" i="38"/>
  <c r="CX1" i="36"/>
  <c r="CX7" i="38"/>
  <c r="DA1" i="36"/>
  <c r="DA7" i="38"/>
  <c r="CT1" i="36"/>
  <c r="CT7" i="38"/>
  <c r="BY1" i="36"/>
  <c r="BY7" i="38"/>
  <c r="CZ1" i="36"/>
  <c r="CZ7" i="38"/>
  <c r="CC1" i="36"/>
  <c r="CC7" i="38"/>
  <c r="DC1" i="36"/>
  <c r="DC7" i="38"/>
  <c r="CW1" i="36"/>
  <c r="CW7" i="38"/>
  <c r="HP3" i="38"/>
  <c r="HP21" i="38" s="1"/>
  <c r="DB3" i="38"/>
  <c r="DB1" i="36" s="1"/>
  <c r="CP3" i="38"/>
  <c r="CP1" i="36" s="1"/>
  <c r="CM3" i="38"/>
  <c r="CM1" i="36" s="1"/>
  <c r="CJ3" i="38"/>
  <c r="CJ1" i="36" s="1"/>
  <c r="CA3" i="38"/>
  <c r="CA1" i="36" s="1"/>
  <c r="CD3" i="38"/>
  <c r="CD1" i="36" s="1"/>
  <c r="CV3" i="38"/>
  <c r="CV1" i="36" s="1"/>
  <c r="CG3" i="38"/>
  <c r="CG1" i="36" s="1"/>
  <c r="CY3" i="38"/>
  <c r="CY1" i="36" s="1"/>
  <c r="CS3" i="38"/>
  <c r="CS1" i="36" s="1"/>
  <c r="DE3" i="38"/>
  <c r="DE1" i="36" s="1"/>
  <c r="DH1" i="38"/>
  <c r="DG1" i="38"/>
  <c r="DF1" i="38"/>
  <c r="DI2" i="38"/>
  <c r="DF3" i="38"/>
  <c r="DG3" i="38"/>
  <c r="R7" i="40"/>
  <c r="P7" i="40"/>
  <c r="X7" i="40"/>
  <c r="V7" i="40"/>
  <c r="AH7" i="40"/>
  <c r="AB7" i="40"/>
  <c r="Z6" i="40"/>
  <c r="CV19" i="38" l="1"/>
  <c r="CS19" i="38"/>
  <c r="DB19" i="38"/>
  <c r="CG21" i="38"/>
  <c r="CS21" i="38"/>
  <c r="CM21" i="38"/>
  <c r="DB18" i="38"/>
  <c r="CG19" i="38"/>
  <c r="CM18" i="38"/>
  <c r="CJ21" i="38"/>
  <c r="CS18" i="38"/>
  <c r="CY19" i="38"/>
  <c r="DE21" i="38"/>
  <c r="CM20" i="38"/>
  <c r="DE19" i="38"/>
  <c r="CD20" i="38"/>
  <c r="CS20" i="38"/>
  <c r="CY21" i="38"/>
  <c r="DG20" i="38"/>
  <c r="DG18" i="38"/>
  <c r="DG21" i="38"/>
  <c r="DG19" i="38"/>
  <c r="CJ20" i="38"/>
  <c r="CG20" i="38"/>
  <c r="CY18" i="38"/>
  <c r="CA19" i="38"/>
  <c r="DE20" i="38"/>
  <c r="CG18" i="38"/>
  <c r="CD21" i="38"/>
  <c r="HP19" i="38"/>
  <c r="CD18" i="38"/>
  <c r="CP19" i="38"/>
  <c r="CY20" i="38"/>
  <c r="DF18" i="38"/>
  <c r="DF20" i="38"/>
  <c r="DF19" i="38"/>
  <c r="DF21" i="38"/>
  <c r="CJ19" i="38"/>
  <c r="CP21" i="38"/>
  <c r="HP20" i="38"/>
  <c r="DE18" i="38"/>
  <c r="CJ18" i="38"/>
  <c r="CV18" i="38"/>
  <c r="CD19" i="38"/>
  <c r="HP18" i="38"/>
  <c r="DB20" i="38"/>
  <c r="CA18" i="38"/>
  <c r="CP20" i="38"/>
  <c r="DB21" i="38"/>
  <c r="CA21" i="38"/>
  <c r="CV21" i="38"/>
  <c r="CP18" i="38"/>
  <c r="CA20" i="38"/>
  <c r="CV20" i="38"/>
  <c r="CM19" i="38"/>
  <c r="CV17" i="38"/>
  <c r="CV8" i="38"/>
  <c r="CP13" i="38"/>
  <c r="AU12" i="49"/>
  <c r="BB6" i="49" s="1"/>
  <c r="AU16" i="69"/>
  <c r="BD6" i="69" s="1"/>
  <c r="AU10" i="49"/>
  <c r="BA6" i="49" s="1"/>
  <c r="AU14" i="69"/>
  <c r="BC6" i="69" s="1"/>
  <c r="AU12" i="69"/>
  <c r="BB6" i="69" s="1"/>
  <c r="AU16" i="49"/>
  <c r="BD6" i="49" s="1"/>
  <c r="AU10" i="69"/>
  <c r="BA6" i="69" s="1"/>
  <c r="AU14" i="49"/>
  <c r="BC6" i="49" s="1"/>
  <c r="AU14" i="68"/>
  <c r="BC6" i="68" s="1"/>
  <c r="AU10" i="74"/>
  <c r="BA6" i="74" s="1"/>
  <c r="AU14" i="75"/>
  <c r="BC6" i="75" s="1"/>
  <c r="AU12" i="75"/>
  <c r="BB6" i="75" s="1"/>
  <c r="AU10" i="70"/>
  <c r="BA6" i="70" s="1"/>
  <c r="AU16" i="68"/>
  <c r="BD6" i="68" s="1"/>
  <c r="AU14" i="70"/>
  <c r="BC6" i="70" s="1"/>
  <c r="AU12" i="68"/>
  <c r="BB6" i="68" s="1"/>
  <c r="AU12" i="74"/>
  <c r="BB6" i="74" s="1"/>
  <c r="AU10" i="75"/>
  <c r="BA6" i="75" s="1"/>
  <c r="AU16" i="74"/>
  <c r="BD6" i="74" s="1"/>
  <c r="AU16" i="75"/>
  <c r="BD6" i="75" s="1"/>
  <c r="AU14" i="74"/>
  <c r="BC6" i="74" s="1"/>
  <c r="AU16" i="70"/>
  <c r="BD6" i="70" s="1"/>
  <c r="AU12" i="70"/>
  <c r="BB6" i="70" s="1"/>
  <c r="AU10" i="68"/>
  <c r="BA6" i="68" s="1"/>
  <c r="AU14" i="72"/>
  <c r="BC6" i="72" s="1"/>
  <c r="AU16" i="72"/>
  <c r="BD6" i="72" s="1"/>
  <c r="AU12" i="72"/>
  <c r="BB6" i="72" s="1"/>
  <c r="AU10" i="72"/>
  <c r="BA6" i="72" s="1"/>
  <c r="CP12" i="38"/>
  <c r="CM8" i="38"/>
  <c r="CJ13" i="38"/>
  <c r="DE13" i="38"/>
  <c r="CG17" i="38"/>
  <c r="DB13" i="38"/>
  <c r="CD11" i="38"/>
  <c r="CG15" i="38"/>
  <c r="CD8" i="38"/>
  <c r="CP8" i="38"/>
  <c r="CS17" i="38"/>
  <c r="CM11" i="38"/>
  <c r="CD12" i="38"/>
  <c r="CM13" i="38"/>
  <c r="CY12" i="38"/>
  <c r="CS10" i="38"/>
  <c r="DE15" i="38"/>
  <c r="HP9" i="38"/>
  <c r="CV16" i="38"/>
  <c r="CS15" i="38"/>
  <c r="DE10" i="38"/>
  <c r="CJ17" i="38"/>
  <c r="CJ15" i="38"/>
  <c r="DE16" i="38"/>
  <c r="CM15" i="38"/>
  <c r="DB15" i="38"/>
  <c r="DB12" i="38"/>
  <c r="DB16" i="38"/>
  <c r="CY17" i="38"/>
  <c r="CP17" i="38"/>
  <c r="HP13" i="38"/>
  <c r="CS14" i="38"/>
  <c r="CS9" i="38"/>
  <c r="CA10" i="38"/>
  <c r="CM16" i="38"/>
  <c r="CG16" i="38"/>
  <c r="DB17" i="38"/>
  <c r="CY14" i="38"/>
  <c r="CY13" i="38"/>
  <c r="CY8" i="38"/>
  <c r="CP14" i="38"/>
  <c r="CV10" i="38"/>
  <c r="CA14" i="38"/>
  <c r="CD15" i="38"/>
  <c r="CA15" i="38"/>
  <c r="DE14" i="38"/>
  <c r="CM12" i="38"/>
  <c r="CG12" i="38"/>
  <c r="CP15" i="38"/>
  <c r="HP14" i="38"/>
  <c r="HP12" i="38"/>
  <c r="HP16" i="38"/>
  <c r="CV9" i="38"/>
  <c r="CJ10" i="38"/>
  <c r="DB14" i="38"/>
  <c r="CY9" i="38"/>
  <c r="HP8" i="38"/>
  <c r="CV12" i="38"/>
  <c r="CJ12" i="38"/>
  <c r="CS13" i="38"/>
  <c r="CA8" i="38"/>
  <c r="DF16" i="38"/>
  <c r="DF15" i="38"/>
  <c r="DF11" i="38"/>
  <c r="DF9" i="38"/>
  <c r="DF10" i="38"/>
  <c r="DF8" i="38"/>
  <c r="DF17" i="38"/>
  <c r="DF13" i="38"/>
  <c r="DF12" i="38"/>
  <c r="DF14" i="38"/>
  <c r="CD16" i="38"/>
  <c r="CD9" i="38"/>
  <c r="CA16" i="38"/>
  <c r="DE8" i="38"/>
  <c r="CM17" i="38"/>
  <c r="CG10" i="38"/>
  <c r="DB9" i="38"/>
  <c r="CY10" i="38"/>
  <c r="CV11" i="38"/>
  <c r="CJ9" i="38"/>
  <c r="CD17" i="38"/>
  <c r="CA9" i="38"/>
  <c r="DE17" i="38"/>
  <c r="CM10" i="38"/>
  <c r="CP9" i="38"/>
  <c r="CP16" i="38"/>
  <c r="CV14" i="38"/>
  <c r="CJ14" i="38"/>
  <c r="CS12" i="38"/>
  <c r="CS8" i="38"/>
  <c r="DB11" i="38"/>
  <c r="CY11" i="38"/>
  <c r="CV15" i="38"/>
  <c r="CJ11" i="38"/>
  <c r="CA17" i="38"/>
  <c r="DE12" i="38"/>
  <c r="DE9" i="38"/>
  <c r="CM9" i="38"/>
  <c r="CM14" i="38"/>
  <c r="CG9" i="38"/>
  <c r="DB8" i="38"/>
  <c r="CD14" i="38"/>
  <c r="CD13" i="38"/>
  <c r="CA12" i="38"/>
  <c r="CA11" i="38"/>
  <c r="CG14" i="38"/>
  <c r="DB10" i="38"/>
  <c r="CY16" i="38"/>
  <c r="CP10" i="38"/>
  <c r="HP11" i="38"/>
  <c r="CV13" i="38"/>
  <c r="CJ16" i="38"/>
  <c r="DG11" i="38"/>
  <c r="DG14" i="38"/>
  <c r="DG9" i="38"/>
  <c r="DG15" i="38"/>
  <c r="DG13" i="38"/>
  <c r="DG10" i="38"/>
  <c r="DG8" i="38"/>
  <c r="DG12" i="38"/>
  <c r="DG17" i="38"/>
  <c r="DG16" i="38"/>
  <c r="CD10" i="38"/>
  <c r="CA13" i="38"/>
  <c r="DE11" i="38"/>
  <c r="CG13" i="38"/>
  <c r="CG8" i="38"/>
  <c r="CG11" i="38"/>
  <c r="CY15" i="38"/>
  <c r="CP11" i="38"/>
  <c r="CJ8" i="38"/>
  <c r="CS16" i="38"/>
  <c r="CS11" i="38"/>
  <c r="C22" i="76"/>
  <c r="DE7" i="38"/>
  <c r="HP1" i="36"/>
  <c r="AP7" i="40"/>
  <c r="AP8" i="40" s="1"/>
  <c r="CS7" i="38"/>
  <c r="CG7" i="38"/>
  <c r="DB7" i="38"/>
  <c r="CY7" i="38"/>
  <c r="CV7" i="38"/>
  <c r="CA7" i="38"/>
  <c r="CD7" i="38"/>
  <c r="CJ7" i="38"/>
  <c r="CP7" i="38"/>
  <c r="CM7" i="38"/>
  <c r="DG1" i="36"/>
  <c r="DG7" i="38"/>
  <c r="DF1" i="36"/>
  <c r="DF7" i="38"/>
  <c r="DH3" i="38"/>
  <c r="DH1" i="36" s="1"/>
  <c r="DK1" i="38"/>
  <c r="DJ1" i="38"/>
  <c r="DI1" i="38"/>
  <c r="DL2" i="38"/>
  <c r="DJ3" i="38"/>
  <c r="DI3" i="38"/>
  <c r="G10" i="67"/>
  <c r="I10" i="67"/>
  <c r="AC7" i="40"/>
  <c r="AA7" i="40"/>
  <c r="AI7" i="40"/>
  <c r="AG7" i="40"/>
  <c r="AS7" i="40"/>
  <c r="AK6" i="40"/>
  <c r="DH21" i="38" l="1"/>
  <c r="DI20" i="38"/>
  <c r="DI18" i="38"/>
  <c r="DI19" i="38"/>
  <c r="DI21" i="38"/>
  <c r="DH18" i="38"/>
  <c r="DJ19" i="38"/>
  <c r="DJ18" i="38"/>
  <c r="DJ20" i="38"/>
  <c r="DJ21" i="38"/>
  <c r="DH19" i="38"/>
  <c r="DH20" i="38"/>
  <c r="AV10" i="69"/>
  <c r="BA5" i="69" s="1"/>
  <c r="AV10" i="74"/>
  <c r="BA5" i="74" s="1"/>
  <c r="AV16" i="68"/>
  <c r="BD5" i="68" s="1"/>
  <c r="AV12" i="70"/>
  <c r="BB5" i="70" s="1"/>
  <c r="AV16" i="49"/>
  <c r="BD5" i="49" s="1"/>
  <c r="AV12" i="68"/>
  <c r="BB5" i="68" s="1"/>
  <c r="AV10" i="70"/>
  <c r="BA5" i="70" s="1"/>
  <c r="AV16" i="70"/>
  <c r="BD5" i="70" s="1"/>
  <c r="AV14" i="70"/>
  <c r="BC5" i="70" s="1"/>
  <c r="AV16" i="75"/>
  <c r="BD5" i="75" s="1"/>
  <c r="AV14" i="75"/>
  <c r="BC5" i="75" s="1"/>
  <c r="AV12" i="75"/>
  <c r="BB5" i="75" s="1"/>
  <c r="AV14" i="74"/>
  <c r="BC5" i="74" s="1"/>
  <c r="AV12" i="49"/>
  <c r="BB5" i="49" s="1"/>
  <c r="AV14" i="49"/>
  <c r="BC5" i="49" s="1"/>
  <c r="AV12" i="69"/>
  <c r="AV10" i="49"/>
  <c r="AV14" i="69"/>
  <c r="AV16" i="69"/>
  <c r="AV10" i="68"/>
  <c r="AV14" i="68"/>
  <c r="AV16" i="74"/>
  <c r="AV10" i="75"/>
  <c r="AV12" i="74"/>
  <c r="AV16" i="72"/>
  <c r="AV12" i="72"/>
  <c r="AV14" i="72"/>
  <c r="AV10" i="72"/>
  <c r="DH9" i="38"/>
  <c r="DH15" i="38"/>
  <c r="DH17" i="38"/>
  <c r="DH14" i="38"/>
  <c r="DH8" i="38"/>
  <c r="DH13" i="38"/>
  <c r="DH16" i="38"/>
  <c r="DI14" i="38"/>
  <c r="DI15" i="38"/>
  <c r="DI10" i="38"/>
  <c r="DI13" i="38"/>
  <c r="DI16" i="38"/>
  <c r="DI8" i="38"/>
  <c r="DI12" i="38"/>
  <c r="DI17" i="38"/>
  <c r="DI9" i="38"/>
  <c r="DI11" i="38"/>
  <c r="DH10" i="38"/>
  <c r="DJ11" i="38"/>
  <c r="DJ16" i="38"/>
  <c r="DJ15" i="38"/>
  <c r="DJ10" i="38"/>
  <c r="DJ14" i="38"/>
  <c r="DJ12" i="38"/>
  <c r="DJ9" i="38"/>
  <c r="DJ17" i="38"/>
  <c r="DJ13" i="38"/>
  <c r="DJ8" i="38"/>
  <c r="DH11" i="38"/>
  <c r="DH12" i="38"/>
  <c r="C23" i="76"/>
  <c r="DH7" i="38"/>
  <c r="DI1" i="36"/>
  <c r="DI7" i="38"/>
  <c r="DJ1" i="36"/>
  <c r="DJ7" i="38"/>
  <c r="DK3" i="38"/>
  <c r="DK1" i="36" s="1"/>
  <c r="DL1" i="38"/>
  <c r="DN1" i="38"/>
  <c r="DO2" i="38"/>
  <c r="DM1" i="38"/>
  <c r="DM3" i="38"/>
  <c r="DL3" i="38"/>
  <c r="U10" i="67"/>
  <c r="L3" i="1" s="1"/>
  <c r="AA17" i="1" s="1"/>
  <c r="AH16" i="73" s="1"/>
  <c r="BD8" i="73" s="1"/>
  <c r="Q10" i="67"/>
  <c r="O10" i="67"/>
  <c r="AR7" i="40"/>
  <c r="AT7" i="40"/>
  <c r="DK20" i="38" l="1"/>
  <c r="DK21" i="38"/>
  <c r="DK18" i="38"/>
  <c r="DM18" i="38"/>
  <c r="DM20" i="38"/>
  <c r="DM19" i="38"/>
  <c r="DM21" i="38"/>
  <c r="DK19" i="38"/>
  <c r="DL19" i="38"/>
  <c r="DL18" i="38"/>
  <c r="DL20" i="38"/>
  <c r="DL21" i="38"/>
  <c r="AW12" i="70"/>
  <c r="AR12" i="70" s="1"/>
  <c r="AW16" i="70"/>
  <c r="AR16" i="70" s="1"/>
  <c r="BD5" i="69"/>
  <c r="BC5" i="69"/>
  <c r="BA5" i="49"/>
  <c r="BB5" i="69"/>
  <c r="AW10" i="70"/>
  <c r="AR10" i="70" s="1"/>
  <c r="BB5" i="74"/>
  <c r="BC5" i="68"/>
  <c r="AW14" i="70"/>
  <c r="AR14" i="70" s="1"/>
  <c r="BA5" i="75"/>
  <c r="BD5" i="74"/>
  <c r="BA5" i="68"/>
  <c r="BC5" i="72"/>
  <c r="BD5" i="72"/>
  <c r="BB5" i="72"/>
  <c r="BA5" i="72"/>
  <c r="DK14" i="38"/>
  <c r="DK8" i="38"/>
  <c r="DK15" i="38"/>
  <c r="DK11" i="38"/>
  <c r="DK12" i="38"/>
  <c r="DK13" i="38"/>
  <c r="DK16" i="38"/>
  <c r="DL15" i="38"/>
  <c r="DL10" i="38"/>
  <c r="DL11" i="38"/>
  <c r="DL13" i="38"/>
  <c r="DL8" i="38"/>
  <c r="DL17" i="38"/>
  <c r="DL12" i="38"/>
  <c r="DL9" i="38"/>
  <c r="DL14" i="38"/>
  <c r="DL16" i="38"/>
  <c r="DM15" i="38"/>
  <c r="DM14" i="38"/>
  <c r="DM10" i="38"/>
  <c r="DM11" i="38"/>
  <c r="DM9" i="38"/>
  <c r="DM12" i="38"/>
  <c r="DM8" i="38"/>
  <c r="DM17" i="38"/>
  <c r="DM13" i="38"/>
  <c r="DM16" i="38"/>
  <c r="DK17" i="38"/>
  <c r="DK10" i="38"/>
  <c r="DK9" i="38"/>
  <c r="DK7" i="38"/>
  <c r="DM1" i="36"/>
  <c r="DM7" i="38"/>
  <c r="DL1" i="36"/>
  <c r="DL7" i="38"/>
  <c r="DN3" i="38"/>
  <c r="DN1" i="36" s="1"/>
  <c r="DR2" i="38"/>
  <c r="DP1" i="38"/>
  <c r="DQ1" i="38"/>
  <c r="DO1" i="38"/>
  <c r="Q25" i="1"/>
  <c r="Q24" i="1"/>
  <c r="AM7" i="40" s="1"/>
  <c r="R21" i="1"/>
  <c r="B9" i="73" s="1" a="1"/>
  <c r="DN20" i="38" l="1"/>
  <c r="DN19" i="38"/>
  <c r="DN21" i="38"/>
  <c r="DN18" i="38"/>
  <c r="AW12" i="69"/>
  <c r="AR12" i="69" s="1"/>
  <c r="AX10" i="70"/>
  <c r="AW16" i="74"/>
  <c r="AR16" i="74" s="1"/>
  <c r="AW16" i="69"/>
  <c r="AR16" i="69" s="1"/>
  <c r="AW14" i="69"/>
  <c r="AR14" i="69" s="1"/>
  <c r="AW10" i="69"/>
  <c r="AR10" i="69" s="1"/>
  <c r="AW16" i="49"/>
  <c r="AR16" i="49" s="1"/>
  <c r="AW14" i="49"/>
  <c r="AR14" i="49" s="1"/>
  <c r="AW12" i="49"/>
  <c r="AR12" i="49" s="1"/>
  <c r="AW10" i="49"/>
  <c r="AR10" i="49" s="1"/>
  <c r="AW12" i="74"/>
  <c r="AR12" i="74" s="1"/>
  <c r="AX12" i="70"/>
  <c r="AW10" i="74"/>
  <c r="AR10" i="74" s="1"/>
  <c r="AW16" i="68"/>
  <c r="AR16" i="68" s="1"/>
  <c r="AW12" i="68"/>
  <c r="AR12" i="68" s="1"/>
  <c r="AW10" i="68"/>
  <c r="AR10" i="68" s="1"/>
  <c r="AW16" i="75"/>
  <c r="AR16" i="75" s="1"/>
  <c r="AW14" i="75"/>
  <c r="AR14" i="75" s="1"/>
  <c r="AW12" i="75"/>
  <c r="AR12" i="75" s="1"/>
  <c r="AW14" i="74"/>
  <c r="AR14" i="74" s="1"/>
  <c r="AX14" i="70"/>
  <c r="AW10" i="75"/>
  <c r="AR10" i="75" s="1"/>
  <c r="AW14" i="68"/>
  <c r="AR14" i="68" s="1"/>
  <c r="AX16" i="70"/>
  <c r="AW12" i="72"/>
  <c r="AR12" i="72" s="1"/>
  <c r="AW16" i="72"/>
  <c r="AR16" i="72" s="1"/>
  <c r="AW14" i="72"/>
  <c r="AR14" i="72" s="1"/>
  <c r="AW10" i="72"/>
  <c r="AR10" i="72" s="1"/>
  <c r="DN10" i="38"/>
  <c r="DN12" i="38"/>
  <c r="DN14" i="38"/>
  <c r="DN13" i="38"/>
  <c r="DN8" i="38"/>
  <c r="DN17" i="38"/>
  <c r="DN11" i="38"/>
  <c r="DN16" i="38"/>
  <c r="DN15" i="38"/>
  <c r="DN9" i="38"/>
  <c r="DN7" i="38"/>
  <c r="R20" i="73"/>
  <c r="R18" i="73"/>
  <c r="C20" i="73"/>
  <c r="D12" i="73"/>
  <c r="O14" i="73"/>
  <c r="O10" i="73"/>
  <c r="C14" i="73"/>
  <c r="C18" i="73"/>
  <c r="D20" i="73"/>
  <c r="D18" i="73"/>
  <c r="B9" i="73"/>
  <c r="D14" i="73"/>
  <c r="G18" i="73"/>
  <c r="O16" i="73"/>
  <c r="C10" i="73"/>
  <c r="R10" i="73"/>
  <c r="D10" i="73"/>
  <c r="G20" i="73"/>
  <c r="O12" i="73"/>
  <c r="G14" i="73"/>
  <c r="C12" i="73"/>
  <c r="C16" i="73"/>
  <c r="R16" i="73"/>
  <c r="G10" i="73"/>
  <c r="D16" i="73"/>
  <c r="O18" i="73"/>
  <c r="G12" i="73"/>
  <c r="R12" i="73"/>
  <c r="O20" i="73"/>
  <c r="G16" i="73"/>
  <c r="R14" i="73"/>
  <c r="DU2" i="38"/>
  <c r="DT1" i="38"/>
  <c r="DS1" i="38"/>
  <c r="DR1" i="38"/>
  <c r="AN7" i="40"/>
  <c r="AL7" i="40"/>
  <c r="U21" i="1"/>
  <c r="U26" i="1"/>
  <c r="U22" i="1"/>
  <c r="V25" i="1"/>
  <c r="V21" i="1"/>
  <c r="U25" i="1"/>
  <c r="V24" i="1"/>
  <c r="V23" i="1"/>
  <c r="V22" i="1"/>
  <c r="U23" i="1"/>
  <c r="V26" i="1"/>
  <c r="U24" i="1"/>
  <c r="AX10" i="75" l="1"/>
  <c r="AX10" i="68"/>
  <c r="AY14" i="70"/>
  <c r="AY10" i="70"/>
  <c r="AX16" i="74"/>
  <c r="AX12" i="74"/>
  <c r="AX10" i="69"/>
  <c r="AX12" i="49"/>
  <c r="AX16" i="69"/>
  <c r="AX12" i="69"/>
  <c r="AX16" i="49"/>
  <c r="AX10" i="49"/>
  <c r="AX14" i="49"/>
  <c r="AX14" i="69"/>
  <c r="AX12" i="68"/>
  <c r="AY16" i="70"/>
  <c r="AX14" i="74"/>
  <c r="AX12" i="75"/>
  <c r="AX14" i="68"/>
  <c r="AX14" i="75"/>
  <c r="AX16" i="75"/>
  <c r="AO14" i="73" a="1"/>
  <c r="AO14" i="73" s="1"/>
  <c r="AM12" i="73" a="1"/>
  <c r="AM12" i="73" s="1"/>
  <c r="AL12" i="73" a="1"/>
  <c r="AL12" i="73" s="1"/>
  <c r="AN14" i="73" a="1"/>
  <c r="AN14" i="73" s="1"/>
  <c r="AL10" i="73" a="1"/>
  <c r="AL10" i="73" s="1"/>
  <c r="AN12" i="73" a="1"/>
  <c r="AN12" i="73" s="1"/>
  <c r="BA12" i="73" a="1"/>
  <c r="BA12" i="73" s="1"/>
  <c r="BA16" i="73" a="1"/>
  <c r="BA16" i="73" s="1"/>
  <c r="BA14" i="73" a="1"/>
  <c r="BA14" i="73" s="1"/>
  <c r="AO10" i="73" a="1"/>
  <c r="AO10" i="73" s="1"/>
  <c r="AL14" i="73" a="1"/>
  <c r="AL14" i="73" s="1"/>
  <c r="AK10" i="73" a="1"/>
  <c r="AK10" i="73" s="1"/>
  <c r="AM14" i="73" a="1"/>
  <c r="AM14" i="73" s="1"/>
  <c r="AK14" i="73" a="1"/>
  <c r="AK14" i="73" s="1"/>
  <c r="AN16" i="73" a="1"/>
  <c r="AN16" i="73" s="1"/>
  <c r="AM10" i="73" a="1"/>
  <c r="AM10" i="73" s="1"/>
  <c r="AM16" i="73" a="1"/>
  <c r="AM16" i="73" s="1"/>
  <c r="BC16" i="73" a="1"/>
  <c r="BC16" i="73" s="1"/>
  <c r="AO16" i="73" a="1"/>
  <c r="AO16" i="73" s="1"/>
  <c r="AO12" i="73" a="1"/>
  <c r="AO12" i="73" s="1"/>
  <c r="AK12" i="73" a="1"/>
  <c r="AK12" i="73" s="1"/>
  <c r="AK16" i="73" a="1"/>
  <c r="AK16" i="73" s="1"/>
  <c r="BA10" i="73" a="1"/>
  <c r="BA10" i="73" s="1"/>
  <c r="AN10" i="73" a="1"/>
  <c r="AN10" i="73" s="1"/>
  <c r="BD16" i="73" a="1"/>
  <c r="BD16" i="73" s="1"/>
  <c r="AL16" i="73" a="1"/>
  <c r="AL16" i="73" s="1"/>
  <c r="BB12" i="73" a="1"/>
  <c r="BB12" i="73" s="1"/>
  <c r="BD12" i="73" a="1"/>
  <c r="BD12" i="73" s="1"/>
  <c r="BB14" i="73" a="1"/>
  <c r="BB14" i="73" s="1"/>
  <c r="BB16" i="73" a="1"/>
  <c r="BB16" i="73" s="1"/>
  <c r="BD10" i="73" a="1"/>
  <c r="BD10" i="73" s="1"/>
  <c r="BC10" i="73" a="1"/>
  <c r="BC10" i="73" s="1"/>
  <c r="BC12" i="73" a="1"/>
  <c r="BC12" i="73" s="1"/>
  <c r="BC14" i="73" a="1"/>
  <c r="BC14" i="73" s="1"/>
  <c r="BD14" i="73" a="1"/>
  <c r="BD14" i="73" s="1"/>
  <c r="BB10" i="73" a="1"/>
  <c r="BB10" i="73" s="1"/>
  <c r="AX16" i="68"/>
  <c r="AX10" i="74"/>
  <c r="AY12" i="70"/>
  <c r="AX10" i="72"/>
  <c r="AX12" i="72"/>
  <c r="AX14" i="72"/>
  <c r="AX16" i="72"/>
  <c r="O9" i="40"/>
  <c r="U9" i="40"/>
  <c r="AK9" i="40"/>
  <c r="AQ9" i="40"/>
  <c r="P14" i="73"/>
  <c r="N14" i="73"/>
  <c r="H16" i="73"/>
  <c r="F16" i="73"/>
  <c r="P16" i="73"/>
  <c r="N16" i="73"/>
  <c r="P20" i="73"/>
  <c r="N20" i="73"/>
  <c r="F12" i="73"/>
  <c r="H12" i="73"/>
  <c r="F14" i="73"/>
  <c r="H14" i="73"/>
  <c r="H18" i="73"/>
  <c r="F18" i="73"/>
  <c r="P18" i="73"/>
  <c r="N18" i="73"/>
  <c r="H10" i="73"/>
  <c r="F10" i="73"/>
  <c r="P10" i="73"/>
  <c r="N10" i="73"/>
  <c r="P12" i="73"/>
  <c r="N12" i="73"/>
  <c r="H20" i="73"/>
  <c r="F20" i="73"/>
  <c r="DU1" i="38"/>
  <c r="DX2" i="38"/>
  <c r="DV1" i="38"/>
  <c r="DW1" i="38"/>
  <c r="DV3" i="38"/>
  <c r="DU3" i="38"/>
  <c r="BT3" i="38"/>
  <c r="T3" i="38"/>
  <c r="BQ3" i="38"/>
  <c r="BS3" i="38"/>
  <c r="DS3" i="38"/>
  <c r="DO3" i="38"/>
  <c r="DP3" i="38"/>
  <c r="Z3" i="38"/>
  <c r="U3" i="38"/>
  <c r="AA3" i="38"/>
  <c r="DR3" i="38"/>
  <c r="BP3" i="38"/>
  <c r="U20" i="38" l="1"/>
  <c r="U18" i="38"/>
  <c r="U21" i="38"/>
  <c r="U19" i="38"/>
  <c r="DP18" i="38"/>
  <c r="DP19" i="38"/>
  <c r="DP20" i="38"/>
  <c r="DP21" i="38"/>
  <c r="DR18" i="38"/>
  <c r="DR19" i="38"/>
  <c r="DR21" i="38"/>
  <c r="DR20" i="38"/>
  <c r="DO18" i="38"/>
  <c r="DO20" i="38"/>
  <c r="DO21" i="38"/>
  <c r="DO19" i="38"/>
  <c r="BS18" i="38"/>
  <c r="BS20" i="38"/>
  <c r="BS21" i="38"/>
  <c r="BS19" i="38"/>
  <c r="AA18" i="38"/>
  <c r="AA20" i="38"/>
  <c r="AA19" i="38"/>
  <c r="AA21" i="38"/>
  <c r="BQ20" i="38"/>
  <c r="BQ18" i="38"/>
  <c r="BQ19" i="38"/>
  <c r="BQ21" i="38"/>
  <c r="DS20" i="38"/>
  <c r="DS18" i="38"/>
  <c r="DS21" i="38"/>
  <c r="DS19" i="38"/>
  <c r="BP19" i="38"/>
  <c r="BP20" i="38"/>
  <c r="BP21" i="38"/>
  <c r="BP18" i="38"/>
  <c r="T19" i="38"/>
  <c r="T21" i="38"/>
  <c r="T18" i="38"/>
  <c r="T20" i="38"/>
  <c r="DU18" i="38"/>
  <c r="DU20" i="38"/>
  <c r="DU19" i="38"/>
  <c r="DU21" i="38"/>
  <c r="Z18" i="38"/>
  <c r="Z19" i="38"/>
  <c r="Z21" i="38"/>
  <c r="Z20" i="38"/>
  <c r="BT19" i="38"/>
  <c r="BT18" i="38"/>
  <c r="BT20" i="38"/>
  <c r="BT21" i="38"/>
  <c r="DV18" i="38"/>
  <c r="DV20" i="38"/>
  <c r="DV19" i="38"/>
  <c r="DV21" i="38"/>
  <c r="AY16" i="75"/>
  <c r="AY10" i="68"/>
  <c r="AY12" i="68"/>
  <c r="AP10" i="73"/>
  <c r="AY12" i="69"/>
  <c r="T16" i="70"/>
  <c r="W16" i="70" s="1"/>
  <c r="T14" i="70"/>
  <c r="AB14" i="70" s="1"/>
  <c r="T12" i="70"/>
  <c r="AB12" i="70" s="1"/>
  <c r="T10" i="70"/>
  <c r="Z10" i="70" s="1"/>
  <c r="AY12" i="75"/>
  <c r="AY14" i="74"/>
  <c r="AY14" i="49"/>
  <c r="AY10" i="49"/>
  <c r="AY12" i="49"/>
  <c r="AY16" i="69"/>
  <c r="AY10" i="69"/>
  <c r="AY16" i="49"/>
  <c r="AY14" i="69"/>
  <c r="AY16" i="68"/>
  <c r="AJ12" i="73"/>
  <c r="AI12" i="73"/>
  <c r="AP14" i="73"/>
  <c r="AP16" i="73"/>
  <c r="AJ14" i="73"/>
  <c r="AI14" i="73"/>
  <c r="AY14" i="75"/>
  <c r="AY14" i="68"/>
  <c r="AI10" i="73"/>
  <c r="AJ10" i="73"/>
  <c r="AY10" i="75"/>
  <c r="AY12" i="74"/>
  <c r="AY10" i="74"/>
  <c r="AJ16" i="73"/>
  <c r="AI16" i="73"/>
  <c r="AP12" i="73"/>
  <c r="AY16" i="74"/>
  <c r="AY10" i="72"/>
  <c r="AY16" i="72"/>
  <c r="AY12" i="72"/>
  <c r="AY14" i="72"/>
  <c r="DO15" i="38"/>
  <c r="DO10" i="38"/>
  <c r="DO16" i="38"/>
  <c r="DO11" i="38"/>
  <c r="DO9" i="38"/>
  <c r="DO8" i="38"/>
  <c r="DO17" i="38"/>
  <c r="DO13" i="38"/>
  <c r="DO14" i="38"/>
  <c r="DO12" i="38"/>
  <c r="DU15" i="38"/>
  <c r="DU14" i="38"/>
  <c r="DU8" i="38"/>
  <c r="DU10" i="38"/>
  <c r="DU9" i="38"/>
  <c r="DU12" i="38"/>
  <c r="DU13" i="38"/>
  <c r="DU11" i="38"/>
  <c r="DU16" i="38"/>
  <c r="DU17" i="38"/>
  <c r="BQ11" i="38"/>
  <c r="BQ9" i="38"/>
  <c r="BQ12" i="38"/>
  <c r="BQ16" i="38"/>
  <c r="BQ10" i="38"/>
  <c r="BQ13" i="38"/>
  <c r="BQ8" i="38"/>
  <c r="BQ17" i="38"/>
  <c r="BQ14" i="38"/>
  <c r="BQ15" i="38"/>
  <c r="BT15" i="38"/>
  <c r="BT16" i="38"/>
  <c r="BT11" i="38"/>
  <c r="BT9" i="38"/>
  <c r="BT13" i="38"/>
  <c r="BT14" i="38"/>
  <c r="BT12" i="38"/>
  <c r="BT17" i="38"/>
  <c r="BT8" i="38"/>
  <c r="BT10" i="38"/>
  <c r="U15" i="38"/>
  <c r="U11" i="38"/>
  <c r="U10" i="38"/>
  <c r="U9" i="38"/>
  <c r="U12" i="38"/>
  <c r="U14" i="38"/>
  <c r="U13" i="38"/>
  <c r="U8" i="38"/>
  <c r="U17" i="38"/>
  <c r="U16" i="38"/>
  <c r="DS15" i="38"/>
  <c r="DS11" i="38"/>
  <c r="DS9" i="38"/>
  <c r="DS10" i="38"/>
  <c r="DS8" i="38"/>
  <c r="DS13" i="38"/>
  <c r="DS12" i="38"/>
  <c r="DS14" i="38"/>
  <c r="DS17" i="38"/>
  <c r="DS16" i="38"/>
  <c r="DR16" i="38"/>
  <c r="DR11" i="38"/>
  <c r="DR9" i="38"/>
  <c r="DR8" i="38"/>
  <c r="DR17" i="38"/>
  <c r="DR15" i="38"/>
  <c r="DR12" i="38"/>
  <c r="DR13" i="38"/>
  <c r="DR10" i="38"/>
  <c r="DR14" i="38"/>
  <c r="AA14" i="38"/>
  <c r="AA15" i="38"/>
  <c r="AA11" i="38"/>
  <c r="AA10" i="38"/>
  <c r="AA9" i="38"/>
  <c r="AA13" i="38"/>
  <c r="AA8" i="38"/>
  <c r="AA17" i="38"/>
  <c r="AA16" i="38"/>
  <c r="AA12" i="38"/>
  <c r="Z16" i="38"/>
  <c r="Z14" i="38"/>
  <c r="Z11" i="38"/>
  <c r="Z10" i="38"/>
  <c r="Z9" i="38"/>
  <c r="Z15" i="38"/>
  <c r="Z13" i="38"/>
  <c r="Z8" i="38"/>
  <c r="Z17" i="38"/>
  <c r="Z12" i="38"/>
  <c r="BS15" i="38"/>
  <c r="BS16" i="38"/>
  <c r="BS11" i="38"/>
  <c r="BS9" i="38"/>
  <c r="BS10" i="38"/>
  <c r="BS14" i="38"/>
  <c r="BS12" i="38"/>
  <c r="BS8" i="38"/>
  <c r="BS17" i="38"/>
  <c r="BS13" i="38"/>
  <c r="T15" i="38"/>
  <c r="T14" i="38"/>
  <c r="T11" i="38"/>
  <c r="T10" i="38"/>
  <c r="T13" i="38"/>
  <c r="T9" i="38"/>
  <c r="T17" i="38"/>
  <c r="T12" i="38"/>
  <c r="T8" i="38"/>
  <c r="T16" i="38"/>
  <c r="BP10" i="38"/>
  <c r="BP11" i="38"/>
  <c r="BP16" i="38"/>
  <c r="BP12" i="38"/>
  <c r="BP8" i="38"/>
  <c r="BP9" i="38"/>
  <c r="BP13" i="38"/>
  <c r="BP17" i="38"/>
  <c r="BP14" i="38"/>
  <c r="BP15" i="38"/>
  <c r="DV15" i="38"/>
  <c r="DV16" i="38"/>
  <c r="DV14" i="38"/>
  <c r="DV12" i="38"/>
  <c r="DV10" i="38"/>
  <c r="DV8" i="38"/>
  <c r="DV9" i="38"/>
  <c r="DV13" i="38"/>
  <c r="DV17" i="38"/>
  <c r="DV11" i="38"/>
  <c r="DP16" i="38"/>
  <c r="DP11" i="38"/>
  <c r="DP9" i="38"/>
  <c r="DP12" i="38"/>
  <c r="DP13" i="38"/>
  <c r="DP10" i="38"/>
  <c r="DP8" i="38"/>
  <c r="DP17" i="38"/>
  <c r="DP14" i="38"/>
  <c r="DP15" i="38"/>
  <c r="T9" i="40"/>
  <c r="AP9" i="40"/>
  <c r="AA1" i="36"/>
  <c r="BQ1" i="36"/>
  <c r="U1" i="36"/>
  <c r="BT1" i="36"/>
  <c r="BP1" i="36"/>
  <c r="BS1" i="36"/>
  <c r="T1" i="36"/>
  <c r="Z1" i="36"/>
  <c r="DV1" i="36"/>
  <c r="DV7" i="38"/>
  <c r="DR1" i="36"/>
  <c r="DR7" i="38"/>
  <c r="DP1" i="36"/>
  <c r="DP7" i="38"/>
  <c r="DO1" i="36"/>
  <c r="DO7" i="38"/>
  <c r="DS1" i="36"/>
  <c r="DS7" i="38"/>
  <c r="DU1" i="36"/>
  <c r="DU7" i="38"/>
  <c r="DW3" i="38"/>
  <c r="DW1" i="36" s="1"/>
  <c r="DX1" i="38"/>
  <c r="EA2" i="38"/>
  <c r="DY1" i="38"/>
  <c r="DZ1" i="38"/>
  <c r="DY3" i="38"/>
  <c r="DX3" i="38"/>
  <c r="DT3" i="38"/>
  <c r="DT1" i="36" s="1"/>
  <c r="DQ3" i="38"/>
  <c r="DQ1" i="36" s="1"/>
  <c r="FG3" i="38" a="1"/>
  <c r="H19" i="63" a="1"/>
  <c r="P31" i="63" a="1"/>
  <c r="EY3" i="38" a="1"/>
  <c r="DW18" i="38" l="1"/>
  <c r="DT21" i="38"/>
  <c r="DW21" i="38"/>
  <c r="DT19" i="38"/>
  <c r="DT18" i="38"/>
  <c r="DT20" i="38"/>
  <c r="DW20" i="38"/>
  <c r="DQ20" i="38"/>
  <c r="DQ21" i="38"/>
  <c r="DY20" i="38"/>
  <c r="DY18" i="38"/>
  <c r="DY21" i="38"/>
  <c r="DY19" i="38"/>
  <c r="DW19" i="38"/>
  <c r="DX20" i="38"/>
  <c r="DX21" i="38"/>
  <c r="DX18" i="38"/>
  <c r="DX19" i="38"/>
  <c r="DQ19" i="38"/>
  <c r="DQ18" i="38"/>
  <c r="AB10" i="70"/>
  <c r="X10" i="70"/>
  <c r="AA14" i="70"/>
  <c r="AC14" i="70" s="1"/>
  <c r="Y12" i="70"/>
  <c r="Z12" i="70"/>
  <c r="U14" i="70"/>
  <c r="T14" i="68"/>
  <c r="X14" i="68" s="1"/>
  <c r="T10" i="68"/>
  <c r="W10" i="68" s="1"/>
  <c r="T12" i="68"/>
  <c r="T16" i="68"/>
  <c r="U16" i="68" s="1"/>
  <c r="U16" i="70"/>
  <c r="AB16" i="70"/>
  <c r="AA10" i="70"/>
  <c r="U10" i="70"/>
  <c r="AA12" i="70"/>
  <c r="AC12" i="70" s="1"/>
  <c r="X16" i="70"/>
  <c r="U12" i="70"/>
  <c r="W12" i="70"/>
  <c r="Y14" i="70"/>
  <c r="X12" i="70"/>
  <c r="X14" i="70"/>
  <c r="Y16" i="70"/>
  <c r="Z14" i="70"/>
  <c r="AA16" i="70"/>
  <c r="Z16" i="70"/>
  <c r="W10" i="70"/>
  <c r="Y10" i="70"/>
  <c r="EY3" i="38"/>
  <c r="H19" i="63"/>
  <c r="G19" i="63" s="1"/>
  <c r="FG3" i="38"/>
  <c r="P31" i="63"/>
  <c r="Q31" i="63" s="1"/>
  <c r="W14" i="70"/>
  <c r="T10" i="75"/>
  <c r="T16" i="75"/>
  <c r="T12" i="75"/>
  <c r="T14" i="75"/>
  <c r="T14" i="74"/>
  <c r="T16" i="74"/>
  <c r="T12" i="74"/>
  <c r="T10" i="74"/>
  <c r="T14" i="69"/>
  <c r="T12" i="69"/>
  <c r="T10" i="69"/>
  <c r="T16" i="69"/>
  <c r="T16" i="49"/>
  <c r="T14" i="49"/>
  <c r="T12" i="49"/>
  <c r="T10" i="49"/>
  <c r="AU12" i="73"/>
  <c r="BB6" i="73" s="1"/>
  <c r="AU16" i="73"/>
  <c r="BD6" i="73" s="1"/>
  <c r="AU10" i="73"/>
  <c r="BA6" i="73" s="1"/>
  <c r="AU14" i="73"/>
  <c r="BC6" i="73" s="1"/>
  <c r="T12" i="72"/>
  <c r="T14" i="72"/>
  <c r="T10" i="72"/>
  <c r="T16" i="72"/>
  <c r="DW9" i="38"/>
  <c r="DT11" i="38"/>
  <c r="DT9" i="38"/>
  <c r="DW12" i="38"/>
  <c r="DW15" i="38"/>
  <c r="DT16" i="38"/>
  <c r="DQ13" i="38"/>
  <c r="DQ10" i="38"/>
  <c r="DT15" i="38"/>
  <c r="DQ14" i="38"/>
  <c r="DX16" i="38"/>
  <c r="DX15" i="38"/>
  <c r="DX11" i="38"/>
  <c r="DX10" i="38"/>
  <c r="DX14" i="38"/>
  <c r="DX9" i="38"/>
  <c r="DX13" i="38"/>
  <c r="DX17" i="38"/>
  <c r="DX8" i="38"/>
  <c r="DX12" i="38"/>
  <c r="DT10" i="38"/>
  <c r="DW13" i="38"/>
  <c r="DQ17" i="38"/>
  <c r="DT14" i="38"/>
  <c r="DT8" i="38"/>
  <c r="DW14" i="38"/>
  <c r="DQ16" i="38"/>
  <c r="DT13" i="38"/>
  <c r="DW17" i="38"/>
  <c r="DW10" i="38"/>
  <c r="DQ8" i="38"/>
  <c r="DQ15" i="38"/>
  <c r="DY16" i="38"/>
  <c r="DY14" i="38"/>
  <c r="DY15" i="38"/>
  <c r="DY11" i="38"/>
  <c r="DY10" i="38"/>
  <c r="DY9" i="38"/>
  <c r="DY8" i="38"/>
  <c r="DY12" i="38"/>
  <c r="DY13" i="38"/>
  <c r="DY17" i="38"/>
  <c r="DT12" i="38"/>
  <c r="DT17" i="38"/>
  <c r="DW8" i="38"/>
  <c r="DQ12" i="38"/>
  <c r="DW11" i="38"/>
  <c r="DW16" i="38"/>
  <c r="DQ9" i="38"/>
  <c r="DQ11" i="38"/>
  <c r="DT7" i="38"/>
  <c r="DW7" i="38"/>
  <c r="DQ7" i="38"/>
  <c r="DY1" i="36"/>
  <c r="DY7" i="38"/>
  <c r="DX1" i="36"/>
  <c r="DX7" i="38"/>
  <c r="DZ3" i="38"/>
  <c r="DZ1" i="36" s="1"/>
  <c r="EC1" i="38"/>
  <c r="ED2" i="38"/>
  <c r="EA1" i="38"/>
  <c r="EB1" i="38"/>
  <c r="EB3" i="38"/>
  <c r="EA3" i="38"/>
  <c r="H16" i="63" a="1"/>
  <c r="FH3" i="38" a="1"/>
  <c r="FB3" i="38" a="1"/>
  <c r="P16" i="63" a="1"/>
  <c r="H10" i="63" a="1"/>
  <c r="P25" i="63" a="1"/>
  <c r="H22" i="63" a="1"/>
  <c r="P19" i="63" a="1"/>
  <c r="EW3" i="38" a="1"/>
  <c r="ES3" i="38" a="1"/>
  <c r="FC3" i="38" a="1"/>
  <c r="H31" i="63" a="1"/>
  <c r="P28" i="63" a="1"/>
  <c r="H13" i="63" a="1"/>
  <c r="FA3" i="38" a="1"/>
  <c r="ET3" i="38" a="1"/>
  <c r="EX3" i="38" a="1"/>
  <c r="EU3" i="38" a="1"/>
  <c r="FE3" i="38" a="1"/>
  <c r="H28" i="63" a="1"/>
  <c r="EZ3" i="38" a="1"/>
  <c r="FF3" i="38" a="1"/>
  <c r="P22" i="63" a="1"/>
  <c r="P10" i="63" a="1"/>
  <c r="DZ19" i="38" l="1"/>
  <c r="DZ20" i="38"/>
  <c r="EA18" i="38"/>
  <c r="EA19" i="38"/>
  <c r="EA20" i="38"/>
  <c r="EA21" i="38"/>
  <c r="EB18" i="38"/>
  <c r="EB19" i="38"/>
  <c r="EB20" i="38"/>
  <c r="EB21" i="38"/>
  <c r="FG19" i="38"/>
  <c r="FG18" i="38"/>
  <c r="FG20" i="38"/>
  <c r="FG21" i="38"/>
  <c r="DZ21" i="38"/>
  <c r="EY20" i="38"/>
  <c r="EY18" i="38"/>
  <c r="EY21" i="38"/>
  <c r="EY19" i="38"/>
  <c r="DZ18" i="38"/>
  <c r="AC10" i="70"/>
  <c r="AC16" i="70"/>
  <c r="FH3" i="38"/>
  <c r="EZ3" i="38"/>
  <c r="Y12" i="68"/>
  <c r="AB10" i="68"/>
  <c r="Z12" i="68"/>
  <c r="U10" i="68"/>
  <c r="W12" i="68"/>
  <c r="U12" i="68"/>
  <c r="Z14" i="68"/>
  <c r="W14" i="68"/>
  <c r="Y14" i="68"/>
  <c r="AA14" i="68"/>
  <c r="AA12" i="68"/>
  <c r="AB12" i="68"/>
  <c r="U14" i="68"/>
  <c r="AB14" i="68"/>
  <c r="FG10" i="38"/>
  <c r="FG8" i="38"/>
  <c r="Z10" i="68"/>
  <c r="X12" i="68"/>
  <c r="P19" i="63"/>
  <c r="U19" i="63" s="1"/>
  <c r="P13" i="64" s="1"/>
  <c r="O13" i="64" s="1"/>
  <c r="H31" i="63"/>
  <c r="U31" i="63" s="1"/>
  <c r="P19" i="64" s="1"/>
  <c r="Q19" i="64" s="1"/>
  <c r="X10" i="68"/>
  <c r="Y10" i="68"/>
  <c r="AA10" i="68"/>
  <c r="FG7" i="38"/>
  <c r="Y16" i="68"/>
  <c r="Z16" i="68"/>
  <c r="AB16" i="68"/>
  <c r="AA16" i="68"/>
  <c r="X16" i="68"/>
  <c r="W16" i="68"/>
  <c r="FG14" i="38"/>
  <c r="FG15" i="38"/>
  <c r="FG16" i="38"/>
  <c r="FG13" i="38"/>
  <c r="EY11" i="38"/>
  <c r="FG17" i="38"/>
  <c r="FG11" i="38"/>
  <c r="O31" i="63"/>
  <c r="EY10" i="38"/>
  <c r="EY8" i="38"/>
  <c r="EY1" i="36"/>
  <c r="EY7" i="38"/>
  <c r="EY12" i="38"/>
  <c r="EY14" i="38"/>
  <c r="I19" i="63"/>
  <c r="EY17" i="38"/>
  <c r="EY13" i="38"/>
  <c r="EY15" i="38"/>
  <c r="EY9" i="38"/>
  <c r="FG9" i="38"/>
  <c r="FG1" i="36"/>
  <c r="FG12" i="38"/>
  <c r="EY16" i="38"/>
  <c r="P16" i="63"/>
  <c r="FF3" i="38"/>
  <c r="H28" i="63"/>
  <c r="EX3" i="38"/>
  <c r="U14" i="75"/>
  <c r="Z14" i="75"/>
  <c r="Y14" i="75"/>
  <c r="AB14" i="75"/>
  <c r="AA14" i="75"/>
  <c r="W14" i="75"/>
  <c r="X14" i="75"/>
  <c r="Z12" i="75"/>
  <c r="Y12" i="75"/>
  <c r="X12" i="75"/>
  <c r="AA12" i="75"/>
  <c r="W12" i="75"/>
  <c r="U12" i="75"/>
  <c r="AB12" i="75"/>
  <c r="AB16" i="75"/>
  <c r="AA16" i="75"/>
  <c r="Z16" i="75"/>
  <c r="Y16" i="75"/>
  <c r="X16" i="75"/>
  <c r="U16" i="75"/>
  <c r="W16" i="75"/>
  <c r="Y10" i="75"/>
  <c r="X10" i="75"/>
  <c r="U10" i="75"/>
  <c r="W10" i="75"/>
  <c r="AB10" i="75"/>
  <c r="AA10" i="75"/>
  <c r="Z10" i="75"/>
  <c r="H16" i="63"/>
  <c r="EW3" i="38"/>
  <c r="P28" i="63"/>
  <c r="FE3" i="38"/>
  <c r="AB10" i="74"/>
  <c r="U10" i="74"/>
  <c r="Y10" i="74"/>
  <c r="Z10" i="74"/>
  <c r="X10" i="74"/>
  <c r="W10" i="74"/>
  <c r="AA10" i="74"/>
  <c r="U12" i="74"/>
  <c r="Y12" i="74"/>
  <c r="X12" i="74"/>
  <c r="AB12" i="74"/>
  <c r="AA12" i="74"/>
  <c r="Z12" i="74"/>
  <c r="W12" i="74"/>
  <c r="U16" i="74"/>
  <c r="X16" i="74"/>
  <c r="AA16" i="74"/>
  <c r="Y16" i="74"/>
  <c r="W16" i="74"/>
  <c r="Z16" i="74"/>
  <c r="AB16" i="74"/>
  <c r="Y14" i="74"/>
  <c r="Z14" i="74"/>
  <c r="AB14" i="74"/>
  <c r="AA14" i="74"/>
  <c r="W14" i="74"/>
  <c r="X14" i="74"/>
  <c r="U14" i="74"/>
  <c r="AV16" i="73"/>
  <c r="BD5" i="73" s="1"/>
  <c r="ET3" i="38"/>
  <c r="H22" i="63"/>
  <c r="FB3" i="38"/>
  <c r="P10" i="63"/>
  <c r="Z16" i="69"/>
  <c r="AB16" i="69"/>
  <c r="Y16" i="69"/>
  <c r="U16" i="69"/>
  <c r="W16" i="69"/>
  <c r="X16" i="69"/>
  <c r="AA16" i="69"/>
  <c r="Z10" i="69"/>
  <c r="Y10" i="69"/>
  <c r="X10" i="69"/>
  <c r="AA10" i="69"/>
  <c r="W10" i="69"/>
  <c r="U10" i="69"/>
  <c r="AB10" i="69"/>
  <c r="AB12" i="69"/>
  <c r="Y12" i="69"/>
  <c r="AA12" i="69"/>
  <c r="Z12" i="69"/>
  <c r="W12" i="69"/>
  <c r="X12" i="69"/>
  <c r="U12" i="69"/>
  <c r="AA14" i="69"/>
  <c r="X14" i="69"/>
  <c r="U14" i="69"/>
  <c r="AB14" i="69"/>
  <c r="Z14" i="69"/>
  <c r="Y14" i="69"/>
  <c r="W14" i="69"/>
  <c r="ES3" i="38"/>
  <c r="H10" i="63"/>
  <c r="P22" i="63"/>
  <c r="FA3" i="38"/>
  <c r="X10" i="49"/>
  <c r="W10" i="49"/>
  <c r="Y10" i="49"/>
  <c r="AA10" i="49"/>
  <c r="Z10" i="49"/>
  <c r="AB10" i="49"/>
  <c r="U10" i="49"/>
  <c r="U12" i="49"/>
  <c r="AB12" i="49"/>
  <c r="AA12" i="49"/>
  <c r="Z12" i="49"/>
  <c r="Y12" i="49"/>
  <c r="X12" i="49"/>
  <c r="W12" i="49"/>
  <c r="Z14" i="49"/>
  <c r="W14" i="49"/>
  <c r="X14" i="49"/>
  <c r="U14" i="49"/>
  <c r="AB14" i="49"/>
  <c r="AA14" i="49"/>
  <c r="Y14" i="49"/>
  <c r="AB16" i="49"/>
  <c r="AA16" i="49"/>
  <c r="Z16" i="49"/>
  <c r="Y16" i="49"/>
  <c r="X16" i="49"/>
  <c r="U16" i="49"/>
  <c r="W16" i="49"/>
  <c r="AV12" i="73"/>
  <c r="AV14" i="73"/>
  <c r="AV10" i="73"/>
  <c r="EU3" i="38"/>
  <c r="H13" i="63"/>
  <c r="P25" i="63"/>
  <c r="FC3" i="38"/>
  <c r="Z16" i="72"/>
  <c r="AB16" i="72"/>
  <c r="W16" i="72"/>
  <c r="X16" i="72"/>
  <c r="U16" i="72"/>
  <c r="AA16" i="72"/>
  <c r="Y16" i="72"/>
  <c r="Y10" i="72"/>
  <c r="AA10" i="72"/>
  <c r="W10" i="72"/>
  <c r="U10" i="72"/>
  <c r="AB10" i="72"/>
  <c r="Z10" i="72"/>
  <c r="X10" i="72"/>
  <c r="Z14" i="72"/>
  <c r="W14" i="72"/>
  <c r="U14" i="72"/>
  <c r="X14" i="72"/>
  <c r="AB14" i="72"/>
  <c r="AA14" i="72"/>
  <c r="Y14" i="72"/>
  <c r="W12" i="72"/>
  <c r="U12" i="72"/>
  <c r="X12" i="72"/>
  <c r="Y12" i="72"/>
  <c r="Z12" i="72"/>
  <c r="AA12" i="72"/>
  <c r="AB12" i="72"/>
  <c r="DZ16" i="38"/>
  <c r="DZ14" i="38"/>
  <c r="DZ9" i="38"/>
  <c r="DZ15" i="38"/>
  <c r="EA11" i="38"/>
  <c r="EA15" i="38"/>
  <c r="EA10" i="38"/>
  <c r="EA9" i="38"/>
  <c r="EA13" i="38"/>
  <c r="EA17" i="38"/>
  <c r="EA14" i="38"/>
  <c r="EA16" i="38"/>
  <c r="EA8" i="38"/>
  <c r="EA12" i="38"/>
  <c r="DZ17" i="38"/>
  <c r="DZ13" i="38"/>
  <c r="EB15" i="38"/>
  <c r="EB9" i="38"/>
  <c r="EB11" i="38"/>
  <c r="EB12" i="38"/>
  <c r="EB10" i="38"/>
  <c r="EB8" i="38"/>
  <c r="EB17" i="38"/>
  <c r="EB14" i="38"/>
  <c r="EB13" i="38"/>
  <c r="EB16" i="38"/>
  <c r="DZ10" i="38"/>
  <c r="DZ8" i="38"/>
  <c r="DZ11" i="38"/>
  <c r="DZ12" i="38"/>
  <c r="DZ7" i="38"/>
  <c r="EB1" i="36"/>
  <c r="EB7" i="38"/>
  <c r="EA1" i="36"/>
  <c r="EA7" i="38"/>
  <c r="EC3" i="38"/>
  <c r="EC1" i="36" s="1"/>
  <c r="ED1" i="38"/>
  <c r="EF1" i="38"/>
  <c r="EG2" i="38"/>
  <c r="EE1" i="38"/>
  <c r="EE3" i="38"/>
  <c r="ED3" i="38"/>
  <c r="FL3" i="38" a="1"/>
  <c r="FP3" i="38" a="1"/>
  <c r="EZ20" i="38" l="1"/>
  <c r="EZ21" i="38"/>
  <c r="EZ18" i="38"/>
  <c r="EZ19" i="38"/>
  <c r="FH19" i="38"/>
  <c r="FH18" i="38"/>
  <c r="FH20" i="38"/>
  <c r="FH21" i="38"/>
  <c r="EC21" i="38"/>
  <c r="FC20" i="38"/>
  <c r="FC21" i="38"/>
  <c r="FC18" i="38"/>
  <c r="FC19" i="38"/>
  <c r="EC19" i="38"/>
  <c r="EE20" i="38"/>
  <c r="EE18" i="38"/>
  <c r="EE21" i="38"/>
  <c r="EE19" i="38"/>
  <c r="EU18" i="38"/>
  <c r="EU20" i="38"/>
  <c r="EU21" i="38"/>
  <c r="EU19" i="38"/>
  <c r="FA18" i="38"/>
  <c r="FA20" i="38"/>
  <c r="FA21" i="38"/>
  <c r="FA19" i="38"/>
  <c r="ED18" i="38"/>
  <c r="ED21" i="38"/>
  <c r="ED19" i="38"/>
  <c r="ED20" i="38"/>
  <c r="FB20" i="38"/>
  <c r="FB21" i="38"/>
  <c r="FB19" i="38"/>
  <c r="FB18" i="38"/>
  <c r="FE20" i="38"/>
  <c r="FE18" i="38"/>
  <c r="FE21" i="38"/>
  <c r="FE19" i="38"/>
  <c r="EX18" i="38"/>
  <c r="EX19" i="38"/>
  <c r="EX21" i="38"/>
  <c r="EX20" i="38"/>
  <c r="EC18" i="38"/>
  <c r="ES20" i="38"/>
  <c r="ES18" i="38"/>
  <c r="ES19" i="38"/>
  <c r="ES21" i="38"/>
  <c r="ET18" i="38"/>
  <c r="ET19" i="38"/>
  <c r="ET21" i="38"/>
  <c r="ET20" i="38"/>
  <c r="EW18" i="38"/>
  <c r="EW19" i="38"/>
  <c r="EW20" i="38"/>
  <c r="EW21" i="38"/>
  <c r="FF19" i="38"/>
  <c r="FF20" i="38"/>
  <c r="FF18" i="38"/>
  <c r="FF21" i="38"/>
  <c r="EC20" i="38"/>
  <c r="AC14" i="75"/>
  <c r="AC12" i="75"/>
  <c r="AC12" i="69"/>
  <c r="AC14" i="68"/>
  <c r="AC12" i="68"/>
  <c r="AC10" i="68"/>
  <c r="FH10" i="38"/>
  <c r="FH7" i="38"/>
  <c r="FH17" i="38"/>
  <c r="EZ11" i="38"/>
  <c r="FH16" i="38"/>
  <c r="EZ7" i="38"/>
  <c r="EZ17" i="38"/>
  <c r="EZ10" i="38"/>
  <c r="EZ13" i="38"/>
  <c r="EZ14" i="38"/>
  <c r="FH1" i="36"/>
  <c r="FH15" i="38"/>
  <c r="FH9" i="38"/>
  <c r="FH11" i="38"/>
  <c r="FH14" i="38"/>
  <c r="FH13" i="38"/>
  <c r="FH8" i="38"/>
  <c r="FH12" i="38"/>
  <c r="EZ9" i="38"/>
  <c r="EZ12" i="38"/>
  <c r="EZ8" i="38"/>
  <c r="EZ1" i="36"/>
  <c r="EZ16" i="38"/>
  <c r="EZ15" i="38"/>
  <c r="O19" i="64"/>
  <c r="U19" i="64"/>
  <c r="P13" i="65" s="1"/>
  <c r="O13" i="65" s="1"/>
  <c r="G31" i="63"/>
  <c r="Q13" i="64"/>
  <c r="I31" i="63"/>
  <c r="Q19" i="63"/>
  <c r="FP3" i="38"/>
  <c r="FL3" i="38"/>
  <c r="O19" i="63"/>
  <c r="AC16" i="68"/>
  <c r="AC10" i="69"/>
  <c r="AC16" i="74"/>
  <c r="AC12" i="74"/>
  <c r="AC10" i="75"/>
  <c r="AC14" i="74"/>
  <c r="AC14" i="69"/>
  <c r="AC16" i="49"/>
  <c r="AC16" i="75"/>
  <c r="EX17" i="38"/>
  <c r="EX16" i="38"/>
  <c r="EX15" i="38"/>
  <c r="EX10" i="38"/>
  <c r="EX11" i="38"/>
  <c r="EX9" i="38"/>
  <c r="EX12" i="38"/>
  <c r="EX13" i="38"/>
  <c r="EX8" i="38"/>
  <c r="EX14" i="38"/>
  <c r="EX7" i="38"/>
  <c r="EX1" i="36"/>
  <c r="G28" i="63"/>
  <c r="I28" i="63"/>
  <c r="FF7" i="38"/>
  <c r="FF17" i="38"/>
  <c r="FF13" i="38"/>
  <c r="FF9" i="38"/>
  <c r="FF12" i="38"/>
  <c r="FF1" i="36"/>
  <c r="FF11" i="38"/>
  <c r="FF8" i="38"/>
  <c r="FF15" i="38"/>
  <c r="FF16" i="38"/>
  <c r="FF10" i="38"/>
  <c r="FF14" i="38"/>
  <c r="Q16" i="63"/>
  <c r="O16" i="63"/>
  <c r="AC10" i="74"/>
  <c r="FE7" i="38"/>
  <c r="FE11" i="38"/>
  <c r="FE9" i="38"/>
  <c r="FE17" i="38"/>
  <c r="FE12" i="38"/>
  <c r="FE15" i="38"/>
  <c r="FE8" i="38"/>
  <c r="FE16" i="38"/>
  <c r="FE14" i="38"/>
  <c r="FE13" i="38"/>
  <c r="FE1" i="36"/>
  <c r="FE10" i="38"/>
  <c r="O28" i="63"/>
  <c r="U28" i="63"/>
  <c r="H19" i="64" s="1"/>
  <c r="Q28" i="63"/>
  <c r="EW8" i="38"/>
  <c r="EW10" i="38"/>
  <c r="EW13" i="38"/>
  <c r="EW1" i="36"/>
  <c r="EW7" i="38"/>
  <c r="EW16" i="38"/>
  <c r="EW15" i="38"/>
  <c r="EW14" i="38"/>
  <c r="EW12" i="38"/>
  <c r="EW9" i="38"/>
  <c r="EW11" i="38"/>
  <c r="EW17" i="38"/>
  <c r="I16" i="63"/>
  <c r="U16" i="63"/>
  <c r="H13" i="64" s="1"/>
  <c r="G16" i="63"/>
  <c r="AC16" i="69"/>
  <c r="Q10" i="63"/>
  <c r="O10" i="63"/>
  <c r="U10" i="63"/>
  <c r="H10" i="64" s="1"/>
  <c r="FB16" i="38"/>
  <c r="FB15" i="38"/>
  <c r="FB14" i="38"/>
  <c r="FB11" i="38"/>
  <c r="FB7" i="38"/>
  <c r="FB10" i="38"/>
  <c r="FB9" i="38"/>
  <c r="FB12" i="38"/>
  <c r="FB1" i="36"/>
  <c r="FB13" i="38"/>
  <c r="FB8" i="38"/>
  <c r="FB17" i="38"/>
  <c r="I22" i="63"/>
  <c r="G22" i="63"/>
  <c r="ET9" i="38"/>
  <c r="ET14" i="38"/>
  <c r="ET11" i="38"/>
  <c r="ET16" i="38"/>
  <c r="ET13" i="38"/>
  <c r="ET12" i="38"/>
  <c r="ET10" i="38"/>
  <c r="ET15" i="38"/>
  <c r="ET17" i="38"/>
  <c r="ET1" i="36"/>
  <c r="ET7" i="38"/>
  <c r="ET8" i="38"/>
  <c r="ES8" i="38"/>
  <c r="ES16" i="38"/>
  <c r="ES7" i="38"/>
  <c r="ES15" i="38"/>
  <c r="ES11" i="38"/>
  <c r="ES17" i="38"/>
  <c r="ES13" i="38"/>
  <c r="ES1" i="36"/>
  <c r="ES12" i="38"/>
  <c r="ES9" i="38"/>
  <c r="ES14" i="38"/>
  <c r="ES10" i="38"/>
  <c r="AC12" i="49"/>
  <c r="AC14" i="49"/>
  <c r="AC10" i="49"/>
  <c r="FA9" i="38"/>
  <c r="FA13" i="38"/>
  <c r="FA12" i="38"/>
  <c r="FA8" i="38"/>
  <c r="FA7" i="38"/>
  <c r="FA16" i="38"/>
  <c r="FA15" i="38"/>
  <c r="FA17" i="38"/>
  <c r="FA14" i="38"/>
  <c r="FA11" i="38"/>
  <c r="FA1" i="36"/>
  <c r="FA10" i="38"/>
  <c r="Q22" i="63"/>
  <c r="U22" i="63"/>
  <c r="H16" i="64" s="1"/>
  <c r="O22" i="63"/>
  <c r="G10" i="63"/>
  <c r="I10" i="63"/>
  <c r="BA5" i="73"/>
  <c r="BC5" i="73"/>
  <c r="BB5" i="73"/>
  <c r="AC16" i="72"/>
  <c r="AC14" i="72"/>
  <c r="AC12" i="72"/>
  <c r="FC9" i="38"/>
  <c r="FC12" i="38"/>
  <c r="FC15" i="38"/>
  <c r="FC1" i="36"/>
  <c r="FC13" i="38"/>
  <c r="FC11" i="38"/>
  <c r="FC8" i="38"/>
  <c r="FC10" i="38"/>
  <c r="FC17" i="38"/>
  <c r="FC16" i="38"/>
  <c r="FC7" i="38"/>
  <c r="FC14" i="38"/>
  <c r="Q25" i="63"/>
  <c r="O25" i="63"/>
  <c r="AC10" i="72"/>
  <c r="I13" i="63"/>
  <c r="G13" i="63"/>
  <c r="EU1" i="36"/>
  <c r="EU9" i="38"/>
  <c r="EU11" i="38"/>
  <c r="EU17" i="38"/>
  <c r="EU14" i="38"/>
  <c r="EU16" i="38"/>
  <c r="EU15" i="38"/>
  <c r="EU7" i="38"/>
  <c r="EU10" i="38"/>
  <c r="EU13" i="38"/>
  <c r="EU8" i="38"/>
  <c r="EU12" i="38"/>
  <c r="EC16" i="38"/>
  <c r="EC12" i="38"/>
  <c r="ED16" i="38"/>
  <c r="ED10" i="38"/>
  <c r="ED9" i="38"/>
  <c r="ED11" i="38"/>
  <c r="ED12" i="38"/>
  <c r="ED17" i="38"/>
  <c r="ED8" i="38"/>
  <c r="ED13" i="38"/>
  <c r="ED14" i="38"/>
  <c r="ED15" i="38"/>
  <c r="EC11" i="38"/>
  <c r="EE9" i="38"/>
  <c r="EE11" i="38"/>
  <c r="EE17" i="38"/>
  <c r="EE8" i="38"/>
  <c r="EE15" i="38"/>
  <c r="EE14" i="38"/>
  <c r="EE13" i="38"/>
  <c r="EE12" i="38"/>
  <c r="EE10" i="38"/>
  <c r="EE16" i="38"/>
  <c r="EC17" i="38"/>
  <c r="EC8" i="38"/>
  <c r="EC9" i="38"/>
  <c r="EC15" i="38"/>
  <c r="EC10" i="38"/>
  <c r="EC13" i="38"/>
  <c r="EC14" i="38"/>
  <c r="EC7" i="38"/>
  <c r="EE1" i="36"/>
  <c r="EE7" i="38"/>
  <c r="ED1" i="36"/>
  <c r="ED7" i="38"/>
  <c r="EF3" i="38"/>
  <c r="EF1" i="36" s="1"/>
  <c r="EJ2" i="38"/>
  <c r="EI1" i="38"/>
  <c r="EH1" i="38"/>
  <c r="EG1" i="38"/>
  <c r="EH3" i="38"/>
  <c r="EG3" i="38"/>
  <c r="FI3" i="38" a="1"/>
  <c r="FO3" i="38" a="1"/>
  <c r="FK3" i="38" a="1"/>
  <c r="FT3" i="38" a="1"/>
  <c r="FM3" i="38" a="1"/>
  <c r="EF18" i="38" l="1"/>
  <c r="EF21" i="38"/>
  <c r="EG19" i="38"/>
  <c r="EG18" i="38"/>
  <c r="EG20" i="38"/>
  <c r="EG21" i="38"/>
  <c r="FL19" i="38"/>
  <c r="FL18" i="38"/>
  <c r="FL21" i="38"/>
  <c r="FL20" i="38"/>
  <c r="FP9" i="38"/>
  <c r="FP20" i="38"/>
  <c r="FP21" i="38"/>
  <c r="FP18" i="38"/>
  <c r="FP19" i="38"/>
  <c r="EF20" i="38"/>
  <c r="EH18" i="38"/>
  <c r="EH19" i="38"/>
  <c r="EH21" i="38"/>
  <c r="EH20" i="38"/>
  <c r="EF19" i="38"/>
  <c r="FP12" i="38"/>
  <c r="EF14" i="38"/>
  <c r="FL8" i="38"/>
  <c r="FL17" i="38"/>
  <c r="FL14" i="38"/>
  <c r="FP14" i="38"/>
  <c r="FP7" i="38"/>
  <c r="FP17" i="38"/>
  <c r="FL11" i="38"/>
  <c r="FL9" i="38"/>
  <c r="FP16" i="38"/>
  <c r="FL10" i="38"/>
  <c r="FP8" i="38"/>
  <c r="FL13" i="38"/>
  <c r="FP1" i="36"/>
  <c r="FL7" i="38"/>
  <c r="FP10" i="38"/>
  <c r="FL1" i="36"/>
  <c r="FP13" i="38"/>
  <c r="FP15" i="38"/>
  <c r="FL12" i="38"/>
  <c r="Q13" i="65"/>
  <c r="U13" i="65"/>
  <c r="P10" i="66" s="1"/>
  <c r="Q10" i="66" s="1"/>
  <c r="FL15" i="38"/>
  <c r="FP11" i="38"/>
  <c r="FL16" i="38"/>
  <c r="FT3" i="38"/>
  <c r="FO3" i="38"/>
  <c r="FK3" i="38"/>
  <c r="G19" i="64"/>
  <c r="I19" i="64"/>
  <c r="I13" i="64"/>
  <c r="U13" i="64"/>
  <c r="P10" i="65" s="1"/>
  <c r="G13" i="64"/>
  <c r="AW14" i="73"/>
  <c r="AR14" i="73" s="1"/>
  <c r="AW12" i="73"/>
  <c r="AR12" i="73" s="1"/>
  <c r="AW10" i="73"/>
  <c r="AR10" i="73" s="1"/>
  <c r="FI3" i="38"/>
  <c r="G10" i="64"/>
  <c r="I10" i="64"/>
  <c r="FM3" i="38"/>
  <c r="I16" i="64"/>
  <c r="G16" i="64"/>
  <c r="AW16" i="73"/>
  <c r="AR16" i="73" s="1"/>
  <c r="EF15" i="38"/>
  <c r="EF16" i="38"/>
  <c r="EF12" i="38"/>
  <c r="EG15" i="38"/>
  <c r="EG17" i="38"/>
  <c r="EG10" i="38"/>
  <c r="EG13" i="38"/>
  <c r="EG9" i="38"/>
  <c r="EG14" i="38"/>
  <c r="EG8" i="38"/>
  <c r="EG16" i="38"/>
  <c r="EG11" i="38"/>
  <c r="EG12" i="38"/>
  <c r="EF8" i="38"/>
  <c r="EF17" i="38"/>
  <c r="EF9" i="38"/>
  <c r="EF11" i="38"/>
  <c r="EF10" i="38"/>
  <c r="EF13" i="38"/>
  <c r="EH16" i="38"/>
  <c r="EH15" i="38"/>
  <c r="EH10" i="38"/>
  <c r="EH8" i="38"/>
  <c r="EH9" i="38"/>
  <c r="EH11" i="38"/>
  <c r="EH12" i="38"/>
  <c r="EH13" i="38"/>
  <c r="EH14" i="38"/>
  <c r="EH17" i="38"/>
  <c r="EF7" i="38"/>
  <c r="EG1" i="36"/>
  <c r="EG7" i="38"/>
  <c r="EH1" i="36"/>
  <c r="EH7" i="38"/>
  <c r="EK1" i="38"/>
  <c r="EM2" i="38"/>
  <c r="EJ1" i="38"/>
  <c r="EL1" i="38"/>
  <c r="EJ3" i="38"/>
  <c r="EK3" i="38"/>
  <c r="EI3" i="38"/>
  <c r="EI1" i="36" s="1"/>
  <c r="FV3" i="38" a="1"/>
  <c r="FR3" i="38" a="1"/>
  <c r="FI20" i="38" l="1"/>
  <c r="FI18" i="38"/>
  <c r="FI21" i="38"/>
  <c r="FI19" i="38"/>
  <c r="EK18" i="38"/>
  <c r="EK20" i="38"/>
  <c r="EK19" i="38"/>
  <c r="EK21" i="38"/>
  <c r="EJ20" i="38"/>
  <c r="EJ21" i="38"/>
  <c r="EJ18" i="38"/>
  <c r="EJ19" i="38"/>
  <c r="EI19" i="38"/>
  <c r="EI21" i="38"/>
  <c r="FK20" i="38"/>
  <c r="FK18" i="38"/>
  <c r="FK21" i="38"/>
  <c r="FK19" i="38"/>
  <c r="FO20" i="38"/>
  <c r="FO18" i="38"/>
  <c r="FO21" i="38"/>
  <c r="FO19" i="38"/>
  <c r="EI18" i="38"/>
  <c r="EI20" i="38"/>
  <c r="FT21" i="38"/>
  <c r="FT18" i="38"/>
  <c r="FT20" i="38"/>
  <c r="FT19" i="38"/>
  <c r="FM19" i="38"/>
  <c r="FM18" i="38"/>
  <c r="FM20" i="38"/>
  <c r="FM21" i="38"/>
  <c r="AX16" i="73"/>
  <c r="FT12" i="38"/>
  <c r="FT13" i="38"/>
  <c r="FT9" i="38"/>
  <c r="FT15" i="38"/>
  <c r="O10" i="66"/>
  <c r="U10" i="66"/>
  <c r="I17" i="66" s="1"/>
  <c r="H17" i="66" s="1"/>
  <c r="FV3" i="38"/>
  <c r="FT16" i="38"/>
  <c r="FT1" i="36"/>
  <c r="FT8" i="38"/>
  <c r="FT17" i="38"/>
  <c r="FT11" i="38"/>
  <c r="FT14" i="38"/>
  <c r="FT10" i="38"/>
  <c r="FT7" i="38"/>
  <c r="FR3" i="38"/>
  <c r="O10" i="65"/>
  <c r="Q10" i="65"/>
  <c r="FK12" i="38"/>
  <c r="FK17" i="38"/>
  <c r="FK8" i="38"/>
  <c r="FK11" i="38"/>
  <c r="FK9" i="38"/>
  <c r="FK10" i="38"/>
  <c r="FK16" i="38"/>
  <c r="FK15" i="38"/>
  <c r="FK7" i="38"/>
  <c r="FK13" i="38"/>
  <c r="FK14" i="38"/>
  <c r="FK1" i="36"/>
  <c r="FO1" i="36"/>
  <c r="FO15" i="38"/>
  <c r="FO11" i="38"/>
  <c r="FO14" i="38"/>
  <c r="FO9" i="38"/>
  <c r="FO8" i="38"/>
  <c r="FO7" i="38"/>
  <c r="FO12" i="38"/>
  <c r="FO10" i="38"/>
  <c r="FO17" i="38"/>
  <c r="FO13" i="38"/>
  <c r="FO16" i="38"/>
  <c r="FI9" i="38"/>
  <c r="FI17" i="38"/>
  <c r="FI13" i="38"/>
  <c r="FI1" i="36"/>
  <c r="FI14" i="38"/>
  <c r="FI12" i="38"/>
  <c r="FI10" i="38"/>
  <c r="FI8" i="38"/>
  <c r="FI16" i="38"/>
  <c r="FI11" i="38"/>
  <c r="FI15" i="38"/>
  <c r="FI7" i="38"/>
  <c r="FM14" i="38"/>
  <c r="FM9" i="38"/>
  <c r="FM10" i="38"/>
  <c r="FM11" i="38"/>
  <c r="FM1" i="36"/>
  <c r="FM12" i="38"/>
  <c r="FM13" i="38"/>
  <c r="FM15" i="38"/>
  <c r="FM8" i="38"/>
  <c r="FM16" i="38"/>
  <c r="FM17" i="38"/>
  <c r="FM7" i="38"/>
  <c r="AX14" i="73"/>
  <c r="AX10" i="73"/>
  <c r="AX12" i="73"/>
  <c r="EI12" i="38"/>
  <c r="EI10" i="38"/>
  <c r="EI9" i="38"/>
  <c r="EI11" i="38"/>
  <c r="EI17" i="38"/>
  <c r="EJ15" i="38"/>
  <c r="EJ16" i="38"/>
  <c r="EJ14" i="38"/>
  <c r="EJ11" i="38"/>
  <c r="EJ10" i="38"/>
  <c r="EJ13" i="38"/>
  <c r="EJ9" i="38"/>
  <c r="EJ17" i="38"/>
  <c r="EJ8" i="38"/>
  <c r="EJ12" i="38"/>
  <c r="EI14" i="38"/>
  <c r="EI16" i="38"/>
  <c r="EI13" i="38"/>
  <c r="EI8" i="38"/>
  <c r="EK15" i="38"/>
  <c r="EK16" i="38"/>
  <c r="EK14" i="38"/>
  <c r="EK11" i="38"/>
  <c r="EK12" i="38"/>
  <c r="EK9" i="38"/>
  <c r="EK8" i="38"/>
  <c r="EK13" i="38"/>
  <c r="EK17" i="38"/>
  <c r="EK10" i="38"/>
  <c r="EI15" i="38"/>
  <c r="EI7" i="38"/>
  <c r="EK1" i="36"/>
  <c r="EK7" i="38"/>
  <c r="EJ1" i="36"/>
  <c r="EJ7" i="38"/>
  <c r="EL3" i="38"/>
  <c r="EL1" i="36" s="1"/>
  <c r="EO1" i="38"/>
  <c r="EN1" i="38"/>
  <c r="EM1" i="38"/>
  <c r="EP2" i="38"/>
  <c r="EM3" i="38"/>
  <c r="EN3" i="38"/>
  <c r="FW3" i="38" a="1"/>
  <c r="EL21" i="38" l="1"/>
  <c r="EL18" i="38"/>
  <c r="AY12" i="73"/>
  <c r="EL19" i="38"/>
  <c r="EL20" i="38"/>
  <c r="FV19" i="38"/>
  <c r="FV20" i="38"/>
  <c r="FV21" i="38"/>
  <c r="FV18" i="38"/>
  <c r="FR20" i="38"/>
  <c r="FR21" i="38"/>
  <c r="FR19" i="38"/>
  <c r="FR18" i="38"/>
  <c r="EN20" i="38"/>
  <c r="EN21" i="38"/>
  <c r="EN18" i="38"/>
  <c r="EN19" i="38"/>
  <c r="EM20" i="38"/>
  <c r="EM21" i="38"/>
  <c r="EM18" i="38"/>
  <c r="EM19" i="38"/>
  <c r="FQ18" i="38"/>
  <c r="FQ20" i="38"/>
  <c r="FQ21" i="38"/>
  <c r="FQ19" i="38"/>
  <c r="FV7" i="38"/>
  <c r="FV1" i="36"/>
  <c r="FV12" i="38"/>
  <c r="FV14" i="38"/>
  <c r="P17" i="66"/>
  <c r="FV17" i="38"/>
  <c r="FV13" i="38"/>
  <c r="FW3" i="38"/>
  <c r="FV15" i="38"/>
  <c r="FV9" i="38"/>
  <c r="FV8" i="38"/>
  <c r="FV11" i="38"/>
  <c r="FV10" i="38"/>
  <c r="FV16" i="38"/>
  <c r="FR15" i="38"/>
  <c r="FR16" i="38"/>
  <c r="FR10" i="38"/>
  <c r="FR12" i="38"/>
  <c r="FR14" i="38"/>
  <c r="FR7" i="38"/>
  <c r="FR9" i="38"/>
  <c r="FR17" i="38"/>
  <c r="FR1" i="36"/>
  <c r="FR13" i="38"/>
  <c r="FR8" i="38"/>
  <c r="FR11" i="38"/>
  <c r="FQ16" i="38"/>
  <c r="FQ17" i="38"/>
  <c r="FQ13" i="38"/>
  <c r="FQ14" i="38"/>
  <c r="FQ15" i="38"/>
  <c r="FQ10" i="38"/>
  <c r="FQ12" i="38"/>
  <c r="FQ8" i="38"/>
  <c r="FQ7" i="38"/>
  <c r="FQ11" i="38"/>
  <c r="FQ9" i="38"/>
  <c r="AY10" i="73"/>
  <c r="AY14" i="73"/>
  <c r="AY16" i="73"/>
  <c r="EL12" i="38"/>
  <c r="EL14" i="38"/>
  <c r="EL16" i="38"/>
  <c r="EL15" i="38"/>
  <c r="EL17" i="38"/>
  <c r="EL10" i="38"/>
  <c r="EL8" i="38"/>
  <c r="EL11" i="38"/>
  <c r="EN15" i="38"/>
  <c r="EN16" i="38"/>
  <c r="EN11" i="38"/>
  <c r="EN14" i="38"/>
  <c r="EN9" i="38"/>
  <c r="EN12" i="38"/>
  <c r="EN13" i="38"/>
  <c r="EN10" i="38"/>
  <c r="EN8" i="38"/>
  <c r="EN17" i="38"/>
  <c r="EL9" i="38"/>
  <c r="EM16" i="38"/>
  <c r="EM15" i="38"/>
  <c r="EM11" i="38"/>
  <c r="EM10" i="38"/>
  <c r="EM9" i="38"/>
  <c r="EM14" i="38"/>
  <c r="EM12" i="38"/>
  <c r="EM8" i="38"/>
  <c r="EM13" i="38"/>
  <c r="EM17" i="38"/>
  <c r="EL13" i="38"/>
  <c r="EL7" i="38"/>
  <c r="EN1" i="36"/>
  <c r="EN7" i="38"/>
  <c r="EM1" i="36"/>
  <c r="EM7" i="38"/>
  <c r="EO3" i="38"/>
  <c r="EO1" i="36" s="1"/>
  <c r="ER1" i="38"/>
  <c r="EQ1" i="38"/>
  <c r="EP1" i="38"/>
  <c r="EP3" i="38"/>
  <c r="EQ3" i="38"/>
  <c r="EO18" i="38" l="1"/>
  <c r="EO20" i="38"/>
  <c r="EP19" i="38"/>
  <c r="EP20" i="38"/>
  <c r="EP18" i="38"/>
  <c r="EP21" i="38"/>
  <c r="FU20" i="38"/>
  <c r="FU18" i="38"/>
  <c r="FU21" i="38"/>
  <c r="FU19" i="38"/>
  <c r="FW10" i="38"/>
  <c r="FW18" i="38"/>
  <c r="FW19" i="38"/>
  <c r="FW20" i="38"/>
  <c r="FW21" i="38"/>
  <c r="EO19" i="38"/>
  <c r="EO21" i="38"/>
  <c r="EQ19" i="38"/>
  <c r="EQ18" i="38"/>
  <c r="EQ20" i="38"/>
  <c r="EQ21" i="38"/>
  <c r="AH20" i="76"/>
  <c r="AC20" i="76"/>
  <c r="AD20" i="76"/>
  <c r="AA20" i="76"/>
  <c r="Z20" i="76"/>
  <c r="Y20" i="76"/>
  <c r="AE20" i="76"/>
  <c r="X20" i="76"/>
  <c r="AB20" i="76"/>
  <c r="AJ20" i="76"/>
  <c r="AG20" i="76"/>
  <c r="AI20" i="76"/>
  <c r="FW9" i="38"/>
  <c r="FW1" i="36"/>
  <c r="FW17" i="38"/>
  <c r="FW16" i="38"/>
  <c r="FW15" i="38"/>
  <c r="FW11" i="38"/>
  <c r="FW14" i="38"/>
  <c r="FW13" i="38"/>
  <c r="FW7" i="38"/>
  <c r="FW8" i="38"/>
  <c r="FW12" i="38"/>
  <c r="FU11" i="38"/>
  <c r="FU7" i="38"/>
  <c r="FU17" i="38"/>
  <c r="FU10" i="38"/>
  <c r="FU9" i="38"/>
  <c r="FU14" i="38"/>
  <c r="FU8" i="38"/>
  <c r="FU13" i="38"/>
  <c r="FU12" i="38"/>
  <c r="FU15" i="38"/>
  <c r="FU16" i="38"/>
  <c r="T12" i="73"/>
  <c r="T10" i="73"/>
  <c r="T16" i="73"/>
  <c r="T14" i="73"/>
  <c r="EO15" i="38"/>
  <c r="EO17" i="38"/>
  <c r="EO14" i="38"/>
  <c r="EO8" i="38"/>
  <c r="EP11" i="38"/>
  <c r="EP10" i="38"/>
  <c r="EP9" i="38"/>
  <c r="EP12" i="38"/>
  <c r="EP13" i="38"/>
  <c r="EP8" i="38"/>
  <c r="EP17" i="38"/>
  <c r="EP16" i="38"/>
  <c r="EP15" i="38"/>
  <c r="EP14" i="38"/>
  <c r="EO16" i="38"/>
  <c r="EO10" i="38"/>
  <c r="EO13" i="38"/>
  <c r="EO9" i="38"/>
  <c r="EQ14" i="38"/>
  <c r="EQ11" i="38"/>
  <c r="EQ10" i="38"/>
  <c r="EQ9" i="38"/>
  <c r="EQ12" i="38"/>
  <c r="EQ8" i="38"/>
  <c r="EQ17" i="38"/>
  <c r="EQ15" i="38"/>
  <c r="EQ16" i="38"/>
  <c r="EQ13" i="38"/>
  <c r="EO12" i="38"/>
  <c r="EO11" i="38"/>
  <c r="EQ7" i="38"/>
  <c r="EO7" i="38"/>
  <c r="EQ1" i="36"/>
  <c r="EP1" i="36"/>
  <c r="EP7" i="38"/>
  <c r="ER3" i="38"/>
  <c r="ER1" i="36" s="1"/>
  <c r="EV3" i="38" a="1"/>
  <c r="H25" i="63" a="1"/>
  <c r="FD3" i="38" a="1"/>
  <c r="P13" i="63" a="1"/>
  <c r="AJ11" i="76" l="1"/>
  <c r="ER21" i="38"/>
  <c r="ER20" i="38"/>
  <c r="ER18" i="38"/>
  <c r="ER19" i="38"/>
  <c r="AK20" i="76"/>
  <c r="AF20" i="76"/>
  <c r="H25" i="63"/>
  <c r="EV3" i="38"/>
  <c r="FD3" i="38"/>
  <c r="P13" i="63"/>
  <c r="Z14" i="73"/>
  <c r="AA14" i="73"/>
  <c r="X14" i="73"/>
  <c r="W14" i="73"/>
  <c r="Y14" i="73"/>
  <c r="U14" i="73"/>
  <c r="AB14" i="73"/>
  <c r="Z16" i="73"/>
  <c r="X16" i="73"/>
  <c r="W16" i="73"/>
  <c r="AA16" i="73"/>
  <c r="Y16" i="73"/>
  <c r="AB16" i="73"/>
  <c r="U16" i="73"/>
  <c r="AA10" i="73"/>
  <c r="X10" i="73"/>
  <c r="Y10" i="73"/>
  <c r="W10" i="73"/>
  <c r="Z10" i="73"/>
  <c r="U10" i="73"/>
  <c r="AB10" i="73"/>
  <c r="W12" i="73"/>
  <c r="Z12" i="73"/>
  <c r="AA12" i="73"/>
  <c r="AB12" i="73"/>
  <c r="Y12" i="73"/>
  <c r="U12" i="73"/>
  <c r="X12" i="73"/>
  <c r="ER8" i="38"/>
  <c r="ER10" i="38"/>
  <c r="ER11" i="38"/>
  <c r="ER17" i="38"/>
  <c r="ER12" i="38"/>
  <c r="ER13" i="38"/>
  <c r="ER15" i="38"/>
  <c r="ER14" i="38"/>
  <c r="ER9" i="38"/>
  <c r="ER16" i="38"/>
  <c r="ER7" i="38"/>
  <c r="GU3" i="38"/>
  <c r="GR3" i="38"/>
  <c r="GL3" i="38"/>
  <c r="GO3" i="38"/>
  <c r="D26" i="23"/>
  <c r="D25" i="23"/>
  <c r="D24" i="23"/>
  <c r="D23" i="23"/>
  <c r="L14" i="23"/>
  <c r="J14" i="23"/>
  <c r="EV18" i="38" l="1"/>
  <c r="EV19" i="38"/>
  <c r="EV20" i="38"/>
  <c r="EV21" i="38"/>
  <c r="FD21" i="38"/>
  <c r="FD20" i="38"/>
  <c r="FD18" i="38"/>
  <c r="FD19" i="38"/>
  <c r="GL19" i="38"/>
  <c r="GL21" i="38"/>
  <c r="GL20" i="38"/>
  <c r="GL18" i="38"/>
  <c r="GO20" i="38"/>
  <c r="GO18" i="38"/>
  <c r="GO19" i="38"/>
  <c r="GO21" i="38"/>
  <c r="GR21" i="38"/>
  <c r="GR20" i="38"/>
  <c r="GR18" i="38"/>
  <c r="GR19" i="38"/>
  <c r="GU20" i="38"/>
  <c r="GU18" i="38"/>
  <c r="GU19" i="38"/>
  <c r="GU21" i="38"/>
  <c r="AC16" i="73"/>
  <c r="AC14" i="73"/>
  <c r="EV11" i="38"/>
  <c r="EV8" i="38"/>
  <c r="EV9" i="38"/>
  <c r="EV1" i="36"/>
  <c r="EV17" i="38"/>
  <c r="EV13" i="38"/>
  <c r="EV12" i="38"/>
  <c r="EV14" i="38"/>
  <c r="EV16" i="38"/>
  <c r="EV15" i="38"/>
  <c r="EV10" i="38"/>
  <c r="EV7" i="38"/>
  <c r="G25" i="63"/>
  <c r="U25" i="63"/>
  <c r="P16" i="64" s="1"/>
  <c r="I25" i="63"/>
  <c r="AC12" i="73"/>
  <c r="U13" i="63"/>
  <c r="P10" i="64" s="1"/>
  <c r="U10" i="64" s="1"/>
  <c r="H10" i="65" s="1"/>
  <c r="U10" i="65" s="1"/>
  <c r="H10" i="66" s="1"/>
  <c r="Q13" i="63"/>
  <c r="O13" i="63"/>
  <c r="AC10" i="73"/>
  <c r="FD17" i="38"/>
  <c r="FD13" i="38"/>
  <c r="FD1" i="36"/>
  <c r="FD15" i="38"/>
  <c r="FD16" i="38"/>
  <c r="FD11" i="38"/>
  <c r="FD10" i="38"/>
  <c r="FD8" i="38"/>
  <c r="FD7" i="38"/>
  <c r="FD9" i="38"/>
  <c r="FD14" i="38"/>
  <c r="FD12" i="38"/>
  <c r="GR17" i="38"/>
  <c r="GR8" i="38"/>
  <c r="GR15" i="38"/>
  <c r="GR10" i="38"/>
  <c r="GR9" i="38"/>
  <c r="GR16" i="38"/>
  <c r="GL12" i="38"/>
  <c r="GL15" i="38"/>
  <c r="GL17" i="38"/>
  <c r="GL9" i="38"/>
  <c r="GL16" i="38"/>
  <c r="GL8" i="38"/>
  <c r="GL14" i="38"/>
  <c r="GL10" i="38"/>
  <c r="GL11" i="38"/>
  <c r="GL13" i="38"/>
  <c r="GU12" i="38"/>
  <c r="GU10" i="38"/>
  <c r="GU17" i="38"/>
  <c r="GU11" i="38"/>
  <c r="GU9" i="38"/>
  <c r="GU8" i="38"/>
  <c r="GU13" i="38"/>
  <c r="GU15" i="38"/>
  <c r="GU14" i="38"/>
  <c r="GO11" i="38"/>
  <c r="GO12" i="38"/>
  <c r="GO15" i="38"/>
  <c r="GO8" i="38"/>
  <c r="GO14" i="38"/>
  <c r="GO9" i="38"/>
  <c r="GO16" i="38"/>
  <c r="GO10" i="38"/>
  <c r="GO13" i="38"/>
  <c r="GO17" i="38"/>
  <c r="GO7" i="38"/>
  <c r="GL7" i="38"/>
  <c r="GL1" i="36"/>
  <c r="GO1" i="36"/>
  <c r="GU1" i="36"/>
  <c r="GR1" i="36"/>
  <c r="BH7" i="38"/>
  <c r="L7" i="38"/>
  <c r="BV7" i="38"/>
  <c r="BT7" i="38"/>
  <c r="AA7" i="38"/>
  <c r="BN7" i="38"/>
  <c r="BK7" i="38"/>
  <c r="U7" i="38"/>
  <c r="AV7" i="38"/>
  <c r="N7" i="38"/>
  <c r="AU7" i="38"/>
  <c r="BS7" i="38"/>
  <c r="BG7" i="38"/>
  <c r="AJ7" i="38"/>
  <c r="AS7" i="38"/>
  <c r="AR7" i="38"/>
  <c r="Z7" i="38"/>
  <c r="AP7" i="38"/>
  <c r="T7" i="38"/>
  <c r="BM7" i="38"/>
  <c r="AO7" i="38"/>
  <c r="X7" i="38"/>
  <c r="Q7" i="38"/>
  <c r="BP7" i="38"/>
  <c r="K7" i="38"/>
  <c r="AI7" i="38"/>
  <c r="R7" i="38"/>
  <c r="AY7" i="38"/>
  <c r="BQ7" i="38"/>
  <c r="BW7" i="38"/>
  <c r="W7" i="38"/>
  <c r="AM7" i="38"/>
  <c r="AL7" i="38"/>
  <c r="O7" i="38"/>
  <c r="AX7" i="38"/>
  <c r="BJ7" i="38"/>
  <c r="BX3" i="38"/>
  <c r="BO3" i="38"/>
  <c r="P3" i="38"/>
  <c r="AQ3" i="38"/>
  <c r="AW3" i="38"/>
  <c r="AN3" i="38"/>
  <c r="BU3" i="38"/>
  <c r="BI3" i="38"/>
  <c r="AT3" i="38"/>
  <c r="AB3" i="38"/>
  <c r="V3" i="38"/>
  <c r="M3" i="38"/>
  <c r="S3" i="38"/>
  <c r="BR3" i="38"/>
  <c r="BR16" i="38" s="1"/>
  <c r="AK3" i="38"/>
  <c r="Y3" i="38"/>
  <c r="AZ3" i="38"/>
  <c r="BL3" i="38"/>
  <c r="FU3" i="38" a="1"/>
  <c r="FJ3" i="38" a="1"/>
  <c r="FN3" i="38" a="1"/>
  <c r="FQ3" i="38" a="1"/>
  <c r="FU3" i="38" l="1"/>
  <c r="FU1" i="36" s="1"/>
  <c r="G10" i="66"/>
  <c r="I10" i="66"/>
  <c r="FQ3" i="38"/>
  <c r="FQ1" i="36" s="1"/>
  <c r="I10" i="65"/>
  <c r="G10" i="65"/>
  <c r="P18" i="38"/>
  <c r="P20" i="38"/>
  <c r="P19" i="38"/>
  <c r="P21" i="38"/>
  <c r="AW20" i="38"/>
  <c r="AW18" i="38"/>
  <c r="AW19" i="38"/>
  <c r="AW21" i="38"/>
  <c r="AQ20" i="38"/>
  <c r="AQ18" i="38"/>
  <c r="AQ21" i="38"/>
  <c r="AQ19" i="38"/>
  <c r="AK19" i="38"/>
  <c r="AK20" i="38"/>
  <c r="AK18" i="38"/>
  <c r="AK21" i="38"/>
  <c r="BI18" i="38"/>
  <c r="BI20" i="38"/>
  <c r="BI19" i="38"/>
  <c r="BI21" i="38"/>
  <c r="AN19" i="38"/>
  <c r="AN18" i="38"/>
  <c r="AN21" i="38"/>
  <c r="AN20" i="38"/>
  <c r="AZ18" i="38"/>
  <c r="AZ19" i="38"/>
  <c r="AZ20" i="38"/>
  <c r="AZ21" i="38"/>
  <c r="AT19" i="38"/>
  <c r="AT21" i="38"/>
  <c r="AT18" i="38"/>
  <c r="AT20" i="38"/>
  <c r="BO19" i="38"/>
  <c r="BO21" i="38"/>
  <c r="BO20" i="38"/>
  <c r="BO18" i="38"/>
  <c r="BR20" i="38"/>
  <c r="BR19" i="38"/>
  <c r="BR21" i="38"/>
  <c r="BR18" i="38"/>
  <c r="S18" i="38"/>
  <c r="S20" i="38"/>
  <c r="S21" i="38"/>
  <c r="S19" i="38"/>
  <c r="Y20" i="38"/>
  <c r="Y19" i="38"/>
  <c r="Y18" i="38"/>
  <c r="Y21" i="38"/>
  <c r="BU21" i="38"/>
  <c r="BU20" i="38"/>
  <c r="BU18" i="38"/>
  <c r="BU19" i="38"/>
  <c r="BX20" i="38"/>
  <c r="BX19" i="38"/>
  <c r="BX21" i="38"/>
  <c r="BX18" i="38"/>
  <c r="M18" i="38"/>
  <c r="M20" i="38"/>
  <c r="M21" i="38"/>
  <c r="M19" i="38"/>
  <c r="V20" i="38"/>
  <c r="V18" i="38"/>
  <c r="V19" i="38"/>
  <c r="V21" i="38"/>
  <c r="BL20" i="38"/>
  <c r="BL21" i="38"/>
  <c r="BL19" i="38"/>
  <c r="BL18" i="38"/>
  <c r="AB20" i="38"/>
  <c r="AB19" i="38"/>
  <c r="AB21" i="38"/>
  <c r="AB18" i="38"/>
  <c r="AZ14" i="38"/>
  <c r="V9" i="38"/>
  <c r="AB14" i="38"/>
  <c r="AW17" i="38"/>
  <c r="FJ3" i="38"/>
  <c r="FN3" i="38"/>
  <c r="Q10" i="64"/>
  <c r="O10" i="64"/>
  <c r="U16" i="64"/>
  <c r="H13" i="65" s="1"/>
  <c r="Q16" i="64"/>
  <c r="O16" i="64"/>
  <c r="BX15" i="38"/>
  <c r="BX9" i="38"/>
  <c r="BX17" i="38"/>
  <c r="BX12" i="38"/>
  <c r="BX10" i="38"/>
  <c r="BX14" i="38"/>
  <c r="BX13" i="38"/>
  <c r="BX16" i="38"/>
  <c r="BX8" i="38"/>
  <c r="BX11" i="38"/>
  <c r="M17" i="38"/>
  <c r="M16" i="38"/>
  <c r="M15" i="38"/>
  <c r="M11" i="38"/>
  <c r="M12" i="38"/>
  <c r="M8" i="38"/>
  <c r="M10" i="38"/>
  <c r="M13" i="38"/>
  <c r="M9" i="38"/>
  <c r="M14" i="38"/>
  <c r="S8" i="38"/>
  <c r="S15" i="38"/>
  <c r="S9" i="38"/>
  <c r="S12" i="38"/>
  <c r="S17" i="38"/>
  <c r="S10" i="38"/>
  <c r="S13" i="38"/>
  <c r="S14" i="38"/>
  <c r="S16" i="38"/>
  <c r="S11" i="38"/>
  <c r="V8" i="38"/>
  <c r="V16" i="38"/>
  <c r="V10" i="38"/>
  <c r="V17" i="38"/>
  <c r="V11" i="38"/>
  <c r="V14" i="38"/>
  <c r="V13" i="38"/>
  <c r="V12" i="38"/>
  <c r="V15" i="38"/>
  <c r="AB16" i="38"/>
  <c r="AB8" i="38"/>
  <c r="AB13" i="38"/>
  <c r="AB9" i="38"/>
  <c r="AB12" i="38"/>
  <c r="AB10" i="38"/>
  <c r="AB17" i="38"/>
  <c r="AB15" i="38"/>
  <c r="AB11" i="38"/>
  <c r="AT10" i="38"/>
  <c r="AT17" i="38"/>
  <c r="AT9" i="38"/>
  <c r="AT15" i="38"/>
  <c r="AT16" i="38"/>
  <c r="AT8" i="38"/>
  <c r="AT14" i="38"/>
  <c r="AT12" i="38"/>
  <c r="AT11" i="38"/>
  <c r="AT13" i="38"/>
  <c r="BI13" i="38"/>
  <c r="BI14" i="38"/>
  <c r="BI12" i="38"/>
  <c r="BI11" i="38"/>
  <c r="BI16" i="38"/>
  <c r="BI15" i="38"/>
  <c r="BI8" i="38"/>
  <c r="BI17" i="38"/>
  <c r="BI9" i="38"/>
  <c r="BI10" i="38"/>
  <c r="BU9" i="38"/>
  <c r="BU15" i="38"/>
  <c r="BU10" i="38"/>
  <c r="BU13" i="38"/>
  <c r="BU17" i="38"/>
  <c r="BU16" i="38"/>
  <c r="BU12" i="38"/>
  <c r="BU14" i="38"/>
  <c r="BU11" i="38"/>
  <c r="BU8" i="38"/>
  <c r="BR15" i="38"/>
  <c r="BR17" i="38"/>
  <c r="BR14" i="38"/>
  <c r="BR11" i="38"/>
  <c r="BR13" i="38"/>
  <c r="BR12" i="38"/>
  <c r="BR9" i="38"/>
  <c r="BR10" i="38"/>
  <c r="BR8" i="38"/>
  <c r="BL15" i="38"/>
  <c r="BL11" i="38"/>
  <c r="BL13" i="38"/>
  <c r="BL14" i="38"/>
  <c r="BL9" i="38"/>
  <c r="BL12" i="38"/>
  <c r="BL8" i="38"/>
  <c r="BL10" i="38"/>
  <c r="BL17" i="38"/>
  <c r="BL16" i="38"/>
  <c r="AN8" i="38"/>
  <c r="AN14" i="38"/>
  <c r="AN17" i="38"/>
  <c r="AN16" i="38"/>
  <c r="AN13" i="38"/>
  <c r="AN12" i="38"/>
  <c r="AN11" i="38"/>
  <c r="AN15" i="38"/>
  <c r="AN10" i="38"/>
  <c r="AN9" i="38"/>
  <c r="AZ13" i="38"/>
  <c r="AZ12" i="38"/>
  <c r="AZ10" i="38"/>
  <c r="AZ8" i="38"/>
  <c r="AZ9" i="38"/>
  <c r="AZ17" i="38"/>
  <c r="AZ15" i="38"/>
  <c r="AZ16" i="38"/>
  <c r="AZ11" i="38"/>
  <c r="AW15" i="38"/>
  <c r="AW16" i="38"/>
  <c r="AW11" i="38"/>
  <c r="AW12" i="38"/>
  <c r="AW14" i="38"/>
  <c r="AW10" i="38"/>
  <c r="AW8" i="38"/>
  <c r="AW9" i="38"/>
  <c r="AW13" i="38"/>
  <c r="BO10" i="38"/>
  <c r="BO11" i="38"/>
  <c r="BO12" i="38"/>
  <c r="BO15" i="38"/>
  <c r="BO14" i="38"/>
  <c r="BO8" i="38"/>
  <c r="BO17" i="38"/>
  <c r="BO9" i="38"/>
  <c r="BO16" i="38"/>
  <c r="BO13" i="38"/>
  <c r="Y16" i="38"/>
  <c r="Y12" i="38"/>
  <c r="Y10" i="38"/>
  <c r="Y17" i="38"/>
  <c r="Y9" i="38"/>
  <c r="Y13" i="38"/>
  <c r="Y15" i="38"/>
  <c r="Y8" i="38"/>
  <c r="Y11" i="38"/>
  <c r="Y14" i="38"/>
  <c r="AQ15" i="38"/>
  <c r="AQ11" i="38"/>
  <c r="AQ16" i="38"/>
  <c r="AQ17" i="38"/>
  <c r="AQ14" i="38"/>
  <c r="AQ13" i="38"/>
  <c r="AQ12" i="38"/>
  <c r="AQ10" i="38"/>
  <c r="AQ9" i="38"/>
  <c r="AQ8" i="38"/>
  <c r="AK11" i="38"/>
  <c r="AK17" i="38"/>
  <c r="AK10" i="38"/>
  <c r="AK13" i="38"/>
  <c r="AK8" i="38"/>
  <c r="AK9" i="38"/>
  <c r="AK15" i="38"/>
  <c r="AK12" i="38"/>
  <c r="AK14" i="38"/>
  <c r="AK16" i="38"/>
  <c r="P16" i="38"/>
  <c r="P11" i="38"/>
  <c r="P10" i="38"/>
  <c r="P17" i="38"/>
  <c r="P12" i="38"/>
  <c r="P15" i="38"/>
  <c r="P8" i="38"/>
  <c r="P14" i="38"/>
  <c r="P9" i="38"/>
  <c r="P13" i="38"/>
  <c r="P7" i="38"/>
  <c r="M1" i="36"/>
  <c r="M7" i="38"/>
  <c r="BI1" i="36"/>
  <c r="BI7" i="38"/>
  <c r="AK1" i="36"/>
  <c r="AK7" i="38"/>
  <c r="BU1" i="36"/>
  <c r="BU7" i="38"/>
  <c r="BO1" i="36"/>
  <c r="BO7" i="38"/>
  <c r="AZ1" i="36"/>
  <c r="AZ7" i="38"/>
  <c r="BX1" i="36"/>
  <c r="BX7" i="38"/>
  <c r="AN1" i="36"/>
  <c r="AN7" i="38"/>
  <c r="AW1" i="36"/>
  <c r="AW7" i="38"/>
  <c r="AQ1" i="36"/>
  <c r="AQ7" i="38"/>
  <c r="BL1" i="36"/>
  <c r="BL7" i="38"/>
  <c r="Y1" i="36"/>
  <c r="Y7" i="38"/>
  <c r="BR1" i="36"/>
  <c r="BR7" i="38"/>
  <c r="S1" i="36"/>
  <c r="S7" i="38"/>
  <c r="V1" i="36"/>
  <c r="V7" i="38"/>
  <c r="AB1" i="36"/>
  <c r="AB7" i="38"/>
  <c r="AT1" i="36"/>
  <c r="AT7" i="38"/>
  <c r="P1" i="36"/>
  <c r="D18" i="23"/>
  <c r="FS3" i="38" a="1"/>
  <c r="AE16" i="1" l="1"/>
  <c r="D20" i="23"/>
  <c r="AE14" i="1"/>
  <c r="D19" i="23"/>
  <c r="FJ18" i="38"/>
  <c r="FJ19" i="38"/>
  <c r="FJ21" i="38"/>
  <c r="FJ20" i="38"/>
  <c r="FN18" i="38"/>
  <c r="FN19" i="38"/>
  <c r="FN20" i="38"/>
  <c r="FN21" i="38"/>
  <c r="AE19" i="76"/>
  <c r="FS3" i="38"/>
  <c r="G13" i="65"/>
  <c r="I13" i="65"/>
  <c r="FN15" i="38"/>
  <c r="FN14" i="38"/>
  <c r="FN17" i="38"/>
  <c r="FN16" i="38"/>
  <c r="FN9" i="38"/>
  <c r="FN10" i="38"/>
  <c r="FN8" i="38"/>
  <c r="FN11" i="38"/>
  <c r="FN7" i="38"/>
  <c r="FN13" i="38"/>
  <c r="FN12" i="38"/>
  <c r="FN1" i="36"/>
  <c r="FJ11" i="38"/>
  <c r="FJ15" i="38"/>
  <c r="FJ8" i="38"/>
  <c r="FJ9" i="38"/>
  <c r="FJ10" i="38"/>
  <c r="FJ13" i="38"/>
  <c r="FJ14" i="38"/>
  <c r="FJ12" i="38"/>
  <c r="FJ17" i="38"/>
  <c r="FJ16" i="38"/>
  <c r="FJ7" i="38"/>
  <c r="FJ1" i="36"/>
  <c r="Y19" i="76"/>
  <c r="AA19" i="76"/>
  <c r="AD19" i="76"/>
  <c r="AE9" i="76"/>
  <c r="AD7" i="76"/>
  <c r="AD17" i="76"/>
  <c r="AD6" i="76"/>
  <c r="AD8" i="76"/>
  <c r="AD11" i="76"/>
  <c r="AD10" i="76"/>
  <c r="AD15" i="76"/>
  <c r="AD16" i="76"/>
  <c r="AE15" i="76"/>
  <c r="AD9" i="76"/>
  <c r="AD18" i="76"/>
  <c r="AD12" i="76"/>
  <c r="AE17" i="76"/>
  <c r="AD13" i="76"/>
  <c r="AD14" i="76"/>
  <c r="AE16" i="76"/>
  <c r="AE6" i="76"/>
  <c r="Y7" i="76"/>
  <c r="Y8" i="76"/>
  <c r="AA9" i="76"/>
  <c r="AE13" i="76"/>
  <c r="Y6" i="76"/>
  <c r="AA15" i="76"/>
  <c r="AE7" i="76"/>
  <c r="Y13" i="76"/>
  <c r="AA17" i="76"/>
  <c r="AE18" i="76"/>
  <c r="Y11" i="76"/>
  <c r="AA8" i="76"/>
  <c r="AE10" i="76"/>
  <c r="Y15" i="76"/>
  <c r="AA13" i="76"/>
  <c r="Y9" i="76"/>
  <c r="AA11" i="76"/>
  <c r="Y12" i="76"/>
  <c r="AA18" i="76"/>
  <c r="AE12" i="76"/>
  <c r="Y14" i="76"/>
  <c r="AA14" i="76"/>
  <c r="AE11" i="76"/>
  <c r="Y17" i="76"/>
  <c r="AA10" i="76"/>
  <c r="AA7" i="76"/>
  <c r="AE14" i="76"/>
  <c r="Y10" i="76"/>
  <c r="AA16" i="76"/>
  <c r="Y18" i="76"/>
  <c r="AA6" i="76"/>
  <c r="AE8" i="76"/>
  <c r="Y16" i="76"/>
  <c r="AA12" i="76"/>
  <c r="AA5" i="76"/>
  <c r="AD5" i="76"/>
  <c r="AE5" i="76"/>
  <c r="Y5" i="76"/>
  <c r="AE15" i="1"/>
  <c r="HH5" i="38"/>
  <c r="GW5" i="38"/>
  <c r="GV5" i="38"/>
  <c r="HL5" i="38"/>
  <c r="HK5" i="38"/>
  <c r="GZ5" i="38"/>
  <c r="GZ14" i="38" s="1"/>
  <c r="HO5" i="38"/>
  <c r="GY5" i="38"/>
  <c r="GQ5" i="38"/>
  <c r="GQ15" i="38" s="1"/>
  <c r="HN5" i="38"/>
  <c r="HC5" i="38"/>
  <c r="HB5" i="38"/>
  <c r="HB17" i="38" s="1"/>
  <c r="HF5" i="38"/>
  <c r="HF8" i="38" s="1"/>
  <c r="GT5" i="38"/>
  <c r="HE5" i="38"/>
  <c r="GP5" i="38"/>
  <c r="GS5" i="38"/>
  <c r="HI5" i="38"/>
  <c r="FS20" i="38" l="1"/>
  <c r="FS18" i="38"/>
  <c r="FS21" i="38"/>
  <c r="FS19" i="38"/>
  <c r="GT10" i="38"/>
  <c r="GT14" i="38"/>
  <c r="HH11" i="38"/>
  <c r="HH10" i="38"/>
  <c r="AJ17" i="76"/>
  <c r="HN11" i="38"/>
  <c r="GP14" i="38"/>
  <c r="GP12" i="38"/>
  <c r="GP16" i="38"/>
  <c r="GP17" i="38"/>
  <c r="HE16" i="38"/>
  <c r="HK17" i="38"/>
  <c r="HK11" i="38"/>
  <c r="HK13" i="38"/>
  <c r="GY8" i="38"/>
  <c r="GY10" i="38"/>
  <c r="HO16" i="38"/>
  <c r="AJ14" i="76" s="1"/>
  <c r="HO15" i="38"/>
  <c r="HO10" i="38"/>
  <c r="HO14" i="38"/>
  <c r="AJ12" i="76" s="1"/>
  <c r="HL14" i="38"/>
  <c r="HL11" i="38"/>
  <c r="HL9" i="38"/>
  <c r="HL8" i="38"/>
  <c r="GV15" i="38"/>
  <c r="GV14" i="38"/>
  <c r="AH12" i="76" s="1"/>
  <c r="HI11" i="38"/>
  <c r="HI16" i="38"/>
  <c r="GW15" i="38"/>
  <c r="GW10" i="38"/>
  <c r="FS11" i="38"/>
  <c r="AI17" i="76"/>
  <c r="FS17" i="38"/>
  <c r="FS16" i="38"/>
  <c r="FS14" i="38"/>
  <c r="FS7" i="38"/>
  <c r="FS10" i="38"/>
  <c r="FS1" i="36"/>
  <c r="FS13" i="38"/>
  <c r="FS12" i="38"/>
  <c r="FS9" i="38"/>
  <c r="FS15" i="38"/>
  <c r="AI13" i="76" s="1"/>
  <c r="FS8" i="38"/>
  <c r="HC7" i="38"/>
  <c r="GY7" i="38"/>
  <c r="GS7" i="38"/>
  <c r="HO7" i="38"/>
  <c r="HK7" i="38"/>
  <c r="HE7" i="38"/>
  <c r="GW7" i="38"/>
  <c r="HN7" i="38"/>
  <c r="HI7" i="38"/>
  <c r="HL7" i="38"/>
  <c r="HF7" i="38"/>
  <c r="HH7" i="38"/>
  <c r="GQ7" i="38"/>
  <c r="GZ7" i="38"/>
  <c r="GP7" i="38"/>
  <c r="GV7" i="38"/>
  <c r="GT7" i="38"/>
  <c r="HB7" i="38"/>
  <c r="GX5" i="38"/>
  <c r="HM5" i="38"/>
  <c r="HA5" i="38"/>
  <c r="HP5" i="38"/>
  <c r="HD5" i="38"/>
  <c r="HG5" i="38"/>
  <c r="HJ5" i="38"/>
  <c r="GU5" i="38"/>
  <c r="GU16" i="38" s="1"/>
  <c r="GR5" i="38"/>
  <c r="AI11" i="76" l="1"/>
  <c r="HM11" i="38"/>
  <c r="HM17" i="38"/>
  <c r="HM10" i="38"/>
  <c r="AI18" i="76"/>
  <c r="AI19" i="76"/>
  <c r="AH17" i="76"/>
  <c r="GX15" i="38"/>
  <c r="GX12" i="38"/>
  <c r="GR12" i="38"/>
  <c r="GR14" i="38"/>
  <c r="GR11" i="38"/>
  <c r="GR13" i="38"/>
  <c r="HD9" i="38"/>
  <c r="HD12" i="38"/>
  <c r="HD10" i="38"/>
  <c r="AJ16" i="76"/>
  <c r="HP15" i="38"/>
  <c r="AJ13" i="76" s="1"/>
  <c r="HP17" i="38"/>
  <c r="AJ15" i="76" s="1"/>
  <c r="AJ18" i="76"/>
  <c r="HP10" i="38"/>
  <c r="AJ19" i="76"/>
  <c r="AH18" i="76"/>
  <c r="HA17" i="38"/>
  <c r="AH15" i="76" s="1"/>
  <c r="HA11" i="38"/>
  <c r="AH19" i="76"/>
  <c r="HA12" i="38"/>
  <c r="HA16" i="38"/>
  <c r="AH14" i="76" s="1"/>
  <c r="HA13" i="38"/>
  <c r="AH11" i="76" s="1"/>
  <c r="HJ11" i="38"/>
  <c r="HJ10" i="38"/>
  <c r="HJ14" i="38"/>
  <c r="AI12" i="76" s="1"/>
  <c r="AI16" i="76"/>
  <c r="HJ12" i="38"/>
  <c r="HG15" i="38"/>
  <c r="HG8" i="38"/>
  <c r="HG12" i="38"/>
  <c r="AI15" i="76"/>
  <c r="AI14" i="76"/>
  <c r="GR7" i="38"/>
  <c r="GU7" i="38"/>
  <c r="AJ10" i="76"/>
  <c r="HP7" i="38"/>
  <c r="HJ7" i="38"/>
  <c r="AI7" i="76"/>
  <c r="AI6" i="76"/>
  <c r="HD7" i="38"/>
  <c r="HA7" i="38"/>
  <c r="HM7" i="38"/>
  <c r="HG7" i="38"/>
  <c r="GX7" i="38"/>
  <c r="AF7" i="38"/>
  <c r="BD7" i="38"/>
  <c r="BB7" i="38"/>
  <c r="AC7" i="38"/>
  <c r="I7" i="38"/>
  <c r="AD7" i="38"/>
  <c r="F7" i="38"/>
  <c r="BA7" i="38"/>
  <c r="AG7" i="38"/>
  <c r="BE7" i="38"/>
  <c r="H7" i="38"/>
  <c r="AH3" i="38"/>
  <c r="AE3" i="38"/>
  <c r="BF3" i="38"/>
  <c r="BC3" i="38"/>
  <c r="J3" i="38"/>
  <c r="G3" i="38"/>
  <c r="E1" i="36"/>
  <c r="BF21" i="38" l="1"/>
  <c r="BF20" i="38"/>
  <c r="BF18" i="38"/>
  <c r="BF19" i="38"/>
  <c r="AE19" i="38"/>
  <c r="AE18" i="38"/>
  <c r="AE21" i="38"/>
  <c r="AC19" i="76" s="1"/>
  <c r="AE20" i="38"/>
  <c r="G21" i="38"/>
  <c r="G20" i="38"/>
  <c r="G18" i="38"/>
  <c r="G19" i="38"/>
  <c r="J18" i="38"/>
  <c r="J19" i="38"/>
  <c r="J21" i="38"/>
  <c r="Z19" i="76" s="1"/>
  <c r="J20" i="38"/>
  <c r="AH19" i="38"/>
  <c r="AH18" i="38"/>
  <c r="AH21" i="38"/>
  <c r="AB19" i="76" s="1"/>
  <c r="AH20" i="38"/>
  <c r="BC20" i="38"/>
  <c r="BC18" i="38"/>
  <c r="BC21" i="38"/>
  <c r="BC19" i="38"/>
  <c r="AH13" i="76"/>
  <c r="AH16" i="76"/>
  <c r="AH8" i="38"/>
  <c r="AH15" i="38"/>
  <c r="AH14" i="38"/>
  <c r="AH13" i="38"/>
  <c r="AH10" i="38"/>
  <c r="AH11" i="38"/>
  <c r="AH17" i="38"/>
  <c r="AH12" i="38"/>
  <c r="AH9" i="38"/>
  <c r="AH16" i="38"/>
  <c r="G10" i="38"/>
  <c r="G13" i="38"/>
  <c r="G15" i="38"/>
  <c r="G16" i="38"/>
  <c r="G14" i="38"/>
  <c r="G8" i="38"/>
  <c r="G9" i="38"/>
  <c r="G12" i="38"/>
  <c r="G17" i="38"/>
  <c r="G11" i="38"/>
  <c r="J9" i="38"/>
  <c r="J13" i="38"/>
  <c r="J15" i="38"/>
  <c r="J12" i="38"/>
  <c r="J17" i="38"/>
  <c r="J14" i="38"/>
  <c r="J11" i="38"/>
  <c r="J16" i="38"/>
  <c r="J10" i="38"/>
  <c r="J8" i="38"/>
  <c r="BC12" i="38"/>
  <c r="BC14" i="38"/>
  <c r="BC11" i="38"/>
  <c r="BC15" i="38"/>
  <c r="BC8" i="38"/>
  <c r="BC16" i="38"/>
  <c r="BC13" i="38"/>
  <c r="BC9" i="38"/>
  <c r="BC17" i="38"/>
  <c r="BC10" i="38"/>
  <c r="BF12" i="38"/>
  <c r="BF16" i="38"/>
  <c r="BF14" i="38"/>
  <c r="BF17" i="38"/>
  <c r="BF15" i="38"/>
  <c r="BF11" i="38"/>
  <c r="BF13" i="38"/>
  <c r="BF9" i="38"/>
  <c r="BF8" i="38"/>
  <c r="BF10" i="38"/>
  <c r="AE9" i="38"/>
  <c r="AE8" i="38"/>
  <c r="AE17" i="38"/>
  <c r="AE14" i="38"/>
  <c r="AE15" i="38"/>
  <c r="AE13" i="38"/>
  <c r="AE11" i="38"/>
  <c r="AE12" i="38"/>
  <c r="AE16" i="38"/>
  <c r="AE10" i="38"/>
  <c r="AI5" i="76"/>
  <c r="AH8" i="76"/>
  <c r="AI10" i="76"/>
  <c r="AI8" i="76"/>
  <c r="AH5" i="76"/>
  <c r="AH6" i="76"/>
  <c r="AI9" i="76"/>
  <c r="AH9" i="76"/>
  <c r="AJ5" i="76"/>
  <c r="AH7" i="76"/>
  <c r="AJ6" i="76"/>
  <c r="AJ9" i="76"/>
  <c r="AH10" i="76"/>
  <c r="AJ8" i="76"/>
  <c r="AJ7" i="76"/>
  <c r="BC7" i="38"/>
  <c r="G7" i="38"/>
  <c r="BF7" i="38"/>
  <c r="AE1" i="36"/>
  <c r="AE7" i="38"/>
  <c r="AC5" i="76" s="1"/>
  <c r="AH1" i="36"/>
  <c r="AH7" i="38"/>
  <c r="AB5" i="76" s="1"/>
  <c r="J1" i="36"/>
  <c r="J7" i="38"/>
  <c r="Z5" i="76" s="1"/>
  <c r="BC1" i="36"/>
  <c r="BF1" i="36"/>
  <c r="G1" i="36"/>
  <c r="X19" i="76" l="1"/>
  <c r="AF19" i="76" s="1"/>
  <c r="AB13" i="76"/>
  <c r="AC11" i="76"/>
  <c r="Z13" i="76"/>
  <c r="AB14" i="76"/>
  <c r="AC10" i="76"/>
  <c r="Z6" i="76"/>
  <c r="Z10" i="76"/>
  <c r="AB6" i="76"/>
  <c r="AC7" i="76"/>
  <c r="Z15" i="76"/>
  <c r="AC17" i="76"/>
  <c r="AB9" i="76"/>
  <c r="AC8" i="76"/>
  <c r="Z9" i="76"/>
  <c r="AB11" i="76"/>
  <c r="AC6" i="76"/>
  <c r="Z16" i="76"/>
  <c r="AB12" i="76"/>
  <c r="AC15" i="76"/>
  <c r="Z18" i="76"/>
  <c r="AB16" i="76"/>
  <c r="AC16" i="76"/>
  <c r="Z12" i="76"/>
  <c r="AB8" i="76"/>
  <c r="AC13" i="76"/>
  <c r="Z7" i="76"/>
  <c r="Z8" i="76"/>
  <c r="AB15" i="76"/>
  <c r="AC18" i="76"/>
  <c r="Z14" i="76"/>
  <c r="AB7" i="76"/>
  <c r="AB17" i="76"/>
  <c r="AC14" i="76"/>
  <c r="Z17" i="76"/>
  <c r="AB18" i="76"/>
  <c r="AB10" i="76"/>
  <c r="AC9" i="76"/>
  <c r="AC12" i="76"/>
  <c r="Z11" i="76"/>
  <c r="X12" i="76"/>
  <c r="X14" i="76"/>
  <c r="X11" i="76"/>
  <c r="X6" i="76"/>
  <c r="X13" i="76"/>
  <c r="X8" i="76"/>
  <c r="X17" i="76"/>
  <c r="X15" i="76"/>
  <c r="X9" i="76"/>
  <c r="X16" i="76"/>
  <c r="X7" i="76"/>
  <c r="X18" i="76"/>
  <c r="X10" i="76"/>
  <c r="X5" i="76"/>
  <c r="AF5" i="76" s="1"/>
  <c r="GF3" i="38"/>
  <c r="GF18" i="38" l="1"/>
  <c r="GF19" i="38"/>
  <c r="GF21" i="38"/>
  <c r="GF20" i="38"/>
  <c r="GF17" i="38"/>
  <c r="GF16" i="38"/>
  <c r="GF13" i="38"/>
  <c r="GF14" i="38"/>
  <c r="GF15" i="38"/>
  <c r="GF8" i="38"/>
  <c r="GF11" i="38"/>
  <c r="GF12" i="38"/>
  <c r="GF10" i="38"/>
  <c r="GF9" i="38"/>
  <c r="AF6" i="76"/>
  <c r="AF13" i="76"/>
  <c r="AF9" i="76"/>
  <c r="AF7" i="76"/>
  <c r="AF14" i="76"/>
  <c r="AF12" i="76"/>
  <c r="AF17" i="76"/>
  <c r="AF10" i="76"/>
  <c r="AF16" i="76"/>
  <c r="AF15" i="76"/>
  <c r="AF18" i="76"/>
  <c r="AF8" i="76"/>
  <c r="AF11" i="76"/>
  <c r="GF7" i="38"/>
  <c r="GF1" i="36"/>
  <c r="FZ3" i="38" l="1"/>
  <c r="GC3" i="38"/>
  <c r="GI3" i="38"/>
  <c r="GI20" i="38" l="1"/>
  <c r="GI18" i="38"/>
  <c r="GI21" i="38"/>
  <c r="GI19" i="38"/>
  <c r="GC21" i="38"/>
  <c r="GC18" i="38"/>
  <c r="GC19" i="38"/>
  <c r="GC20" i="38"/>
  <c r="FZ18" i="38"/>
  <c r="FZ19" i="38"/>
  <c r="FZ21" i="38"/>
  <c r="AG19" i="76" s="1"/>
  <c r="AK19" i="76" s="1"/>
  <c r="AL19" i="76" s="1"/>
  <c r="FZ20" i="38"/>
  <c r="GI11" i="38"/>
  <c r="GC10" i="38"/>
  <c r="FZ10" i="38"/>
  <c r="FZ16" i="38"/>
  <c r="GC17" i="38"/>
  <c r="GC12" i="38"/>
  <c r="GC13" i="38"/>
  <c r="GC9" i="38"/>
  <c r="GC11" i="38"/>
  <c r="GC8" i="38"/>
  <c r="GC15" i="38"/>
  <c r="GC14" i="38"/>
  <c r="GC16" i="38"/>
  <c r="GI17" i="38"/>
  <c r="GI10" i="38"/>
  <c r="GI8" i="38"/>
  <c r="GI16" i="38"/>
  <c r="GI9" i="38"/>
  <c r="GI13" i="38"/>
  <c r="GI14" i="38"/>
  <c r="GI15" i="38"/>
  <c r="GI12" i="38"/>
  <c r="FZ15" i="38"/>
  <c r="FZ13" i="38"/>
  <c r="FZ8" i="38"/>
  <c r="FZ9" i="38"/>
  <c r="FZ12" i="38"/>
  <c r="FZ17" i="38"/>
  <c r="FZ14" i="38"/>
  <c r="FZ11" i="38"/>
  <c r="FZ7" i="38"/>
  <c r="GI7" i="38"/>
  <c r="GC7" i="38"/>
  <c r="FZ1" i="36"/>
  <c r="GI1" i="36"/>
  <c r="GC1" i="36"/>
  <c r="AG16" i="76" l="1"/>
  <c r="AK16" i="76" s="1"/>
  <c r="AL16" i="76" s="1"/>
  <c r="AG17" i="76"/>
  <c r="AK17" i="76" s="1"/>
  <c r="AL17" i="76" s="1"/>
  <c r="AG9" i="76"/>
  <c r="AK9" i="76" s="1"/>
  <c r="AL9" i="76" s="1"/>
  <c r="AG15" i="76"/>
  <c r="AK15" i="76" s="1"/>
  <c r="AL15" i="76" s="1"/>
  <c r="AG7" i="76"/>
  <c r="AK7" i="76" s="1"/>
  <c r="AL7" i="76" s="1"/>
  <c r="AG6" i="76"/>
  <c r="AK6" i="76" s="1"/>
  <c r="AL6" i="76" s="1"/>
  <c r="AG13" i="76"/>
  <c r="AK13" i="76" s="1"/>
  <c r="AL13" i="76" s="1"/>
  <c r="AG12" i="76"/>
  <c r="AK12" i="76" s="1"/>
  <c r="AL12" i="76" s="1"/>
  <c r="AG11" i="76"/>
  <c r="AK11" i="76" s="1"/>
  <c r="AL11" i="76" s="1"/>
  <c r="AG10" i="76"/>
  <c r="AK10" i="76" s="1"/>
  <c r="AL10" i="76" s="1"/>
  <c r="AG8" i="76"/>
  <c r="AK8" i="76" s="1"/>
  <c r="AL8" i="76" s="1"/>
  <c r="AG18" i="76"/>
  <c r="AK18" i="76" s="1"/>
  <c r="AL18" i="76" s="1"/>
  <c r="AG14" i="76"/>
  <c r="AK14" i="76" s="1"/>
  <c r="AL14" i="76" s="1"/>
  <c r="AG5" i="76"/>
  <c r="AK5" i="76" l="1"/>
  <c r="AL5" i="76" s="1"/>
  <c r="V20" i="76" l="1"/>
  <c r="V21" i="76"/>
  <c r="V23" i="76"/>
  <c r="V22" i="76"/>
  <c r="V6" i="76"/>
  <c r="V11" i="76"/>
  <c r="V12" i="76"/>
  <c r="V8" i="76"/>
  <c r="V10" i="76"/>
  <c r="V7" i="76"/>
  <c r="V5" i="76"/>
  <c r="V18" i="76"/>
  <c r="V17" i="76"/>
  <c r="V13" i="76"/>
  <c r="V14" i="76"/>
  <c r="V19" i="76"/>
  <c r="V15" i="76"/>
  <c r="V9" i="76"/>
  <c r="V16" i="76"/>
  <c r="D6" i="76" l="1"/>
  <c r="D21" i="76"/>
  <c r="D7" i="76"/>
  <c r="AY9" i="40" s="1"/>
  <c r="D22" i="76"/>
  <c r="AY24" i="40" s="1"/>
  <c r="D8" i="76"/>
  <c r="D23" i="76"/>
  <c r="AY25" i="40" s="1"/>
  <c r="D20" i="76"/>
  <c r="AY22" i="40" s="1"/>
  <c r="D9" i="76"/>
  <c r="D10" i="76"/>
  <c r="D11" i="76"/>
  <c r="D12" i="76"/>
  <c r="D13" i="76"/>
  <c r="D14" i="76"/>
  <c r="D15" i="76"/>
  <c r="D16" i="76"/>
  <c r="D17" i="76"/>
  <c r="AY19" i="40" s="1"/>
  <c r="D18" i="76"/>
  <c r="AY20" i="40" s="1"/>
  <c r="D19" i="76"/>
  <c r="AY21" i="40" s="1"/>
  <c r="D5" i="76"/>
  <c r="BE22" i="40" l="1" a="1"/>
  <c r="BE22" i="40" s="1"/>
  <c r="BD22" i="40" a="1"/>
  <c r="BD22" i="40" s="1"/>
  <c r="BC22" i="40" a="1"/>
  <c r="BC22" i="40" s="1"/>
  <c r="BA22" i="40" a="1"/>
  <c r="BA22" i="40" s="1"/>
  <c r="BB22" i="40" a="1"/>
  <c r="BB22" i="40" s="1"/>
  <c r="AZ22" i="40" a="1"/>
  <c r="AZ22" i="40" s="1"/>
  <c r="BG22" i="40" a="1"/>
  <c r="BG22" i="40" s="1"/>
  <c r="BF22" i="40" a="1"/>
  <c r="BF22" i="40" s="1"/>
  <c r="BD25" i="40" a="1"/>
  <c r="BD25" i="40" s="1"/>
  <c r="BB25" i="40" a="1"/>
  <c r="BB25" i="40" s="1"/>
  <c r="BC25" i="40" a="1"/>
  <c r="BC25" i="40" s="1"/>
  <c r="BA25" i="40" a="1"/>
  <c r="BA25" i="40" s="1"/>
  <c r="AZ25" i="40" a="1"/>
  <c r="AZ25" i="40" s="1"/>
  <c r="BG25" i="40" a="1"/>
  <c r="BG25" i="40" s="1"/>
  <c r="BF25" i="40" a="1"/>
  <c r="BF25" i="40" s="1"/>
  <c r="BE25" i="40" a="1"/>
  <c r="BE25" i="40" s="1"/>
  <c r="BD24" i="40" a="1"/>
  <c r="BD24" i="40" s="1"/>
  <c r="AZ24" i="40" a="1"/>
  <c r="AZ24" i="40" s="1"/>
  <c r="BC24" i="40" a="1"/>
  <c r="BC24" i="40" s="1"/>
  <c r="BG24" i="40" a="1"/>
  <c r="BG24" i="40" s="1"/>
  <c r="BF24" i="40" a="1"/>
  <c r="BF24" i="40" s="1"/>
  <c r="BB24" i="40" a="1"/>
  <c r="BB24" i="40" s="1"/>
  <c r="BA24" i="40" a="1"/>
  <c r="BA24" i="40" s="1"/>
  <c r="BE24" i="40" a="1"/>
  <c r="BE24" i="40" s="1"/>
  <c r="C27" i="40"/>
  <c r="Z27" i="40" s="1"/>
  <c r="AE27" i="40" s="1"/>
  <c r="AY23" i="40"/>
  <c r="C26" i="40"/>
  <c r="C16" i="40"/>
  <c r="AQ16" i="40" s="1" a="1"/>
  <c r="AQ16" i="40" s="1"/>
  <c r="AY12" i="40"/>
  <c r="C15" i="40"/>
  <c r="Z15" i="40" s="1"/>
  <c r="AY11" i="40"/>
  <c r="C14" i="40"/>
  <c r="AY10" i="40"/>
  <c r="C20" i="40"/>
  <c r="AY16" i="40"/>
  <c r="C19" i="40"/>
  <c r="AY15" i="40"/>
  <c r="C17" i="40"/>
  <c r="Z17" i="40" s="1"/>
  <c r="AY13" i="40"/>
  <c r="C21" i="40"/>
  <c r="AY17" i="40"/>
  <c r="C22" i="40"/>
  <c r="AY18" i="40"/>
  <c r="C18" i="40"/>
  <c r="J18" i="40" s="1" a="1"/>
  <c r="J18" i="40" s="1"/>
  <c r="AY14" i="40"/>
  <c r="C24" i="40"/>
  <c r="C25" i="40"/>
  <c r="C23" i="40"/>
  <c r="BF20" i="40" a="1"/>
  <c r="BF20" i="40" s="1"/>
  <c r="BE20" i="40" a="1"/>
  <c r="BE20" i="40" s="1"/>
  <c r="BD20" i="40" a="1"/>
  <c r="BD20" i="40" s="1"/>
  <c r="BC20" i="40" a="1"/>
  <c r="BC20" i="40" s="1"/>
  <c r="BB20" i="40" a="1"/>
  <c r="BB20" i="40" s="1"/>
  <c r="AZ20" i="40" a="1"/>
  <c r="AZ20" i="40" s="1"/>
  <c r="BG20" i="40" a="1"/>
  <c r="BG20" i="40" s="1"/>
  <c r="BA20" i="40" a="1"/>
  <c r="BA20" i="40" s="1"/>
  <c r="BF21" i="40" a="1"/>
  <c r="BF21" i="40" s="1"/>
  <c r="AZ21" i="40" a="1"/>
  <c r="AZ21" i="40" s="1"/>
  <c r="BG21" i="40" a="1"/>
  <c r="BG21" i="40" s="1"/>
  <c r="BE21" i="40" a="1"/>
  <c r="BE21" i="40" s="1"/>
  <c r="BD21" i="40" a="1"/>
  <c r="BD21" i="40" s="1"/>
  <c r="BA21" i="40" a="1"/>
  <c r="BA21" i="40" s="1"/>
  <c r="BC21" i="40" a="1"/>
  <c r="BC21" i="40" s="1"/>
  <c r="BB21" i="40" a="1"/>
  <c r="BB21" i="40" s="1"/>
  <c r="BD19" i="40" a="1"/>
  <c r="BD19" i="40" s="1"/>
  <c r="BE19" i="40" a="1"/>
  <c r="BE19" i="40" s="1"/>
  <c r="BC19" i="40" a="1"/>
  <c r="BC19" i="40" s="1"/>
  <c r="BB19" i="40" a="1"/>
  <c r="BB19" i="40" s="1"/>
  <c r="BG19" i="40" a="1"/>
  <c r="BG19" i="40" s="1"/>
  <c r="BA19" i="40" a="1"/>
  <c r="BA19" i="40" s="1"/>
  <c r="BF19" i="40" a="1"/>
  <c r="BF19" i="40" s="1"/>
  <c r="AZ19" i="40" a="1"/>
  <c r="AZ19" i="40" s="1"/>
  <c r="J10" i="76"/>
  <c r="Q10" i="76"/>
  <c r="S10" i="76"/>
  <c r="H10" i="76"/>
  <c r="P10" i="76"/>
  <c r="G10" i="76"/>
  <c r="I10" i="76"/>
  <c r="O10" i="76"/>
  <c r="K10" i="76"/>
  <c r="N10" i="76"/>
  <c r="M10" i="76"/>
  <c r="L10" i="76"/>
  <c r="R10" i="76"/>
  <c r="F10" i="76"/>
  <c r="E10" i="76"/>
  <c r="R15" i="76"/>
  <c r="M15" i="76"/>
  <c r="E15" i="76"/>
  <c r="S15" i="76"/>
  <c r="O15" i="76"/>
  <c r="G15" i="76"/>
  <c r="Q15" i="76"/>
  <c r="H15" i="76"/>
  <c r="P15" i="76"/>
  <c r="F15" i="76"/>
  <c r="I15" i="76"/>
  <c r="K15" i="76"/>
  <c r="J15" i="76"/>
  <c r="N15" i="76"/>
  <c r="L15" i="76"/>
  <c r="L19" i="76"/>
  <c r="R19" i="76"/>
  <c r="G19" i="76"/>
  <c r="E19" i="76"/>
  <c r="S19" i="76"/>
  <c r="F19" i="76"/>
  <c r="P19" i="76"/>
  <c r="I19" i="76"/>
  <c r="N19" i="76"/>
  <c r="O19" i="76"/>
  <c r="J19" i="76"/>
  <c r="Q19" i="76"/>
  <c r="K19" i="76"/>
  <c r="H19" i="76"/>
  <c r="M19" i="76"/>
  <c r="O8" i="76"/>
  <c r="K8" i="76"/>
  <c r="N8" i="76"/>
  <c r="E8" i="76"/>
  <c r="M8" i="76"/>
  <c r="L8" i="76"/>
  <c r="G8" i="76"/>
  <c r="F8" i="76"/>
  <c r="H8" i="76"/>
  <c r="Q8" i="76"/>
  <c r="P8" i="76"/>
  <c r="I8" i="76"/>
  <c r="S8" i="76"/>
  <c r="J8" i="76"/>
  <c r="R8" i="76"/>
  <c r="G18" i="76"/>
  <c r="M18" i="76"/>
  <c r="E18" i="76"/>
  <c r="H18" i="76"/>
  <c r="S18" i="76"/>
  <c r="R18" i="76"/>
  <c r="I18" i="76"/>
  <c r="J18" i="76"/>
  <c r="F18" i="76"/>
  <c r="K18" i="76"/>
  <c r="Q18" i="76"/>
  <c r="O18" i="76"/>
  <c r="N18" i="76"/>
  <c r="L18" i="76"/>
  <c r="P18" i="76"/>
  <c r="K13" i="76"/>
  <c r="F13" i="76"/>
  <c r="P13" i="76"/>
  <c r="H13" i="76"/>
  <c r="M13" i="76"/>
  <c r="R13" i="76"/>
  <c r="L13" i="76"/>
  <c r="J13" i="76"/>
  <c r="I13" i="76"/>
  <c r="E13" i="76"/>
  <c r="S13" i="76"/>
  <c r="Q13" i="76"/>
  <c r="G13" i="76"/>
  <c r="O13" i="76"/>
  <c r="N13" i="76"/>
  <c r="C13" i="40"/>
  <c r="R7" i="76"/>
  <c r="F7" i="76"/>
  <c r="Q7" i="76"/>
  <c r="P7" i="76"/>
  <c r="E7" i="76"/>
  <c r="O7" i="76"/>
  <c r="N7" i="76"/>
  <c r="H7" i="76"/>
  <c r="M7" i="76"/>
  <c r="L7" i="76"/>
  <c r="G7" i="76"/>
  <c r="K7" i="76"/>
  <c r="I7" i="76"/>
  <c r="J7" i="76"/>
  <c r="S7" i="76"/>
  <c r="I9" i="76"/>
  <c r="E9" i="76"/>
  <c r="Q9" i="76"/>
  <c r="J9" i="76"/>
  <c r="S9" i="76"/>
  <c r="H9" i="76"/>
  <c r="K9" i="76"/>
  <c r="M9" i="76"/>
  <c r="F9" i="76"/>
  <c r="P9" i="76"/>
  <c r="O9" i="76"/>
  <c r="G9" i="76"/>
  <c r="L9" i="76"/>
  <c r="R9" i="76"/>
  <c r="N9" i="76"/>
  <c r="I23" i="76"/>
  <c r="G23" i="76"/>
  <c r="J23" i="76"/>
  <c r="S23" i="76"/>
  <c r="N23" i="76"/>
  <c r="K23" i="76"/>
  <c r="F23" i="76"/>
  <c r="L23" i="76"/>
  <c r="E23" i="76"/>
  <c r="Q23" i="76"/>
  <c r="R23" i="76"/>
  <c r="H23" i="76"/>
  <c r="P23" i="76"/>
  <c r="M23" i="76"/>
  <c r="O23" i="76"/>
  <c r="E14" i="76"/>
  <c r="F14" i="76"/>
  <c r="P14" i="76"/>
  <c r="S14" i="76"/>
  <c r="R14" i="76"/>
  <c r="Q14" i="76"/>
  <c r="K14" i="76"/>
  <c r="G14" i="76"/>
  <c r="H14" i="76"/>
  <c r="O14" i="76"/>
  <c r="I14" i="76"/>
  <c r="N14" i="76"/>
  <c r="J14" i="76"/>
  <c r="M14" i="76"/>
  <c r="L14" i="76"/>
  <c r="I11" i="76"/>
  <c r="P11" i="76"/>
  <c r="S11" i="76"/>
  <c r="J11" i="76"/>
  <c r="O11" i="76"/>
  <c r="L11" i="76"/>
  <c r="F11" i="76"/>
  <c r="Q11" i="76"/>
  <c r="K11" i="76"/>
  <c r="N11" i="76"/>
  <c r="M11" i="76"/>
  <c r="G11" i="76"/>
  <c r="E11" i="76"/>
  <c r="R11" i="76"/>
  <c r="H11" i="76"/>
  <c r="P21" i="76"/>
  <c r="O21" i="76"/>
  <c r="I21" i="76"/>
  <c r="L21" i="76"/>
  <c r="N21" i="76"/>
  <c r="R21" i="76"/>
  <c r="H21" i="76"/>
  <c r="F21" i="76"/>
  <c r="J21" i="76"/>
  <c r="G21" i="76"/>
  <c r="M21" i="76"/>
  <c r="K21" i="76"/>
  <c r="E21" i="76"/>
  <c r="S21" i="76"/>
  <c r="Q21" i="76"/>
  <c r="I6" i="76"/>
  <c r="P6" i="76"/>
  <c r="H6" i="76"/>
  <c r="Q6" i="76"/>
  <c r="J6" i="76"/>
  <c r="M6" i="76"/>
  <c r="K6" i="76"/>
  <c r="O6" i="76"/>
  <c r="N6" i="76"/>
  <c r="AY8" i="40"/>
  <c r="G6" i="76"/>
  <c r="C12" i="40"/>
  <c r="F6" i="76"/>
  <c r="L6" i="76"/>
  <c r="R6" i="76"/>
  <c r="E6" i="76"/>
  <c r="S6" i="76"/>
  <c r="L22" i="76"/>
  <c r="I22" i="76"/>
  <c r="M22" i="76"/>
  <c r="G22" i="76"/>
  <c r="Q22" i="76"/>
  <c r="F22" i="76"/>
  <c r="J22" i="76"/>
  <c r="E22" i="76"/>
  <c r="H22" i="76"/>
  <c r="S22" i="76"/>
  <c r="K22" i="76"/>
  <c r="R22" i="76"/>
  <c r="P22" i="76"/>
  <c r="O22" i="76"/>
  <c r="N22" i="76"/>
  <c r="N16" i="76"/>
  <c r="O16" i="76"/>
  <c r="P16" i="76"/>
  <c r="M16" i="76"/>
  <c r="J16" i="76"/>
  <c r="L16" i="76"/>
  <c r="K16" i="76"/>
  <c r="G16" i="76"/>
  <c r="H16" i="76"/>
  <c r="F16" i="76"/>
  <c r="E16" i="76"/>
  <c r="I16" i="76"/>
  <c r="S16" i="76"/>
  <c r="R16" i="76"/>
  <c r="Q16" i="76"/>
  <c r="R20" i="76"/>
  <c r="N20" i="76"/>
  <c r="L20" i="76"/>
  <c r="F20" i="76"/>
  <c r="S20" i="76"/>
  <c r="Q20" i="76"/>
  <c r="H20" i="76"/>
  <c r="O20" i="76"/>
  <c r="E20" i="76"/>
  <c r="I20" i="76"/>
  <c r="G20" i="76"/>
  <c r="J20" i="76"/>
  <c r="M20" i="76"/>
  <c r="K20" i="76"/>
  <c r="P20" i="76"/>
  <c r="P17" i="76"/>
  <c r="O17" i="76"/>
  <c r="F17" i="76"/>
  <c r="M17" i="76"/>
  <c r="N17" i="76"/>
  <c r="L17" i="76"/>
  <c r="G17" i="76"/>
  <c r="Q17" i="76"/>
  <c r="H17" i="76"/>
  <c r="S17" i="76"/>
  <c r="I17" i="76"/>
  <c r="E17" i="76"/>
  <c r="R17" i="76"/>
  <c r="J17" i="76"/>
  <c r="K17" i="76"/>
  <c r="Q12" i="76"/>
  <c r="L12" i="76"/>
  <c r="K12" i="76"/>
  <c r="O12" i="76"/>
  <c r="R12" i="76"/>
  <c r="N12" i="76"/>
  <c r="M12" i="76"/>
  <c r="P12" i="76"/>
  <c r="H12" i="76"/>
  <c r="G12" i="76"/>
  <c r="I12" i="76"/>
  <c r="F12" i="76"/>
  <c r="S12" i="76"/>
  <c r="J12" i="76"/>
  <c r="E12" i="76"/>
  <c r="C11" i="40"/>
  <c r="I5" i="76"/>
  <c r="M5" i="76"/>
  <c r="L5" i="76"/>
  <c r="S5" i="76"/>
  <c r="P5" i="76"/>
  <c r="J5" i="76"/>
  <c r="O5" i="76"/>
  <c r="E5" i="76"/>
  <c r="AY7" i="40"/>
  <c r="K5" i="76"/>
  <c r="F5" i="76"/>
  <c r="H5" i="76"/>
  <c r="Q5" i="76"/>
  <c r="G5" i="76"/>
  <c r="N5" i="76"/>
  <c r="R5" i="76"/>
  <c r="AF27" i="40" l="1" a="1"/>
  <c r="AF27" i="40" s="1"/>
  <c r="AK27" i="40"/>
  <c r="AP27" i="40" s="1"/>
  <c r="U15" i="40" a="1"/>
  <c r="U15" i="40" s="1"/>
  <c r="J27" i="40" a="1"/>
  <c r="J27" i="40" s="1"/>
  <c r="O27" i="40"/>
  <c r="T27" i="40" s="1"/>
  <c r="U27" i="40" a="1"/>
  <c r="U27" i="40" s="1"/>
  <c r="BE23" i="40" a="1"/>
  <c r="BE23" i="40" s="1"/>
  <c r="BD23" i="40" a="1"/>
  <c r="BD23" i="40" s="1"/>
  <c r="BC23" i="40" a="1"/>
  <c r="BC23" i="40" s="1"/>
  <c r="BG23" i="40" a="1"/>
  <c r="BG23" i="40" s="1"/>
  <c r="BF23" i="40" a="1"/>
  <c r="BF23" i="40" s="1"/>
  <c r="BB23" i="40" a="1"/>
  <c r="BB23" i="40" s="1"/>
  <c r="BA23" i="40" a="1"/>
  <c r="BA23" i="40" s="1"/>
  <c r="AZ23" i="40" a="1"/>
  <c r="AZ23" i="40" s="1"/>
  <c r="AQ27" i="40" a="1"/>
  <c r="AQ27" i="40" s="1"/>
  <c r="D27" i="40"/>
  <c r="I27" i="40" s="1"/>
  <c r="AF26" i="40" a="1"/>
  <c r="AF26" i="40" s="1"/>
  <c r="Z26" i="40"/>
  <c r="AE26" i="40" s="1"/>
  <c r="U26" i="40" a="1"/>
  <c r="U26" i="40" s="1"/>
  <c r="O26" i="40"/>
  <c r="T26" i="40" s="1"/>
  <c r="J26" i="40" a="1"/>
  <c r="J26" i="40" s="1"/>
  <c r="D26" i="40"/>
  <c r="I26" i="40" s="1"/>
  <c r="AQ26" i="40" a="1"/>
  <c r="AQ26" i="40" s="1"/>
  <c r="AK26" i="40"/>
  <c r="AP26" i="40" s="1"/>
  <c r="D15" i="40"/>
  <c r="AQ15" i="40" a="1"/>
  <c r="AQ15" i="40" s="1"/>
  <c r="AQ18" i="40" a="1"/>
  <c r="AQ18" i="40" s="1"/>
  <c r="O18" i="40"/>
  <c r="U18" i="40" a="1"/>
  <c r="U18" i="40" s="1"/>
  <c r="Z18" i="40"/>
  <c r="AF18" i="40" a="1"/>
  <c r="AF18" i="40" s="1"/>
  <c r="AK15" i="40"/>
  <c r="J15" i="40" a="1"/>
  <c r="J15" i="40" s="1"/>
  <c r="AF15" i="40" a="1"/>
  <c r="AF15" i="40" s="1"/>
  <c r="AE15" i="40" s="1"/>
  <c r="O15" i="40"/>
  <c r="T15" i="40" s="1"/>
  <c r="D18" i="40"/>
  <c r="I18" i="40" s="1"/>
  <c r="AK18" i="40"/>
  <c r="AF16" i="40" a="1"/>
  <c r="AF16" i="40" s="1"/>
  <c r="D16" i="40"/>
  <c r="O16" i="40"/>
  <c r="U16" i="40" a="1"/>
  <c r="U16" i="40" s="1"/>
  <c r="Z16" i="40"/>
  <c r="AK16" i="40"/>
  <c r="AP16" i="40" s="1"/>
  <c r="J16" i="40" a="1"/>
  <c r="J16" i="40" s="1"/>
  <c r="D17" i="40"/>
  <c r="AF17" i="40" a="1"/>
  <c r="AF17" i="40" s="1"/>
  <c r="AE17" i="40" s="1"/>
  <c r="AK17" i="40"/>
  <c r="J17" i="40" a="1"/>
  <c r="J17" i="40" s="1"/>
  <c r="AQ17" i="40" a="1"/>
  <c r="AQ17" i="40" s="1"/>
  <c r="O17" i="40"/>
  <c r="U17" i="40" a="1"/>
  <c r="U17" i="40" s="1"/>
  <c r="BB17" i="40" a="1"/>
  <c r="BB17" i="40" s="1"/>
  <c r="BC17" i="40" a="1"/>
  <c r="BC17" i="40" s="1"/>
  <c r="BG17" i="40" a="1"/>
  <c r="BG17" i="40" s="1"/>
  <c r="BA17" i="40" a="1"/>
  <c r="BA17" i="40" s="1"/>
  <c r="BF17" i="40" a="1"/>
  <c r="BF17" i="40" s="1"/>
  <c r="AZ17" i="40" a="1"/>
  <c r="AZ17" i="40" s="1"/>
  <c r="BE17" i="40" a="1"/>
  <c r="BE17" i="40" s="1"/>
  <c r="BD17" i="40" a="1"/>
  <c r="BD17" i="40" s="1"/>
  <c r="O20" i="40"/>
  <c r="AQ20" i="40" a="1"/>
  <c r="AQ20" i="40" s="1"/>
  <c r="J20" i="40" a="1"/>
  <c r="J20" i="40" s="1"/>
  <c r="AK20" i="40"/>
  <c r="D20" i="40"/>
  <c r="AF20" i="40" a="1"/>
  <c r="AF20" i="40" s="1"/>
  <c r="Z20" i="40"/>
  <c r="U20" i="40" a="1"/>
  <c r="U20" i="40" s="1"/>
  <c r="BG16" i="40" a="1"/>
  <c r="BG16" i="40" s="1"/>
  <c r="BA16" i="40" a="1"/>
  <c r="BA16" i="40" s="1"/>
  <c r="BB16" i="40" a="1"/>
  <c r="BB16" i="40" s="1"/>
  <c r="BF16" i="40" a="1"/>
  <c r="BF16" i="40" s="1"/>
  <c r="AZ16" i="40" a="1"/>
  <c r="AZ16" i="40" s="1"/>
  <c r="BE16" i="40" a="1"/>
  <c r="BE16" i="40" s="1"/>
  <c r="BD16" i="40" a="1"/>
  <c r="BD16" i="40" s="1"/>
  <c r="BC16" i="40" a="1"/>
  <c r="BC16" i="40" s="1"/>
  <c r="U21" i="40" a="1"/>
  <c r="U21" i="40" s="1"/>
  <c r="O21" i="40"/>
  <c r="AQ21" i="40" a="1"/>
  <c r="AQ21" i="40" s="1"/>
  <c r="J21" i="40" a="1"/>
  <c r="J21" i="40" s="1"/>
  <c r="AK21" i="40"/>
  <c r="D21" i="40"/>
  <c r="AF21" i="40" a="1"/>
  <c r="AF21" i="40" s="1"/>
  <c r="Z21" i="40"/>
  <c r="AQ19" i="40" a="1"/>
  <c r="AQ19" i="40" s="1"/>
  <c r="J19" i="40" a="1"/>
  <c r="J19" i="40" s="1"/>
  <c r="AK19" i="40"/>
  <c r="D19" i="40"/>
  <c r="AF19" i="40" a="1"/>
  <c r="AF19" i="40" s="1"/>
  <c r="Z19" i="40"/>
  <c r="U19" i="40" a="1"/>
  <c r="U19" i="40" s="1"/>
  <c r="O19" i="40"/>
  <c r="BF15" i="40" a="1"/>
  <c r="BF15" i="40" s="1"/>
  <c r="AZ15" i="40" a="1"/>
  <c r="AZ15" i="40" s="1"/>
  <c r="BA15" i="40" a="1"/>
  <c r="BA15" i="40" s="1"/>
  <c r="BE15" i="40" a="1"/>
  <c r="BE15" i="40" s="1"/>
  <c r="BD15" i="40" a="1"/>
  <c r="BD15" i="40" s="1"/>
  <c r="BC15" i="40" a="1"/>
  <c r="BC15" i="40" s="1"/>
  <c r="BB15" i="40" a="1"/>
  <c r="BB15" i="40" s="1"/>
  <c r="BG15" i="40" a="1"/>
  <c r="BG15" i="40" s="1"/>
  <c r="Z22" i="40"/>
  <c r="U22" i="40" a="1"/>
  <c r="U22" i="40" s="1"/>
  <c r="O22" i="40"/>
  <c r="AQ22" i="40" a="1"/>
  <c r="AQ22" i="40" s="1"/>
  <c r="J22" i="40" a="1"/>
  <c r="J22" i="40" s="1"/>
  <c r="AK22" i="40"/>
  <c r="D22" i="40"/>
  <c r="AF22" i="40" a="1"/>
  <c r="AF22" i="40" s="1"/>
  <c r="BC18" i="40" a="1"/>
  <c r="BC18" i="40" s="1"/>
  <c r="BB18" i="40" a="1"/>
  <c r="BB18" i="40" s="1"/>
  <c r="BG18" i="40" a="1"/>
  <c r="BG18" i="40" s="1"/>
  <c r="BA18" i="40" a="1"/>
  <c r="BA18" i="40" s="1"/>
  <c r="BF18" i="40" a="1"/>
  <c r="BF18" i="40" s="1"/>
  <c r="AZ18" i="40" a="1"/>
  <c r="AZ18" i="40" s="1"/>
  <c r="BE18" i="40" a="1"/>
  <c r="BE18" i="40" s="1"/>
  <c r="BD18" i="40" a="1"/>
  <c r="BD18" i="40" s="1"/>
  <c r="BC12" i="40" a="1"/>
  <c r="BC12" i="40" s="1"/>
  <c r="BB12" i="40" a="1"/>
  <c r="BB12" i="40" s="1"/>
  <c r="BA12" i="40" a="1"/>
  <c r="BA12" i="40" s="1"/>
  <c r="BE12" i="40" a="1"/>
  <c r="BE12" i="40" s="1"/>
  <c r="AZ12" i="40" a="1"/>
  <c r="AZ12" i="40" s="1"/>
  <c r="BF12" i="40" a="1"/>
  <c r="BF12" i="40" s="1"/>
  <c r="BG12" i="40" a="1"/>
  <c r="BG12" i="40" s="1"/>
  <c r="BD12" i="40" a="1"/>
  <c r="BD12" i="40" s="1"/>
  <c r="J14" i="40" a="1"/>
  <c r="J14" i="40" s="1"/>
  <c r="U14" i="40" a="1"/>
  <c r="U14" i="40" s="1"/>
  <c r="AQ14" i="40" a="1"/>
  <c r="AQ14" i="40" s="1"/>
  <c r="D14" i="40"/>
  <c r="AF14" i="40" a="1"/>
  <c r="AF14" i="40" s="1"/>
  <c r="AK14" i="40"/>
  <c r="O14" i="40"/>
  <c r="Z14" i="40"/>
  <c r="AF23" i="40" a="1"/>
  <c r="AF23" i="40" s="1"/>
  <c r="AQ23" i="40" a="1"/>
  <c r="AQ23" i="40" s="1"/>
  <c r="Z23" i="40"/>
  <c r="AK23" i="40"/>
  <c r="D23" i="40"/>
  <c r="J23" i="40" a="1"/>
  <c r="J23" i="40" s="1"/>
  <c r="U23" i="40" a="1"/>
  <c r="U23" i="40" s="1"/>
  <c r="O23" i="40"/>
  <c r="BF9" i="40" a="1"/>
  <c r="BF9" i="40" s="1"/>
  <c r="BE9" i="40" a="1"/>
  <c r="BE9" i="40" s="1"/>
  <c r="BB9" i="40" a="1"/>
  <c r="BB9" i="40" s="1"/>
  <c r="BD9" i="40" a="1"/>
  <c r="BD9" i="40" s="1"/>
  <c r="BC9" i="40" a="1"/>
  <c r="BC9" i="40" s="1"/>
  <c r="BA9" i="40" a="1"/>
  <c r="BA9" i="40" s="1"/>
  <c r="AZ9" i="40" a="1"/>
  <c r="AZ9" i="40" s="1"/>
  <c r="BG9" i="40" a="1"/>
  <c r="BG9" i="40" s="1"/>
  <c r="U12" i="40" a="1"/>
  <c r="U12" i="40" s="1"/>
  <c r="AF12" i="40" a="1"/>
  <c r="AF12" i="40" s="1"/>
  <c r="Z12" i="40"/>
  <c r="D12" i="40"/>
  <c r="AK12" i="40"/>
  <c r="O12" i="40"/>
  <c r="AQ12" i="40" a="1"/>
  <c r="AQ12" i="40" s="1"/>
  <c r="J12" i="40" a="1"/>
  <c r="J12" i="40" s="1"/>
  <c r="BC8" i="40" a="1"/>
  <c r="BC8" i="40" s="1"/>
  <c r="BB8" i="40" a="1"/>
  <c r="BB8" i="40" s="1"/>
  <c r="BA8" i="40" a="1"/>
  <c r="BA8" i="40" s="1"/>
  <c r="AZ8" i="40" a="1"/>
  <c r="AZ8" i="40" s="1"/>
  <c r="BD8" i="40" a="1"/>
  <c r="BD8" i="40" s="1"/>
  <c r="BF8" i="40" a="1"/>
  <c r="BF8" i="40" s="1"/>
  <c r="BE8" i="40" a="1"/>
  <c r="BE8" i="40" s="1"/>
  <c r="BG8" i="40" a="1"/>
  <c r="BG8" i="40" s="1"/>
  <c r="AZ13" i="40" a="1"/>
  <c r="AZ13" i="40" s="1"/>
  <c r="BG13" i="40" a="1"/>
  <c r="BG13" i="40" s="1"/>
  <c r="BB13" i="40" a="1"/>
  <c r="BB13" i="40" s="1"/>
  <c r="BD13" i="40" a="1"/>
  <c r="BD13" i="40" s="1"/>
  <c r="BA13" i="40" a="1"/>
  <c r="BA13" i="40" s="1"/>
  <c r="BE13" i="40" a="1"/>
  <c r="BE13" i="40" s="1"/>
  <c r="BF13" i="40" a="1"/>
  <c r="BF13" i="40" s="1"/>
  <c r="BC13" i="40" a="1"/>
  <c r="BC13" i="40" s="1"/>
  <c r="AZ10" i="40" a="1"/>
  <c r="AZ10" i="40" s="1"/>
  <c r="BG10" i="40" a="1"/>
  <c r="BG10" i="40" s="1"/>
  <c r="BF10" i="40" a="1"/>
  <c r="BF10" i="40" s="1"/>
  <c r="BE10" i="40" a="1"/>
  <c r="BE10" i="40" s="1"/>
  <c r="BD10" i="40" a="1"/>
  <c r="BD10" i="40" s="1"/>
  <c r="BC10" i="40" a="1"/>
  <c r="BC10" i="40" s="1"/>
  <c r="BB10" i="40" a="1"/>
  <c r="BB10" i="40" s="1"/>
  <c r="BA10" i="40" a="1"/>
  <c r="BA10" i="40" s="1"/>
  <c r="BA11" i="40" a="1"/>
  <c r="BA11" i="40" s="1"/>
  <c r="BE11" i="40" a="1"/>
  <c r="BE11" i="40" s="1"/>
  <c r="BG11" i="40" a="1"/>
  <c r="BG11" i="40" s="1"/>
  <c r="BF11" i="40" a="1"/>
  <c r="BF11" i="40" s="1"/>
  <c r="BB11" i="40" a="1"/>
  <c r="BB11" i="40" s="1"/>
  <c r="BD11" i="40" a="1"/>
  <c r="BD11" i="40" s="1"/>
  <c r="BC11" i="40" a="1"/>
  <c r="BC11" i="40" s="1"/>
  <c r="AZ11" i="40" a="1"/>
  <c r="AZ11" i="40" s="1"/>
  <c r="AF25" i="40" a="1"/>
  <c r="AF25" i="40" s="1"/>
  <c r="Z25" i="40"/>
  <c r="AQ25" i="40" a="1"/>
  <c r="AQ25" i="40" s="1"/>
  <c r="J25" i="40" a="1"/>
  <c r="J25" i="40" s="1"/>
  <c r="AK25" i="40"/>
  <c r="U25" i="40" a="1"/>
  <c r="U25" i="40" s="1"/>
  <c r="D25" i="40"/>
  <c r="O25" i="40"/>
  <c r="Z24" i="40"/>
  <c r="J24" i="40" a="1"/>
  <c r="J24" i="40" s="1"/>
  <c r="AK24" i="40"/>
  <c r="U24" i="40" a="1"/>
  <c r="U24" i="40" s="1"/>
  <c r="AQ24" i="40" a="1"/>
  <c r="AQ24" i="40" s="1"/>
  <c r="D24" i="40"/>
  <c r="O24" i="40"/>
  <c r="AF24" i="40" a="1"/>
  <c r="AF24" i="40" s="1"/>
  <c r="AQ11" i="40" a="1"/>
  <c r="AQ11" i="40" s="1"/>
  <c r="U11" i="40" a="1"/>
  <c r="U11" i="40" s="1"/>
  <c r="AF11" i="40" a="1"/>
  <c r="AF11" i="40" s="1"/>
  <c r="Z11" i="40"/>
  <c r="J11" i="40" a="1"/>
  <c r="J11" i="40" s="1"/>
  <c r="AK11" i="40"/>
  <c r="D11" i="40"/>
  <c r="O11" i="40"/>
  <c r="BB14" i="40" a="1"/>
  <c r="BB14" i="40" s="1"/>
  <c r="AZ14" i="40" a="1"/>
  <c r="AZ14" i="40" s="1"/>
  <c r="BA14" i="40" a="1"/>
  <c r="BA14" i="40" s="1"/>
  <c r="BC14" i="40" a="1"/>
  <c r="BC14" i="40" s="1"/>
  <c r="BD14" i="40" a="1"/>
  <c r="BD14" i="40" s="1"/>
  <c r="BG14" i="40" a="1"/>
  <c r="BG14" i="40" s="1"/>
  <c r="BF14" i="40" a="1"/>
  <c r="BF14" i="40" s="1"/>
  <c r="BE14" i="40" a="1"/>
  <c r="BE14" i="40" s="1"/>
  <c r="BC7" i="40" a="1"/>
  <c r="BC7" i="40" s="1"/>
  <c r="BB7" i="40" a="1"/>
  <c r="BB7" i="40" s="1"/>
  <c r="BG7" i="40" a="1"/>
  <c r="BG7" i="40" s="1"/>
  <c r="BF7" i="40" a="1"/>
  <c r="BF7" i="40" s="1"/>
  <c r="BE7" i="40" a="1"/>
  <c r="BE7" i="40" s="1"/>
  <c r="BD7" i="40" a="1"/>
  <c r="BD7" i="40" s="1"/>
  <c r="AZ7" i="40" a="1"/>
  <c r="AZ7" i="40" s="1"/>
  <c r="BA7" i="40" a="1"/>
  <c r="BA7" i="40" s="1"/>
  <c r="AF13" i="40" a="1"/>
  <c r="AF13" i="40" s="1"/>
  <c r="D13" i="40"/>
  <c r="J13" i="40" a="1"/>
  <c r="J13" i="40" s="1"/>
  <c r="AQ13" i="40" a="1"/>
  <c r="AQ13" i="40" s="1"/>
  <c r="Z13" i="40"/>
  <c r="O13" i="40"/>
  <c r="AK13" i="40"/>
  <c r="U13" i="40" a="1"/>
  <c r="U13" i="40" s="1"/>
  <c r="I15" i="40" l="1"/>
  <c r="AE18" i="40"/>
  <c r="AP15" i="40"/>
  <c r="AE16" i="40"/>
  <c r="T18" i="40"/>
  <c r="AP18" i="40"/>
  <c r="I16" i="40"/>
  <c r="T16" i="40"/>
  <c r="I19" i="40"/>
  <c r="AE19" i="40"/>
  <c r="T17" i="40"/>
  <c r="AP21" i="40"/>
  <c r="I17" i="40"/>
  <c r="T20" i="40"/>
  <c r="AE22" i="40"/>
  <c r="I21" i="40"/>
  <c r="AP17" i="40"/>
  <c r="I22" i="40"/>
  <c r="AP20" i="40"/>
  <c r="AP19" i="40"/>
  <c r="AE20" i="40"/>
  <c r="AP22" i="40"/>
  <c r="T19" i="40"/>
  <c r="T22" i="40"/>
  <c r="AE21" i="40"/>
  <c r="T21" i="40"/>
  <c r="I20" i="40"/>
  <c r="T14" i="40"/>
  <c r="T11" i="40"/>
  <c r="AE23" i="40"/>
  <c r="AP23" i="40"/>
  <c r="I24" i="40"/>
  <c r="T24" i="40"/>
  <c r="AP24" i="40"/>
  <c r="AE24" i="40"/>
  <c r="T25" i="40"/>
  <c r="I25" i="40"/>
  <c r="AP25" i="40"/>
  <c r="T23" i="40"/>
  <c r="AE25" i="40"/>
  <c r="I23" i="40"/>
  <c r="AP13" i="40"/>
  <c r="I11" i="40"/>
  <c r="AP14" i="40"/>
  <c r="AE12" i="40"/>
  <c r="I14" i="40"/>
  <c r="T13" i="40"/>
  <c r="AP11" i="40"/>
  <c r="T12" i="40"/>
  <c r="AP12" i="40"/>
  <c r="AE13" i="40"/>
  <c r="AE11" i="40"/>
  <c r="I12" i="40"/>
  <c r="AE14" i="40"/>
  <c r="I13" i="40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06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0"/>
        </ext>
      </extLst>
    </bk>
    <bk>
      <extLst>
        <ext uri="{3e2802c4-a4d2-4d8b-9148-e3be6c30e623}">
          <xlrd:rvb i="61"/>
        </ext>
      </extLst>
    </bk>
    <bk>
      <extLst>
        <ext uri="{3e2802c4-a4d2-4d8b-9148-e3be6c30e623}">
          <xlrd:rvb i="62"/>
        </ext>
      </extLst>
    </bk>
    <bk>
      <extLst>
        <ext uri="{3e2802c4-a4d2-4d8b-9148-e3be6c30e623}">
          <xlrd:rvb i="63"/>
        </ext>
      </extLst>
    </bk>
    <bk>
      <extLst>
        <ext uri="{3e2802c4-a4d2-4d8b-9148-e3be6c30e623}">
          <xlrd:rvb i="64"/>
        </ext>
      </extLst>
    </bk>
    <bk>
      <extLst>
        <ext uri="{3e2802c4-a4d2-4d8b-9148-e3be6c30e623}">
          <xlrd:rvb i="65"/>
        </ext>
      </extLst>
    </bk>
    <bk>
      <extLst>
        <ext uri="{3e2802c4-a4d2-4d8b-9148-e3be6c30e623}">
          <xlrd:rvb i="66"/>
        </ext>
      </extLst>
    </bk>
    <bk>
      <extLst>
        <ext uri="{3e2802c4-a4d2-4d8b-9148-e3be6c30e623}">
          <xlrd:rvb i="67"/>
        </ext>
      </extLst>
    </bk>
    <bk>
      <extLst>
        <ext uri="{3e2802c4-a4d2-4d8b-9148-e3be6c30e623}">
          <xlrd:rvb i="68"/>
        </ext>
      </extLst>
    </bk>
    <bk>
      <extLst>
        <ext uri="{3e2802c4-a4d2-4d8b-9148-e3be6c30e623}">
          <xlrd:rvb i="69"/>
        </ext>
      </extLst>
    </bk>
    <bk>
      <extLst>
        <ext uri="{3e2802c4-a4d2-4d8b-9148-e3be6c30e623}">
          <xlrd:rvb i="70"/>
        </ext>
      </extLst>
    </bk>
    <bk>
      <extLst>
        <ext uri="{3e2802c4-a4d2-4d8b-9148-e3be6c30e623}">
          <xlrd:rvb i="71"/>
        </ext>
      </extLst>
    </bk>
    <bk>
      <extLst>
        <ext uri="{3e2802c4-a4d2-4d8b-9148-e3be6c30e623}">
          <xlrd:rvb i="72"/>
        </ext>
      </extLst>
    </bk>
    <bk>
      <extLst>
        <ext uri="{3e2802c4-a4d2-4d8b-9148-e3be6c30e623}">
          <xlrd:rvb i="73"/>
        </ext>
      </extLst>
    </bk>
    <bk>
      <extLst>
        <ext uri="{3e2802c4-a4d2-4d8b-9148-e3be6c30e623}">
          <xlrd:rvb i="74"/>
        </ext>
      </extLst>
    </bk>
    <bk>
      <extLst>
        <ext uri="{3e2802c4-a4d2-4d8b-9148-e3be6c30e623}">
          <xlrd:rvb i="75"/>
        </ext>
      </extLst>
    </bk>
    <bk>
      <extLst>
        <ext uri="{3e2802c4-a4d2-4d8b-9148-e3be6c30e623}">
          <xlrd:rvb i="76"/>
        </ext>
      </extLst>
    </bk>
    <bk>
      <extLst>
        <ext uri="{3e2802c4-a4d2-4d8b-9148-e3be6c30e623}">
          <xlrd:rvb i="77"/>
        </ext>
      </extLst>
    </bk>
    <bk>
      <extLst>
        <ext uri="{3e2802c4-a4d2-4d8b-9148-e3be6c30e623}">
          <xlrd:rvb i="78"/>
        </ext>
      </extLst>
    </bk>
    <bk>
      <extLst>
        <ext uri="{3e2802c4-a4d2-4d8b-9148-e3be6c30e623}">
          <xlrd:rvb i="79"/>
        </ext>
      </extLst>
    </bk>
    <bk>
      <extLst>
        <ext uri="{3e2802c4-a4d2-4d8b-9148-e3be6c30e623}">
          <xlrd:rvb i="80"/>
        </ext>
      </extLst>
    </bk>
    <bk>
      <extLst>
        <ext uri="{3e2802c4-a4d2-4d8b-9148-e3be6c30e623}">
          <xlrd:rvb i="81"/>
        </ext>
      </extLst>
    </bk>
    <bk>
      <extLst>
        <ext uri="{3e2802c4-a4d2-4d8b-9148-e3be6c30e623}">
          <xlrd:rvb i="82"/>
        </ext>
      </extLst>
    </bk>
    <bk>
      <extLst>
        <ext uri="{3e2802c4-a4d2-4d8b-9148-e3be6c30e623}">
          <xlrd:rvb i="83"/>
        </ext>
      </extLst>
    </bk>
    <bk>
      <extLst>
        <ext uri="{3e2802c4-a4d2-4d8b-9148-e3be6c30e623}">
          <xlrd:rvb i="84"/>
        </ext>
      </extLst>
    </bk>
    <bk>
      <extLst>
        <ext uri="{3e2802c4-a4d2-4d8b-9148-e3be6c30e623}">
          <xlrd:rvb i="85"/>
        </ext>
      </extLst>
    </bk>
    <bk>
      <extLst>
        <ext uri="{3e2802c4-a4d2-4d8b-9148-e3be6c30e623}">
          <xlrd:rvb i="86"/>
        </ext>
      </extLst>
    </bk>
    <bk>
      <extLst>
        <ext uri="{3e2802c4-a4d2-4d8b-9148-e3be6c30e623}">
          <xlrd:rvb i="87"/>
        </ext>
      </extLst>
    </bk>
    <bk>
      <extLst>
        <ext uri="{3e2802c4-a4d2-4d8b-9148-e3be6c30e623}">
          <xlrd:rvb i="88"/>
        </ext>
      </extLst>
    </bk>
    <bk>
      <extLst>
        <ext uri="{3e2802c4-a4d2-4d8b-9148-e3be6c30e623}">
          <xlrd:rvb i="89"/>
        </ext>
      </extLst>
    </bk>
    <bk>
      <extLst>
        <ext uri="{3e2802c4-a4d2-4d8b-9148-e3be6c30e623}">
          <xlrd:rvb i="90"/>
        </ext>
      </extLst>
    </bk>
    <bk>
      <extLst>
        <ext uri="{3e2802c4-a4d2-4d8b-9148-e3be6c30e623}">
          <xlrd:rvb i="91"/>
        </ext>
      </extLst>
    </bk>
    <bk>
      <extLst>
        <ext uri="{3e2802c4-a4d2-4d8b-9148-e3be6c30e623}">
          <xlrd:rvb i="92"/>
        </ext>
      </extLst>
    </bk>
    <bk>
      <extLst>
        <ext uri="{3e2802c4-a4d2-4d8b-9148-e3be6c30e623}">
          <xlrd:rvb i="93"/>
        </ext>
      </extLst>
    </bk>
    <bk>
      <extLst>
        <ext uri="{3e2802c4-a4d2-4d8b-9148-e3be6c30e623}">
          <xlrd:rvb i="94"/>
        </ext>
      </extLst>
    </bk>
    <bk>
      <extLst>
        <ext uri="{3e2802c4-a4d2-4d8b-9148-e3be6c30e623}">
          <xlrd:rvb i="95"/>
        </ext>
      </extLst>
    </bk>
    <bk>
      <extLst>
        <ext uri="{3e2802c4-a4d2-4d8b-9148-e3be6c30e623}">
          <xlrd:rvb i="96"/>
        </ext>
      </extLst>
    </bk>
    <bk>
      <extLst>
        <ext uri="{3e2802c4-a4d2-4d8b-9148-e3be6c30e623}">
          <xlrd:rvb i="97"/>
        </ext>
      </extLst>
    </bk>
    <bk>
      <extLst>
        <ext uri="{3e2802c4-a4d2-4d8b-9148-e3be6c30e623}">
          <xlrd:rvb i="98"/>
        </ext>
      </extLst>
    </bk>
    <bk>
      <extLst>
        <ext uri="{3e2802c4-a4d2-4d8b-9148-e3be6c30e623}">
          <xlrd:rvb i="99"/>
        </ext>
      </extLst>
    </bk>
    <bk>
      <extLst>
        <ext uri="{3e2802c4-a4d2-4d8b-9148-e3be6c30e623}">
          <xlrd:rvb i="100"/>
        </ext>
      </extLst>
    </bk>
    <bk>
      <extLst>
        <ext uri="{3e2802c4-a4d2-4d8b-9148-e3be6c30e623}">
          <xlrd:rvb i="101"/>
        </ext>
      </extLst>
    </bk>
    <bk>
      <extLst>
        <ext uri="{3e2802c4-a4d2-4d8b-9148-e3be6c30e623}">
          <xlrd:rvb i="102"/>
        </ext>
      </extLst>
    </bk>
    <bk>
      <extLst>
        <ext uri="{3e2802c4-a4d2-4d8b-9148-e3be6c30e623}">
          <xlrd:rvb i="103"/>
        </ext>
      </extLst>
    </bk>
    <bk>
      <extLst>
        <ext uri="{3e2802c4-a4d2-4d8b-9148-e3be6c30e623}">
          <xlrd:rvb i="104"/>
        </ext>
      </extLst>
    </bk>
    <bk>
      <extLst>
        <ext uri="{3e2802c4-a4d2-4d8b-9148-e3be6c30e623}">
          <xlrd:rvb i="105"/>
        </ext>
      </extLst>
    </bk>
  </futureMetadata>
  <cellMetadata count="1">
    <bk>
      <rc t="1" v="0"/>
    </bk>
  </cellMetadata>
  <valueMetadata count="106">
    <bk>
      <rc t="2" v="0"/>
    </bk>
    <bk>
      <rc t="2" v="1"/>
    </bk>
    <bk>
      <rc t="2" v="2"/>
    </bk>
    <bk>
      <rc t="2" v="3"/>
    </bk>
    <bk>
      <rc t="2" v="4"/>
    </bk>
    <bk>
      <rc t="2" v="5"/>
    </bk>
    <bk>
      <rc t="2" v="6"/>
    </bk>
    <bk>
      <rc t="2" v="7"/>
    </bk>
    <bk>
      <rc t="2" v="8"/>
    </bk>
    <bk>
      <rc t="2" v="9"/>
    </bk>
    <bk>
      <rc t="2" v="10"/>
    </bk>
    <bk>
      <rc t="2" v="11"/>
    </bk>
    <bk>
      <rc t="2" v="12"/>
    </bk>
    <bk>
      <rc t="2" v="13"/>
    </bk>
    <bk>
      <rc t="2" v="14"/>
    </bk>
    <bk>
      <rc t="2" v="15"/>
    </bk>
    <bk>
      <rc t="2" v="16"/>
    </bk>
    <bk>
      <rc t="2" v="17"/>
    </bk>
    <bk>
      <rc t="2" v="18"/>
    </bk>
    <bk>
      <rc t="2" v="19"/>
    </bk>
    <bk>
      <rc t="2" v="20"/>
    </bk>
    <bk>
      <rc t="2" v="21"/>
    </bk>
    <bk>
      <rc t="2" v="22"/>
    </bk>
    <bk>
      <rc t="2" v="23"/>
    </bk>
    <bk>
      <rc t="2" v="24"/>
    </bk>
    <bk>
      <rc t="2" v="25"/>
    </bk>
    <bk>
      <rc t="2" v="26"/>
    </bk>
    <bk>
      <rc t="2" v="27"/>
    </bk>
    <bk>
      <rc t="2" v="28"/>
    </bk>
    <bk>
      <rc t="2" v="29"/>
    </bk>
    <bk>
      <rc t="2" v="30"/>
    </bk>
    <bk>
      <rc t="2" v="31"/>
    </bk>
    <bk>
      <rc t="2" v="32"/>
    </bk>
    <bk>
      <rc t="2" v="33"/>
    </bk>
    <bk>
      <rc t="2" v="34"/>
    </bk>
    <bk>
      <rc t="2" v="35"/>
    </bk>
    <bk>
      <rc t="2" v="36"/>
    </bk>
    <bk>
      <rc t="2" v="37"/>
    </bk>
    <bk>
      <rc t="2" v="38"/>
    </bk>
    <bk>
      <rc t="2" v="39"/>
    </bk>
    <bk>
      <rc t="2" v="40"/>
    </bk>
    <bk>
      <rc t="2" v="41"/>
    </bk>
    <bk>
      <rc t="2" v="42"/>
    </bk>
    <bk>
      <rc t="2" v="43"/>
    </bk>
    <bk>
      <rc t="2" v="44"/>
    </bk>
    <bk>
      <rc t="2" v="45"/>
    </bk>
    <bk>
      <rc t="2" v="46"/>
    </bk>
    <bk>
      <rc t="2" v="47"/>
    </bk>
    <bk>
      <rc t="2" v="48"/>
    </bk>
    <bk>
      <rc t="2" v="49"/>
    </bk>
    <bk>
      <rc t="2" v="50"/>
    </bk>
    <bk>
      <rc t="2" v="51"/>
    </bk>
    <bk>
      <rc t="2" v="52"/>
    </bk>
    <bk>
      <rc t="2" v="53"/>
    </bk>
    <bk>
      <rc t="2" v="54"/>
    </bk>
    <bk>
      <rc t="2" v="55"/>
    </bk>
    <bk>
      <rc t="2" v="56"/>
    </bk>
    <bk>
      <rc t="2" v="57"/>
    </bk>
    <bk>
      <rc t="2" v="58"/>
    </bk>
    <bk>
      <rc t="2" v="59"/>
    </bk>
    <bk>
      <rc t="2" v="60"/>
    </bk>
    <bk>
      <rc t="2" v="61"/>
    </bk>
    <bk>
      <rc t="2" v="62"/>
    </bk>
    <bk>
      <rc t="2" v="63"/>
    </bk>
    <bk>
      <rc t="2" v="64"/>
    </bk>
    <bk>
      <rc t="2" v="65"/>
    </bk>
    <bk>
      <rc t="2" v="66"/>
    </bk>
    <bk>
      <rc t="2" v="67"/>
    </bk>
    <bk>
      <rc t="2" v="68"/>
    </bk>
    <bk>
      <rc t="2" v="69"/>
    </bk>
    <bk>
      <rc t="2" v="70"/>
    </bk>
    <bk>
      <rc t="2" v="71"/>
    </bk>
    <bk>
      <rc t="2" v="72"/>
    </bk>
    <bk>
      <rc t="2" v="73"/>
    </bk>
    <bk>
      <rc t="2" v="74"/>
    </bk>
    <bk>
      <rc t="2" v="75"/>
    </bk>
    <bk>
      <rc t="2" v="76"/>
    </bk>
    <bk>
      <rc t="2" v="77"/>
    </bk>
    <bk>
      <rc t="2" v="78"/>
    </bk>
    <bk>
      <rc t="2" v="79"/>
    </bk>
    <bk>
      <rc t="2" v="80"/>
    </bk>
    <bk>
      <rc t="2" v="81"/>
    </bk>
    <bk>
      <rc t="2" v="82"/>
    </bk>
    <bk>
      <rc t="2" v="83"/>
    </bk>
    <bk>
      <rc t="2" v="84"/>
    </bk>
    <bk>
      <rc t="2" v="85"/>
    </bk>
    <bk>
      <rc t="2" v="86"/>
    </bk>
    <bk>
      <rc t="2" v="87"/>
    </bk>
    <bk>
      <rc t="2" v="88"/>
    </bk>
    <bk>
      <rc t="2" v="89"/>
    </bk>
    <bk>
      <rc t="2" v="90"/>
    </bk>
    <bk>
      <rc t="2" v="91"/>
    </bk>
    <bk>
      <rc t="2" v="92"/>
    </bk>
    <bk>
      <rc t="2" v="93"/>
    </bk>
    <bk>
      <rc t="2" v="94"/>
    </bk>
    <bk>
      <rc t="2" v="95"/>
    </bk>
    <bk>
      <rc t="2" v="96"/>
    </bk>
    <bk>
      <rc t="2" v="97"/>
    </bk>
    <bk>
      <rc t="2" v="98"/>
    </bk>
    <bk>
      <rc t="2" v="99"/>
    </bk>
    <bk>
      <rc t="2" v="100"/>
    </bk>
    <bk>
      <rc t="2" v="101"/>
    </bk>
    <bk>
      <rc t="2" v="102"/>
    </bk>
    <bk>
      <rc t="2" v="103"/>
    </bk>
    <bk>
      <rc t="2" v="104"/>
    </bk>
    <bk>
      <rc t="2" v="105"/>
    </bk>
  </valueMetadata>
</metadata>
</file>

<file path=xl/sharedStrings.xml><?xml version="1.0" encoding="utf-8"?>
<sst xmlns="http://schemas.openxmlformats.org/spreadsheetml/2006/main" count="1378" uniqueCount="356">
  <si>
    <t>Banderas</t>
  </si>
  <si>
    <t>Partido</t>
  </si>
  <si>
    <t>Hora usuario</t>
  </si>
  <si>
    <t>Local</t>
  </si>
  <si>
    <t>Visitante</t>
  </si>
  <si>
    <t>Estadio</t>
  </si>
  <si>
    <t>Grupo</t>
  </si>
  <si>
    <t>Equipo</t>
  </si>
  <si>
    <t>País</t>
  </si>
  <si>
    <t>2B</t>
  </si>
  <si>
    <t>Final</t>
  </si>
  <si>
    <t>B</t>
  </si>
  <si>
    <t>A</t>
  </si>
  <si>
    <t>2C</t>
  </si>
  <si>
    <t>C</t>
  </si>
  <si>
    <t>F</t>
  </si>
  <si>
    <t>D</t>
  </si>
  <si>
    <t>A1</t>
  </si>
  <si>
    <t>A2</t>
  </si>
  <si>
    <t>A3</t>
  </si>
  <si>
    <t>A4</t>
  </si>
  <si>
    <t>B1</t>
  </si>
  <si>
    <t>B2</t>
  </si>
  <si>
    <t>B3</t>
  </si>
  <si>
    <t>B4</t>
  </si>
  <si>
    <t>C1</t>
  </si>
  <si>
    <t>C2</t>
  </si>
  <si>
    <t>C3</t>
  </si>
  <si>
    <t>C4</t>
  </si>
  <si>
    <t>D1</t>
  </si>
  <si>
    <t>D2</t>
  </si>
  <si>
    <t>D3</t>
  </si>
  <si>
    <t>D4</t>
  </si>
  <si>
    <t>#</t>
  </si>
  <si>
    <t>Fechas</t>
  </si>
  <si>
    <t>Horas</t>
  </si>
  <si>
    <t>PARTIDOS</t>
  </si>
  <si>
    <t>Estadios</t>
  </si>
  <si>
    <t>POSICIONES</t>
  </si>
  <si>
    <t>J</t>
  </si>
  <si>
    <t>-</t>
  </si>
  <si>
    <t>Pts.</t>
  </si>
  <si>
    <t>Gan.</t>
  </si>
  <si>
    <t>Emp.</t>
  </si>
  <si>
    <t>Per.</t>
  </si>
  <si>
    <t>GF</t>
  </si>
  <si>
    <t>GC</t>
  </si>
  <si>
    <t>Dif.</t>
  </si>
  <si>
    <t>Ganadores</t>
  </si>
  <si>
    <t>1A</t>
  </si>
  <si>
    <t>Penaltis</t>
  </si>
  <si>
    <t>1C</t>
  </si>
  <si>
    <t>2D</t>
  </si>
  <si>
    <t>1B</t>
  </si>
  <si>
    <t>2A</t>
  </si>
  <si>
    <t>1D</t>
  </si>
  <si>
    <t>Grupos</t>
  </si>
  <si>
    <t>GL</t>
  </si>
  <si>
    <t>GV</t>
  </si>
  <si>
    <t>Cuartos</t>
  </si>
  <si>
    <t>CUARTOS</t>
  </si>
  <si>
    <t>Semis</t>
  </si>
  <si>
    <t>Puntos</t>
  </si>
  <si>
    <t>Puntos máx</t>
  </si>
  <si>
    <t>Reparto de Premios</t>
  </si>
  <si>
    <t>Signo de partido (1x2) en FG</t>
  </si>
  <si>
    <t>Fase de grupos</t>
  </si>
  <si>
    <t>Fase de eliminatorias</t>
  </si>
  <si>
    <t>General</t>
  </si>
  <si>
    <t>Número goles L ó V en FG</t>
  </si>
  <si>
    <t>Primero</t>
  </si>
  <si>
    <t>Puntos adicionales resultado exacto FG</t>
  </si>
  <si>
    <t>Segundo</t>
  </si>
  <si>
    <t>Tercero</t>
  </si>
  <si>
    <t>Cuarto</t>
  </si>
  <si>
    <t>Quinto</t>
  </si>
  <si>
    <t>Signo de partido (1x2) en Cuartos</t>
  </si>
  <si>
    <t>Último</t>
  </si>
  <si>
    <t>Número goles L ó V en Cuartos</t>
  </si>
  <si>
    <t>Ganador de cada grupo</t>
  </si>
  <si>
    <t>Puntos adicionales resultado exacto Cuartos</t>
  </si>
  <si>
    <t>Signo de partido (1x2) en Semis</t>
  </si>
  <si>
    <t>Número goles L ó V en Semis</t>
  </si>
  <si>
    <t>Puntos adicionales resultado exacto Semis</t>
  </si>
  <si>
    <t>Equipos que pasan a cuartos</t>
  </si>
  <si>
    <t>Equipos que pasan a semis</t>
  </si>
  <si>
    <t>Equipos que juegan la final</t>
  </si>
  <si>
    <t>Campeón</t>
  </si>
  <si>
    <t>Nombre</t>
  </si>
  <si>
    <t>Mail</t>
  </si>
  <si>
    <t>Teléfono</t>
  </si>
  <si>
    <t>Total</t>
  </si>
  <si>
    <t>Resultado Real</t>
  </si>
  <si>
    <t>Total Grupos</t>
  </si>
  <si>
    <t>Finales</t>
  </si>
  <si>
    <t>Total Elimin.</t>
  </si>
  <si>
    <t>Eliminatorias</t>
  </si>
  <si>
    <t>Bonificaciones</t>
  </si>
  <si>
    <t>Equipos campeones de grupo</t>
  </si>
  <si>
    <t>Argentina</t>
  </si>
  <si>
    <t>México</t>
  </si>
  <si>
    <t>Estados Unidos</t>
  </si>
  <si>
    <t>Brasil</t>
  </si>
  <si>
    <t>GMT Usuario</t>
  </si>
  <si>
    <t>GMT Local</t>
  </si>
  <si>
    <t>Día y hora</t>
  </si>
  <si>
    <t>https://img.freepik.com/vector-gratis/ilustracion-bandera-argentina_53876-27120.jpg</t>
  </si>
  <si>
    <t>https://upload.wikimedia.org/wikipedia/commons/thumb/f/fc/Flag_of_Mexico.svg/1280px-Flag_of_Mexico.svg.png</t>
  </si>
  <si>
    <t>https://upload.wikimedia.org/wikipedia/commons/thumb/a/a4/Flag_of_the_United_States.svg/1200px-Flag_of_the_United_States.svg.png</t>
  </si>
  <si>
    <t>https://upload.wikimedia.org/wikipedia/commons/thumb/0/05/Flag_of_Brazil.svg/640px-Flag_of_Brazil.svg.png</t>
  </si>
  <si>
    <t>Partidos</t>
  </si>
  <si>
    <t>Fase</t>
  </si>
  <si>
    <t>G</t>
  </si>
  <si>
    <t>EquiposCampeonG</t>
  </si>
  <si>
    <t>EquiposCuartos</t>
  </si>
  <si>
    <t>EquiposSemis</t>
  </si>
  <si>
    <t>EquiposFinal</t>
  </si>
  <si>
    <t>CampeonG</t>
  </si>
  <si>
    <t>Apuestas Campeones</t>
  </si>
  <si>
    <t>UTC</t>
  </si>
  <si>
    <t>Bonus porra</t>
  </si>
  <si>
    <t>Ggol</t>
  </si>
  <si>
    <t>Gsigno</t>
  </si>
  <si>
    <t>Gbonus</t>
  </si>
  <si>
    <t>Cgol</t>
  </si>
  <si>
    <t>Csigno</t>
  </si>
  <si>
    <t>Cbonus</t>
  </si>
  <si>
    <t>Sgol</t>
  </si>
  <si>
    <t>Ssigno</t>
  </si>
  <si>
    <t>Sbonus</t>
  </si>
  <si>
    <t>Fgol</t>
  </si>
  <si>
    <t>Fsigno</t>
  </si>
  <si>
    <t>Fbonus</t>
  </si>
  <si>
    <t>S</t>
  </si>
  <si>
    <t>Aprendiz 
de Excel</t>
  </si>
  <si>
    <t>Vídeo YouTube</t>
  </si>
  <si>
    <t> África</t>
  </si>
  <si>
    <t> Sudamérica</t>
  </si>
  <si>
    <t> Asia</t>
  </si>
  <si>
    <t> Europa</t>
  </si>
  <si>
    <t> Norte, Centroamérica y Caribe</t>
  </si>
  <si>
    <t> Oceanía</t>
  </si>
  <si>
    <t> Estados Unidos</t>
  </si>
  <si>
    <t>Confederación</t>
  </si>
  <si>
    <t>https://www.zerozero.pt/img/logos/equipas/2413_imgbank_1733410424.png</t>
  </si>
  <si>
    <t>https://static.wikia.nocookie.net/logopedia/images/d/da/Logo-wac-2019.png/revision/latest?cb=20190823134518</t>
  </si>
  <si>
    <t>https://a.espncdn.com/i/teamlogos/soccer/500/8377.png</t>
  </si>
  <si>
    <t>https://upload.wikimedia.org/wikipedia/en/thumb/c/c6/Mamelodi_Sundowns_F.C.svg/1200px-Mamelodi_Sundowns_F.C.svg.png</t>
  </si>
  <si>
    <t>https://upload.wikimedia.org/wikipedia/commons/thumb/1/10/Palmeiras_logo.svg/160px-Palmeiras_logo.svg.png</t>
  </si>
  <si>
    <t>https://upload.wikimedia.org/wikipedia/commons/thumb/2/2e/Flamengo_braz_logo.svg/1200px-Flamengo_braz_logo.svg.png</t>
  </si>
  <si>
    <t>https://upload.wikimedia.org/wikipedia/commons/a/ad/Fluminense_FC_escudo.png</t>
  </si>
  <si>
    <t>https://upload.wikimedia.org/wikipedia/commons/thumb/5/52/Botafogo_de_Futebol_e_Regatas_logo.svg/1200px-Botafogo_de_Futebol_e_Regatas_logo.svg.png</t>
  </si>
  <si>
    <t>https://upload.wikimedia.org/wikipedia/commons/thumb/a/ac/Escudo_del_C_A_River_Plate.svg/800px-Escudo_del_C_A_River_Plate.svg.png</t>
  </si>
  <si>
    <t>https://upload.wikimedia.org/wikipedia/commons/thumb/4/41/CABJ70.png/1200px-CABJ70.png</t>
  </si>
  <si>
    <t>https://a.espncdn.com/combiner/i?img=/i/teamlogos/soccer/500/3385.png</t>
  </si>
  <si>
    <t>https://upload.wikimedia.org/wikipedia/commons/thumb/5/57/Al-Hilal_SFC_logo.svg/1039px-Al-Hilal_SFC_logo.svg.png</t>
  </si>
  <si>
    <t>https://upload.wikimedia.org/wikipedia/en/6/62/Al_Ain_FC_logo_2024.png</t>
  </si>
  <si>
    <t>https://upload.wikimedia.org/wikipedia/en/thumb/b/b5/Ulsan_Hyundai_FC.svg/1200px-Ulsan_Hyundai_FC.svg.png</t>
  </si>
  <si>
    <t>https://upload.wikimedia.org/wikipedia/en/thumb/c/cc/Chelsea_FC.svg/800px-Chelsea_FC.svg.png</t>
  </si>
  <si>
    <t>https://upload.wikimedia.org/wikipedia/en/thumb/5/56/Real_Madrid_CF.svg/1200px-Real_Madrid_CF.svg.png</t>
  </si>
  <si>
    <t>https://upload.wikimedia.org/wikipedia/en/thumb/e/eb/Manchester_City_FC_badge.svg/1200px-Manchester_City_FC_badge.svg.png</t>
  </si>
  <si>
    <t>https://upload.wikimedia.org/wikipedia/commons/thumb/1/1b/FC_Bayern_M%C3%BCnchen_logo_%282017%29.svg/1200px-FC_Bayern_M%C3%BCnchen_logo_%282017%29.svg.png</t>
  </si>
  <si>
    <t>https://upload.wikimedia.org/wikipedia/en/thumb/a/a7/Paris_Saint-Germain_F.C..svg/1200px-Paris_Saint-Germain_F.C..svg.png</t>
  </si>
  <si>
    <t>https://upload.wikimedia.org/wikipedia/commons/thumb/6/67/Borussia_Dortmund_logo.svg/160px-Borussia_Dortmund_logo.svg.png</t>
  </si>
  <si>
    <t>https://upload.wikimedia.org/wikipedia/commons/thumb/0/05/FC_Internazionale_Milano_2021.svg/160px-FC_Internazionale_Milano_2021.svg.png</t>
  </si>
  <si>
    <t>https://upload.wikimedia.org/wikipedia/sco/thumb/f/f1/FC_Porto.svg/1200px-FC_Porto.svg.png</t>
  </si>
  <si>
    <t>https://static.wikia.nocookie.net/futbol/images/a/a2/Atletico_Madrid_logo.svg.png/revision/latest?cb=20250317111446</t>
  </si>
  <si>
    <t>https://a.espncdn.com/combiner/i?img=/i/teamlogos/soccer/500/1929.png</t>
  </si>
  <si>
    <t>https://static.wikia.nocookie.net/futbol/images/2/23/Escudo_Juventus.png/revision/latest?cb=20180802104126</t>
  </si>
  <si>
    <t>https://upload.wikimedia.org/wikipedia/commons/a/a2/CF_Monterrey_A11.PNG</t>
  </si>
  <si>
    <t>https://static.wikia.nocookie.net/futbol/images/f/f4/PachucaEscudo.png/revision/latest?cb=20151115001145</t>
  </si>
  <si>
    <t>https://a.espncdn.com/combiner/i?img=/i/teamlogos/soccer/500/7279.png</t>
  </si>
  <si>
    <t>https://a.espncdn.com/guid/68c59d9b-7197-356f-8418-52c0d216852c/logos/primary_logo_on_primary_color.png</t>
  </si>
  <si>
    <t>https://www.futbox.com/img/v1/e91/14c/de3/49c/a9e2fe7e59fe8b80fcb2_zoom.png</t>
  </si>
  <si>
    <t>https://upload.wikimedia.org/wikipedia/en/thumb/7/77/FC_Red_Bull_Salzburg_logo.svg/1200px-FC_Red_Bull_Salzburg_logo.svg.png</t>
  </si>
  <si>
    <t>E</t>
  </si>
  <si>
    <t>H</t>
  </si>
  <si>
    <t>E1</t>
  </si>
  <si>
    <t>E2</t>
  </si>
  <si>
    <t>E3</t>
  </si>
  <si>
    <t>E4</t>
  </si>
  <si>
    <t>F1</t>
  </si>
  <si>
    <t>F2</t>
  </si>
  <si>
    <t>F3</t>
  </si>
  <si>
    <t>F4</t>
  </si>
  <si>
    <t>G1</t>
  </si>
  <si>
    <t>G2</t>
  </si>
  <si>
    <t>G3</t>
  </si>
  <si>
    <t>G4</t>
  </si>
  <si>
    <t>H1</t>
  </si>
  <si>
    <t>H2</t>
  </si>
  <si>
    <t>H3</t>
  </si>
  <si>
    <t>H4</t>
  </si>
  <si>
    <t>Atlético de Madrid</t>
  </si>
  <si>
    <t>Palmeiras</t>
  </si>
  <si>
    <t>Porto</t>
  </si>
  <si>
    <t>Botafogo</t>
  </si>
  <si>
    <t>Chelsea</t>
  </si>
  <si>
    <t>Boca Juniors</t>
  </si>
  <si>
    <t>Benfica</t>
  </si>
  <si>
    <t>Flamengo</t>
  </si>
  <si>
    <t>Borussia Dortmund</t>
  </si>
  <si>
    <t>River Plate</t>
  </si>
  <si>
    <t>Urawa Red Diamonds</t>
  </si>
  <si>
    <t>Mamelodi Sundowns</t>
  </si>
  <si>
    <t>Monterrey</t>
  </si>
  <si>
    <t>Manchester City</t>
  </si>
  <si>
    <t>Pachuca</t>
  </si>
  <si>
    <t>1E</t>
  </si>
  <si>
    <t>2F</t>
  </si>
  <si>
    <t>1G</t>
  </si>
  <si>
    <t>2H</t>
  </si>
  <si>
    <t>1H</t>
  </si>
  <si>
    <t>2G</t>
  </si>
  <si>
    <t>1F</t>
  </si>
  <si>
    <t>2E</t>
  </si>
  <si>
    <t>América</t>
  </si>
  <si>
    <t>Paris Saint-Germain</t>
  </si>
  <si>
    <t>Auckland City</t>
  </si>
  <si>
    <t>Espérance de Tunis</t>
  </si>
  <si>
    <t>Fluminense</t>
  </si>
  <si>
    <t>Ulsan HD</t>
  </si>
  <si>
    <t>Juventus</t>
  </si>
  <si>
    <t>Real Madrid</t>
  </si>
  <si>
    <t>Winner Group A</t>
  </si>
  <si>
    <t>Runner-up Group B</t>
  </si>
  <si>
    <t>Winner Group C</t>
  </si>
  <si>
    <t>Runner-up Group D</t>
  </si>
  <si>
    <t>Winner Group B</t>
  </si>
  <si>
    <t>Runner-up Group A</t>
  </si>
  <si>
    <t>Winner Group D</t>
  </si>
  <si>
    <t>Runner-up Group C</t>
  </si>
  <si>
    <t>Winner Group E</t>
  </si>
  <si>
    <t>Runner-up Group F</t>
  </si>
  <si>
    <t>Winner Group G</t>
  </si>
  <si>
    <t>Runner-up Group H</t>
  </si>
  <si>
    <t>Winner Group H</t>
  </si>
  <si>
    <t>Runner-up Group G</t>
  </si>
  <si>
    <t>Winner Group F</t>
  </si>
  <si>
    <t>Runner-up Group E</t>
  </si>
  <si>
    <t>Winner Match 53</t>
  </si>
  <si>
    <t>Winner Match 54</t>
  </si>
  <si>
    <t>Winner Match 49</t>
  </si>
  <si>
    <t>Winner Match 50</t>
  </si>
  <si>
    <t>Winner Match 51</t>
  </si>
  <si>
    <t>Winner Match 52</t>
  </si>
  <si>
    <t>Winner Match 55</t>
  </si>
  <si>
    <t>Winner Match 56</t>
  </si>
  <si>
    <t>Winner Match 57</t>
  </si>
  <si>
    <t>Winner Match 58</t>
  </si>
  <si>
    <t>Winner Match 59</t>
  </si>
  <si>
    <t>Winner Match 60</t>
  </si>
  <si>
    <t>Winner Match 61</t>
  </si>
  <si>
    <t>Winner Match 62</t>
  </si>
  <si>
    <t>Al-Ahly</t>
  </si>
  <si>
    <t>Wydad Casablanca</t>
  </si>
  <si>
    <t>Al-Hilal</t>
  </si>
  <si>
    <t>Al-Ain</t>
  </si>
  <si>
    <t>Bayern Múnich</t>
  </si>
  <si>
    <t>Inter de Milán</t>
  </si>
  <si>
    <t>Salzburgo</t>
  </si>
  <si>
    <t>Seattle Sounders</t>
  </si>
  <si>
    <t>Inter Miami</t>
  </si>
  <si>
    <t>Los Angeles</t>
  </si>
  <si>
    <t>https://upload.wikimedia.org/wikipedia/commons/thumb/8/86/Los_Angeles_Football_Club.svg/140px-Los_Angeles_Football_Club.svg.png</t>
  </si>
  <si>
    <t>https://upload.wikimedia.org/wikipedia/en/thumb/c/c1/Club_Am%C3%A9rica_crest.svg/1200px-Club_Am%C3%A9rica_crest.svg.png</t>
  </si>
  <si>
    <t>Portugal</t>
  </si>
  <si>
    <t>Austria</t>
  </si>
  <si>
    <t>https://upload.wikimedia.org/wikipedia/commons/thumb/b/ba/Flag_of_Germany.svg/200px-Flag_of_Germany.svg.png</t>
  </si>
  <si>
    <t>https://upload.wikimedia.org/wikipedia/commons/thumb/4/41/Flag_of_Austria.svg/1200px-Flag_of_Austria.svg.png</t>
  </si>
  <si>
    <t>https://upload.wikimedia.org/wikipedia/commons/thumb/8/89/Bandera_de_Espa%C3%B1a.svg/2560px-Bandera_de_Espa%C3%B1a.svg.png</t>
  </si>
  <si>
    <t>https://upload.wikimedia.org/wikipedia/commons/thumb/b/be/Flag_of_England.svg/1200px-Flag_of_England.svg.png</t>
  </si>
  <si>
    <t>https://upload.wikimedia.org/wikipedia/commons/thumb/0/03/Flag_of_Italy.svg/1200px-Flag_of_Italy.svg.png</t>
  </si>
  <si>
    <t>https://upload.wikimedia.org/wikipedia/commons/thumb/5/5c/Flag_of_Portugal.svg/800px-Flag_of_Portugal.svg.png</t>
  </si>
  <si>
    <t>Egipto</t>
  </si>
  <si>
    <t>Marruecos</t>
  </si>
  <si>
    <t>Túnez</t>
  </si>
  <si>
    <t>Sudáfrica</t>
  </si>
  <si>
    <t>Arabia Saudí</t>
  </si>
  <si>
    <t>Japón</t>
  </si>
  <si>
    <t>Emiratos Árabes Unidos</t>
  </si>
  <si>
    <t>Corea del Sur</t>
  </si>
  <si>
    <t>Inglaterra</t>
  </si>
  <si>
    <t>España</t>
  </si>
  <si>
    <t>Alemania</t>
  </si>
  <si>
    <t>Francia</t>
  </si>
  <si>
    <t>Italia</t>
  </si>
  <si>
    <t>Nueva Zelanda</t>
  </si>
  <si>
    <t>URL Equipo</t>
  </si>
  <si>
    <t>https://upload.wikimedia.org/wikipedia/commons/thumb/f/fe/Flag_of_Egypt.svg/1200px-Flag_of_Egypt.svg.png</t>
  </si>
  <si>
    <t>https://upload.wikimedia.org/wikipedia/commons/thumb/2/2c/Flag_of_Morocco.svg/330px-Flag_of_Morocco.svg.png</t>
  </si>
  <si>
    <t>https://upload.wikimedia.org/wikipedia/commons/thumb/c/ce/Flag_of_Tunisia.svg/960px-Flag_of_Tunisia.svg.png</t>
  </si>
  <si>
    <t>https://upload.wikimedia.org/wikipedia/commons/thumb/a/af/Flag_of_South_Africa.svg/1200px-Flag_of_South_Africa.svg.png</t>
  </si>
  <si>
    <t>https://upload.wikimedia.org/wikipedia/commons/thumb/0/0d/Flag_of_Saudi_Arabia.svg/1200px-Flag_of_Saudi_Arabia.svg.png</t>
  </si>
  <si>
    <t>https://upload.wikimedia.org/wikipedia/commons/thumb/0/09/Flag_of_South_Korea.svg/800px-Flag_of_South_Korea.svg.png</t>
  </si>
  <si>
    <t>https://upload.wikimedia.org/wikipedia/commons/thumb/c/c3/Flag_of_France.svg/330px-Flag_of_France.svg.png</t>
  </si>
  <si>
    <t>https://www.grafimetal.com/wp-content/uploads/2015/11/bandera-japan1.jpg</t>
  </si>
  <si>
    <t>https://static.vecteezy.com/system/resources/previews/006/601/706/non_2x/united-arab-emirates-flag-with-waving-effect-official-proportion-vector.jpg</t>
  </si>
  <si>
    <t>https://upload.wikimedia.org/wikipedia/commons/thumb/3/3e/Flag_of_New_Zealand.svg/960px-Flag_of_New_Zealand.svg.png</t>
  </si>
  <si>
    <t>Vacío</t>
  </si>
  <si>
    <t>BMO Stadium</t>
  </si>
  <si>
    <t>Hard Rock Stadium</t>
  </si>
  <si>
    <t>MetLife Stadium</t>
  </si>
  <si>
    <t>Mercedes-Benz Stadium</t>
  </si>
  <si>
    <t>Rose Bowl</t>
  </si>
  <si>
    <t>Lumen Field</t>
  </si>
  <si>
    <t>TQL Stadium</t>
  </si>
  <si>
    <t>Inter&amp;Co Stadium</t>
  </si>
  <si>
    <t>Geodis Park</t>
  </si>
  <si>
    <t>Bank of America Stadium</t>
  </si>
  <si>
    <t>Lincoln Financial Field</t>
  </si>
  <si>
    <t>Camping World Stadium</t>
  </si>
  <si>
    <t>Audi Field</t>
  </si>
  <si>
    <t>Octavos</t>
  </si>
  <si>
    <t>Aprendiz de Excel - Mundial de Clubes 2025</t>
  </si>
  <si>
    <t>OCTAVOS</t>
  </si>
  <si>
    <t>CAMPEÓN DEL MUNDO 2025</t>
  </si>
  <si>
    <t>PORRA MUNDIAL 2025</t>
  </si>
  <si>
    <t>APUESTAS MUNDIAL CLUBES 2025</t>
  </si>
  <si>
    <t>Previa</t>
  </si>
  <si>
    <t>EquiposOctavos</t>
  </si>
  <si>
    <t>Ogol</t>
  </si>
  <si>
    <t>Osigno</t>
  </si>
  <si>
    <t>Obonus</t>
  </si>
  <si>
    <t>O</t>
  </si>
  <si>
    <t>Signo de partido (1x2) en Octavos</t>
  </si>
  <si>
    <t>Número goles L ó V en Octavos</t>
  </si>
  <si>
    <t>Puntos adicionales resultado exacto Octavos</t>
  </si>
  <si>
    <t>Signo de partido (1x2) en Final</t>
  </si>
  <si>
    <t>Número goles L ó V en Final</t>
  </si>
  <si>
    <t>Puntos adicionales resultado exacto Final</t>
  </si>
  <si>
    <t>Equipos que pasan a octavos</t>
  </si>
  <si>
    <t>ED</t>
  </si>
  <si>
    <t>DG</t>
  </si>
  <si>
    <t>JL</t>
  </si>
  <si>
    <t>1º</t>
  </si>
  <si>
    <t>2º</t>
  </si>
  <si>
    <t>1º Criterio</t>
  </si>
  <si>
    <t>2º Criterio</t>
  </si>
  <si>
    <t>3º Criterio</t>
  </si>
  <si>
    <t>FINAL</t>
  </si>
  <si>
    <t>Goleador</t>
  </si>
  <si>
    <t>Max. Asistidor</t>
  </si>
  <si>
    <t>MVP del torneo</t>
  </si>
  <si>
    <t>Portero de oro</t>
  </si>
  <si>
    <t>Equipo San marino (peor equipo de la competicion)</t>
  </si>
  <si>
    <t>MOP del torneo (Jugador decepcion)</t>
  </si>
  <si>
    <t xml:space="preserve">2$ por participar. Imprescindible entregar resultados y se pagara al final del torneo al ganador.
</t>
  </si>
  <si>
    <t>robstan luibo</t>
  </si>
  <si>
    <t>robstanlubo@gmail.com</t>
  </si>
  <si>
    <t>halland</t>
  </si>
  <si>
    <t>reinders</t>
  </si>
  <si>
    <t>MBAPPE</t>
  </si>
  <si>
    <t>COURTOIS</t>
  </si>
  <si>
    <t>DEMBELE</t>
  </si>
  <si>
    <t>WYDAD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</si>
</sst>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-* #,##0.00\ &quot;€&quot;_-;\-* #,##0.00\ &quot;€&quot;_-;_-* &quot;-&quot;??\ &quot;€&quot;_-;_-@_-"/>
    <numFmt numFmtId="165" formatCode="_-* #,##0.00_-;\-* #,##0.00_-;_-* &quot;-&quot;??_-;_-@_-"/>
    <numFmt numFmtId="166" formatCode=";;;"/>
    <numFmt numFmtId="167" formatCode="h:mm;@"/>
    <numFmt numFmtId="168" formatCode="dd/mm/yyyy\ hh:mm"/>
    <numFmt numFmtId="169" formatCode="\+#;\-#;0"/>
    <numFmt numFmtId="170" formatCode="_-* #,##0\ &quot;€&quot;_-;\-* #,##0\ &quot;€&quot;_-;_-* &quot;-&quot;??\ &quot;€&quot;_-;_-@_-"/>
    <numFmt numFmtId="171" formatCode="&quot;€&quot;#,##0.00_);[Red]\(&quot;€&quot;#,##0.00\)"/>
  </numFmts>
  <fonts count="4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262626"/>
      <name val="Calibri"/>
      <family val="2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</font>
    <font>
      <i/>
      <sz val="14"/>
      <color theme="0"/>
      <name val="Calibri"/>
      <family val="2"/>
    </font>
    <font>
      <sz val="28"/>
      <color theme="1"/>
      <name val="Arial"/>
      <family val="2"/>
    </font>
    <font>
      <sz val="28"/>
      <color theme="0"/>
      <name val="Arial"/>
      <family val="2"/>
    </font>
    <font>
      <sz val="8"/>
      <color rgb="FF262626"/>
      <name val="Calibri"/>
      <family val="2"/>
    </font>
    <font>
      <sz val="11"/>
      <color theme="1"/>
      <name val="Calibri"/>
      <family val="2"/>
    </font>
    <font>
      <b/>
      <sz val="11"/>
      <color rgb="FF262626"/>
      <name val="Calibri"/>
      <family val="2"/>
    </font>
    <font>
      <b/>
      <sz val="9"/>
      <color rgb="FF262626"/>
      <name val="Arial"/>
      <family val="2"/>
    </font>
    <font>
      <b/>
      <sz val="11"/>
      <color theme="1"/>
      <name val="Calibri"/>
      <family val="2"/>
    </font>
    <font>
      <b/>
      <sz val="10"/>
      <color rgb="FF262626"/>
      <name val="Calibri"/>
      <family val="2"/>
    </font>
    <font>
      <b/>
      <sz val="10"/>
      <color rgb="FF8F1737"/>
      <name val="Calibri"/>
      <family val="2"/>
    </font>
    <font>
      <sz val="10"/>
      <color rgb="FF262626"/>
      <name val="Calibri"/>
      <family val="2"/>
    </font>
    <font>
      <b/>
      <sz val="10"/>
      <color rgb="FF0065B3"/>
      <name val="Calibri"/>
      <family val="2"/>
    </font>
    <font>
      <b/>
      <sz val="12"/>
      <color rgb="FF262626"/>
      <name val="Calibri"/>
      <family val="2"/>
    </font>
    <font>
      <b/>
      <sz val="12"/>
      <color rgb="FF8F1737"/>
      <name val="Calibri"/>
      <family val="2"/>
    </font>
    <font>
      <sz val="12"/>
      <color rgb="FF262626"/>
      <name val="Calibri"/>
      <family val="2"/>
    </font>
    <font>
      <sz val="12"/>
      <color rgb="FF0065B3"/>
      <name val="Calibri"/>
      <family val="2"/>
    </font>
    <font>
      <b/>
      <sz val="11"/>
      <color rgb="FFD14F52"/>
      <name val="Calibri"/>
      <family val="2"/>
    </font>
    <font>
      <b/>
      <sz val="8"/>
      <color theme="5"/>
      <name val="Calibri"/>
      <family val="2"/>
    </font>
    <font>
      <b/>
      <sz val="12"/>
      <color theme="0"/>
      <name val="Calibri"/>
      <family val="2"/>
    </font>
    <font>
      <b/>
      <sz val="14"/>
      <color theme="0"/>
      <name val="Calibri"/>
      <family val="2"/>
    </font>
    <font>
      <b/>
      <sz val="11"/>
      <name val="Calibri"/>
      <family val="2"/>
    </font>
    <font>
      <b/>
      <sz val="11"/>
      <name val="Calibri"/>
      <family val="2"/>
      <scheme val="minor"/>
    </font>
    <font>
      <b/>
      <i/>
      <sz val="14"/>
      <color theme="0"/>
      <name val="Calibri"/>
      <family val="2"/>
    </font>
    <font>
      <i/>
      <sz val="11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20"/>
      <color theme="1"/>
      <name val="Arial Black"/>
      <family val="2"/>
    </font>
    <font>
      <sz val="11"/>
      <color theme="0"/>
      <name val="Calibri"/>
      <family val="2"/>
      <scheme val="minor"/>
    </font>
    <font>
      <b/>
      <sz val="18"/>
      <color theme="0"/>
      <name val="Arial Black"/>
      <family val="2"/>
    </font>
    <font>
      <sz val="11"/>
      <name val="Calibri"/>
      <family val="2"/>
      <scheme val="minor"/>
    </font>
    <font>
      <b/>
      <sz val="11"/>
      <color theme="0"/>
      <name val="Calibri"/>
      <family val="2"/>
    </font>
    <font>
      <b/>
      <sz val="16"/>
      <color theme="0"/>
      <name val="Arial Black"/>
      <family val="2"/>
    </font>
    <font>
      <b/>
      <u/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FFFFFF"/>
      <name val="Calibri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AEAEA"/>
        <bgColor rgb="FFEAEAEA"/>
      </patternFill>
    </fill>
    <fill>
      <patternFill patternType="solid">
        <fgColor rgb="FF143CDB"/>
        <bgColor indexed="64"/>
      </patternFill>
    </fill>
    <fill>
      <patternFill patternType="solid">
        <fgColor theme="0" tint="-4.9989318521683403E-2"/>
        <bgColor rgb="FFEAEAEA"/>
      </patternFill>
    </fill>
    <fill>
      <patternFill patternType="solid">
        <fgColor theme="0" tint="-4.9989318521683403E-2"/>
        <bgColor rgb="FFC6D9F1"/>
      </patternFill>
    </fill>
    <fill>
      <patternFill patternType="solid">
        <fgColor theme="5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BE5EB"/>
        <bgColor indexed="64"/>
      </patternFill>
    </fill>
    <fill>
      <patternFill patternType="solid">
        <fgColor rgb="FF023F71"/>
        <bgColor rgb="FF8F1737"/>
      </patternFill>
    </fill>
    <fill>
      <patternFill patternType="solid">
        <fgColor rgb="FF023F7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23F71"/>
        <bgColor rgb="FFEAEAEA"/>
      </patternFill>
    </fill>
    <fill>
      <patternFill patternType="solid">
        <fgColor rgb="FFCCFFFF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472C4"/>
        <bgColor rgb="FF000000"/>
      </patternFill>
    </fill>
  </fills>
  <borders count="64">
    <border>
      <left/>
      <right/>
      <top/>
      <bottom/>
      <diagonal/>
    </border>
    <border>
      <left/>
      <right style="thin">
        <color rgb="FFFFFFFF"/>
      </right>
      <top style="thin">
        <color rgb="FFA5A5A5"/>
      </top>
      <bottom style="thin">
        <color rgb="FFA5A5A5"/>
      </bottom>
      <diagonal/>
    </border>
    <border>
      <left style="thin">
        <color rgb="FFFFFFFF"/>
      </left>
      <right style="thin">
        <color rgb="FFFFFFFF"/>
      </right>
      <top style="thin">
        <color rgb="FFA5A5A5"/>
      </top>
      <bottom style="thin">
        <color rgb="FFA5A5A5"/>
      </bottom>
      <diagonal/>
    </border>
    <border>
      <left/>
      <right/>
      <top style="thin">
        <color rgb="FFA5A5A5"/>
      </top>
      <bottom style="thin">
        <color rgb="FFA5A5A5"/>
      </bottom>
      <diagonal/>
    </border>
    <border>
      <left style="thin">
        <color rgb="FFFFFFFF"/>
      </left>
      <right style="thin">
        <color rgb="FFA5A5A5"/>
      </right>
      <top style="thin">
        <color rgb="FFA5A5A5"/>
      </top>
      <bottom style="thin">
        <color rgb="FFA5A5A5"/>
      </bottom>
      <diagonal/>
    </border>
    <border>
      <left style="thin">
        <color rgb="FFA5A5A5"/>
      </left>
      <right/>
      <top style="thin">
        <color rgb="FFA5A5A5"/>
      </top>
      <bottom style="thin">
        <color rgb="FFA5A5A5"/>
      </bottom>
      <diagonal/>
    </border>
    <border>
      <left style="thin">
        <color rgb="FFA5A5A5"/>
      </left>
      <right style="thin">
        <color rgb="FFA5A5A5"/>
      </right>
      <top/>
      <bottom/>
      <diagonal/>
    </border>
    <border>
      <left style="thin">
        <color rgb="FFA5A5A5"/>
      </left>
      <right/>
      <top/>
      <bottom/>
      <diagonal/>
    </border>
    <border>
      <left/>
      <right style="thin">
        <color rgb="FFA5A5A5"/>
      </right>
      <top/>
      <bottom/>
      <diagonal/>
    </border>
    <border>
      <left style="thin">
        <color rgb="FFA5A5A5"/>
      </left>
      <right style="thin">
        <color rgb="FFA5A5A5"/>
      </right>
      <top style="thin">
        <color rgb="FFA5A5A5"/>
      </top>
      <bottom/>
      <diagonal/>
    </border>
    <border>
      <left style="thin">
        <color rgb="FFA5A5A5"/>
      </left>
      <right/>
      <top style="thin">
        <color rgb="FFA5A5A5"/>
      </top>
      <bottom/>
      <diagonal/>
    </border>
    <border>
      <left style="thin">
        <color rgb="FFA5A5A5"/>
      </left>
      <right style="thin">
        <color rgb="FFA5A5A5"/>
      </right>
      <top/>
      <bottom style="thin">
        <color rgb="FFA5A5A5"/>
      </bottom>
      <diagonal/>
    </border>
    <border>
      <left style="thin">
        <color rgb="FFA5A5A5"/>
      </left>
      <right/>
      <top/>
      <bottom style="thin">
        <color rgb="FFA5A5A5"/>
      </bottom>
      <diagonal/>
    </border>
    <border>
      <left/>
      <right style="thin">
        <color rgb="FFA5A5A5"/>
      </right>
      <top/>
      <bottom style="thin">
        <color rgb="FFA5A5A5"/>
      </bottom>
      <diagonal/>
    </border>
    <border>
      <left/>
      <right/>
      <top/>
      <bottom style="thin">
        <color rgb="FFA5A5A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A5A5A5"/>
      </left>
      <right/>
      <top style="thin">
        <color rgb="FFA5A5A5"/>
      </top>
      <bottom style="thick">
        <color theme="4" tint="-0.499984740745262"/>
      </bottom>
      <diagonal/>
    </border>
    <border>
      <left/>
      <right/>
      <top style="thin">
        <color rgb="FFA5A5A5"/>
      </top>
      <bottom style="thick">
        <color theme="4" tint="-0.499984740745262"/>
      </bottom>
      <diagonal/>
    </border>
    <border>
      <left/>
      <right style="thin">
        <color rgb="FFA5A5A5"/>
      </right>
      <top style="thin">
        <color rgb="FFA5A5A5"/>
      </top>
      <bottom style="thick">
        <color theme="4" tint="-0.499984740745262"/>
      </bottom>
      <diagonal/>
    </border>
    <border>
      <left/>
      <right/>
      <top/>
      <bottom style="thick">
        <color theme="4" tint="-0.499984740745262"/>
      </bottom>
      <diagonal/>
    </border>
    <border>
      <left/>
      <right style="thin">
        <color rgb="FFFFFFFF"/>
      </right>
      <top style="thin">
        <color rgb="FFA5A5A5"/>
      </top>
      <bottom style="thick">
        <color theme="4" tint="-0.499984740745262"/>
      </bottom>
      <diagonal/>
    </border>
    <border>
      <left style="thin">
        <color rgb="FFFFFFFF"/>
      </left>
      <right style="thin">
        <color rgb="FFFFFFFF"/>
      </right>
      <top style="thin">
        <color rgb="FFA5A5A5"/>
      </top>
      <bottom style="thick">
        <color theme="4" tint="-0.499984740745262"/>
      </bottom>
      <diagonal/>
    </border>
    <border>
      <left style="thin">
        <color rgb="FFFFFFFF"/>
      </left>
      <right/>
      <top style="thin">
        <color rgb="FFA5A5A5"/>
      </top>
      <bottom style="thick">
        <color theme="4" tint="-0.499984740745262"/>
      </bottom>
      <diagonal/>
    </border>
    <border>
      <left style="thin">
        <color rgb="FFFFFFFF"/>
      </left>
      <right style="thin">
        <color rgb="FFA5A5A5"/>
      </right>
      <top style="thin">
        <color rgb="FFA5A5A5"/>
      </top>
      <bottom style="thick">
        <color theme="4" tint="-0.499984740745262"/>
      </bottom>
      <diagonal/>
    </border>
    <border>
      <left style="thin">
        <color theme="2" tint="-9.9917600024414813E-2"/>
      </left>
      <right style="thin">
        <color theme="2" tint="-9.9917600024414813E-2"/>
      </right>
      <top style="thin">
        <color theme="2" tint="-9.9917600024414813E-2"/>
      </top>
      <bottom/>
      <diagonal/>
    </border>
    <border>
      <left/>
      <right style="thin">
        <color rgb="FFA5A5A5"/>
      </right>
      <top style="thin">
        <color rgb="FFA5A5A5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rgb="FFA5A5A5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rgb="FF023F71"/>
      </left>
      <right style="medium">
        <color rgb="FF023F71"/>
      </right>
      <top style="medium">
        <color rgb="FF023F71"/>
      </top>
      <bottom style="medium">
        <color rgb="FF023F7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4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342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indent="1"/>
    </xf>
    <xf numFmtId="0" fontId="3" fillId="0" borderId="0" xfId="0" applyFont="1" applyAlignment="1">
      <alignment horizontal="left" vertical="center" indent="1"/>
    </xf>
    <xf numFmtId="0" fontId="2" fillId="2" borderId="0" xfId="0" applyFont="1" applyFill="1" applyAlignment="1">
      <alignment horizontal="center" vertical="center"/>
    </xf>
    <xf numFmtId="0" fontId="11" fillId="4" borderId="6" xfId="0" applyFont="1" applyFill="1" applyBorder="1"/>
    <xf numFmtId="0" fontId="11" fillId="4" borderId="0" xfId="0" applyFont="1" applyFill="1"/>
    <xf numFmtId="16" fontId="12" fillId="6" borderId="7" xfId="0" applyNumberFormat="1" applyFont="1" applyFill="1" applyBorder="1" applyAlignment="1">
      <alignment horizontal="center" vertical="center"/>
    </xf>
    <xf numFmtId="20" fontId="12" fillId="6" borderId="8" xfId="0" applyNumberFormat="1" applyFont="1" applyFill="1" applyBorder="1" applyAlignment="1">
      <alignment horizontal="center" vertical="center"/>
    </xf>
    <xf numFmtId="0" fontId="13" fillId="6" borderId="0" xfId="0" applyFont="1" applyFill="1" applyAlignment="1">
      <alignment horizontal="right" vertical="center" indent="1"/>
    </xf>
    <xf numFmtId="0" fontId="12" fillId="6" borderId="7" xfId="0" applyFont="1" applyFill="1" applyBorder="1" applyAlignment="1">
      <alignment horizontal="center" vertical="center"/>
    </xf>
    <xf numFmtId="0" fontId="12" fillId="6" borderId="8" xfId="0" applyFont="1" applyFill="1" applyBorder="1" applyAlignment="1">
      <alignment horizontal="center" vertical="center"/>
    </xf>
    <xf numFmtId="0" fontId="12" fillId="6" borderId="0" xfId="0" applyFont="1" applyFill="1" applyAlignment="1">
      <alignment horizontal="right" vertical="center" indent="1"/>
    </xf>
    <xf numFmtId="0" fontId="11" fillId="6" borderId="12" xfId="0" applyFont="1" applyFill="1" applyBorder="1" applyAlignment="1">
      <alignment vertical="center"/>
    </xf>
    <xf numFmtId="0" fontId="11" fillId="6" borderId="13" xfId="0" applyFont="1" applyFill="1" applyBorder="1" applyAlignment="1">
      <alignment vertical="center"/>
    </xf>
    <xf numFmtId="0" fontId="11" fillId="6" borderId="14" xfId="0" applyFont="1" applyFill="1" applyBorder="1" applyAlignment="1">
      <alignment horizontal="right" vertical="center" indent="1"/>
    </xf>
    <xf numFmtId="0" fontId="13" fillId="6" borderId="0" xfId="0" applyFont="1" applyFill="1" applyAlignment="1">
      <alignment horizontal="left" vertical="center" indent="1"/>
    </xf>
    <xf numFmtId="0" fontId="12" fillId="6" borderId="0" xfId="0" applyFont="1" applyFill="1" applyAlignment="1">
      <alignment horizontal="left" vertical="center" indent="1"/>
    </xf>
    <xf numFmtId="0" fontId="11" fillId="6" borderId="14" xfId="0" applyFont="1" applyFill="1" applyBorder="1" applyAlignment="1">
      <alignment vertical="center"/>
    </xf>
    <xf numFmtId="0" fontId="11" fillId="6" borderId="14" xfId="0" applyFont="1" applyFill="1" applyBorder="1" applyAlignment="1">
      <alignment horizontal="left" vertical="center" indent="1"/>
    </xf>
    <xf numFmtId="0" fontId="19" fillId="7" borderId="10" xfId="0" applyFont="1" applyFill="1" applyBorder="1" applyAlignment="1">
      <alignment horizontal="left" vertical="center" indent="1"/>
    </xf>
    <xf numFmtId="0" fontId="20" fillId="7" borderId="9" xfId="0" applyFont="1" applyFill="1" applyBorder="1" applyAlignment="1">
      <alignment horizontal="left" vertical="center" indent="1"/>
    </xf>
    <xf numFmtId="0" fontId="21" fillId="7" borderId="9" xfId="0" applyFont="1" applyFill="1" applyBorder="1" applyAlignment="1">
      <alignment horizontal="left" vertical="center" indent="1"/>
    </xf>
    <xf numFmtId="0" fontId="22" fillId="7" borderId="9" xfId="0" applyFont="1" applyFill="1" applyBorder="1" applyAlignment="1">
      <alignment horizontal="right" vertical="center"/>
    </xf>
    <xf numFmtId="0" fontId="15" fillId="6" borderId="6" xfId="0" applyFont="1" applyFill="1" applyBorder="1" applyAlignment="1">
      <alignment horizontal="left" vertical="center" wrapText="1" indent="1"/>
    </xf>
    <xf numFmtId="0" fontId="15" fillId="6" borderId="6" xfId="0" applyFont="1" applyFill="1" applyBorder="1" applyAlignment="1">
      <alignment horizontal="left" vertical="center" indent="1"/>
    </xf>
    <xf numFmtId="0" fontId="11" fillId="6" borderId="11" xfId="0" applyFont="1" applyFill="1" applyBorder="1" applyAlignment="1">
      <alignment horizontal="left" vertical="center" indent="1"/>
    </xf>
    <xf numFmtId="166" fontId="0" fillId="3" borderId="0" xfId="0" applyNumberFormat="1" applyFill="1"/>
    <xf numFmtId="0" fontId="0" fillId="3" borderId="0" xfId="0" applyFill="1"/>
    <xf numFmtId="166" fontId="0" fillId="3" borderId="0" xfId="2" applyNumberFormat="1" applyFont="1" applyFill="1"/>
    <xf numFmtId="165" fontId="0" fillId="3" borderId="0" xfId="2" applyFont="1" applyFill="1"/>
    <xf numFmtId="0" fontId="0" fillId="3" borderId="0" xfId="2" applyNumberFormat="1" applyFont="1" applyFill="1"/>
    <xf numFmtId="0" fontId="10" fillId="3" borderId="0" xfId="0" applyFont="1" applyFill="1" applyAlignment="1">
      <alignment vertical="top"/>
    </xf>
    <xf numFmtId="165" fontId="0" fillId="0" borderId="0" xfId="2" applyFont="1" applyFill="1"/>
    <xf numFmtId="0" fontId="5" fillId="0" borderId="0" xfId="0" applyFont="1" applyAlignment="1">
      <alignment vertical="center"/>
    </xf>
    <xf numFmtId="0" fontId="11" fillId="0" borderId="0" xfId="0" applyFont="1"/>
    <xf numFmtId="0" fontId="16" fillId="0" borderId="0" xfId="0" applyFont="1"/>
    <xf numFmtId="0" fontId="17" fillId="0" borderId="0" xfId="0" applyFont="1"/>
    <xf numFmtId="0" fontId="18" fillId="0" borderId="0" xfId="0" applyFont="1"/>
    <xf numFmtId="0" fontId="0" fillId="0" borderId="0" xfId="2" applyNumberFormat="1" applyFont="1" applyFill="1" applyAlignment="1">
      <alignment horizontal="center"/>
    </xf>
    <xf numFmtId="0" fontId="4" fillId="0" borderId="0" xfId="1"/>
    <xf numFmtId="0" fontId="0" fillId="0" borderId="0" xfId="0" applyAlignment="1">
      <alignment horizontal="center"/>
    </xf>
    <xf numFmtId="0" fontId="11" fillId="4" borderId="10" xfId="0" applyFont="1" applyFill="1" applyBorder="1"/>
    <xf numFmtId="0" fontId="11" fillId="4" borderId="25" xfId="0" applyFont="1" applyFill="1" applyBorder="1"/>
    <xf numFmtId="165" fontId="6" fillId="0" borderId="0" xfId="2" applyFont="1" applyFill="1"/>
    <xf numFmtId="166" fontId="0" fillId="0" borderId="0" xfId="2" applyNumberFormat="1" applyFont="1" applyFill="1"/>
    <xf numFmtId="166" fontId="0" fillId="0" borderId="0" xfId="2" applyNumberFormat="1" applyFont="1" applyFill="1" applyAlignment="1">
      <alignment horizontal="center"/>
    </xf>
    <xf numFmtId="0" fontId="0" fillId="0" borderId="0" xfId="2" applyNumberFormat="1" applyFont="1" applyFill="1"/>
    <xf numFmtId="165" fontId="0" fillId="0" borderId="0" xfId="3" applyFont="1"/>
    <xf numFmtId="165" fontId="30" fillId="0" borderId="0" xfId="3" applyFont="1"/>
    <xf numFmtId="0" fontId="0" fillId="0" borderId="15" xfId="0" applyBorder="1" applyAlignment="1">
      <alignment horizontal="center"/>
    </xf>
    <xf numFmtId="0" fontId="0" fillId="0" borderId="15" xfId="0" applyBorder="1" applyAlignment="1">
      <alignment horizontal="left" indent="1"/>
    </xf>
    <xf numFmtId="9" fontId="0" fillId="0" borderId="0" xfId="0" applyNumberFormat="1"/>
    <xf numFmtId="0" fontId="2" fillId="2" borderId="34" xfId="0" applyFont="1" applyFill="1" applyBorder="1" applyAlignment="1">
      <alignment horizontal="left" indent="1"/>
    </xf>
    <xf numFmtId="0" fontId="0" fillId="0" borderId="35" xfId="0" applyBorder="1" applyAlignment="1">
      <alignment horizontal="right" indent="1"/>
    </xf>
    <xf numFmtId="0" fontId="2" fillId="2" borderId="37" xfId="0" applyFont="1" applyFill="1" applyBorder="1" applyAlignment="1">
      <alignment horizontal="left" indent="1"/>
    </xf>
    <xf numFmtId="0" fontId="0" fillId="0" borderId="38" xfId="0" applyBorder="1" applyAlignment="1">
      <alignment horizontal="right" indent="1"/>
    </xf>
    <xf numFmtId="9" fontId="0" fillId="0" borderId="37" xfId="0" applyNumberFormat="1" applyBorder="1" applyAlignment="1">
      <alignment horizontal="right" indent="1"/>
    </xf>
    <xf numFmtId="0" fontId="2" fillId="2" borderId="40" xfId="0" applyFont="1" applyFill="1" applyBorder="1" applyAlignment="1">
      <alignment horizontal="left" indent="1"/>
    </xf>
    <xf numFmtId="0" fontId="0" fillId="0" borderId="41" xfId="0" applyBorder="1" applyAlignment="1">
      <alignment horizontal="right" indent="1"/>
    </xf>
    <xf numFmtId="0" fontId="2" fillId="8" borderId="34" xfId="0" applyFont="1" applyFill="1" applyBorder="1" applyAlignment="1">
      <alignment horizontal="left" indent="1"/>
    </xf>
    <xf numFmtId="0" fontId="2" fillId="8" borderId="37" xfId="0" applyFont="1" applyFill="1" applyBorder="1" applyAlignment="1">
      <alignment horizontal="left" indent="1"/>
    </xf>
    <xf numFmtId="9" fontId="0" fillId="0" borderId="40" xfId="0" applyNumberFormat="1" applyBorder="1" applyAlignment="1">
      <alignment horizontal="right" indent="1"/>
    </xf>
    <xf numFmtId="0" fontId="0" fillId="0" borderId="41" xfId="0" applyBorder="1"/>
    <xf numFmtId="0" fontId="2" fillId="8" borderId="40" xfId="0" applyFont="1" applyFill="1" applyBorder="1" applyAlignment="1">
      <alignment horizontal="left" indent="1"/>
    </xf>
    <xf numFmtId="0" fontId="2" fillId="10" borderId="34" xfId="0" applyFont="1" applyFill="1" applyBorder="1" applyAlignment="1">
      <alignment horizontal="left" indent="1"/>
    </xf>
    <xf numFmtId="0" fontId="2" fillId="10" borderId="37" xfId="0" applyFont="1" applyFill="1" applyBorder="1" applyAlignment="1">
      <alignment horizontal="left" indent="1"/>
    </xf>
    <xf numFmtId="0" fontId="2" fillId="10" borderId="40" xfId="0" applyFont="1" applyFill="1" applyBorder="1" applyAlignment="1">
      <alignment horizontal="left" indent="1"/>
    </xf>
    <xf numFmtId="0" fontId="2" fillId="9" borderId="34" xfId="0" applyFont="1" applyFill="1" applyBorder="1" applyAlignment="1">
      <alignment horizontal="left" indent="1"/>
    </xf>
    <xf numFmtId="0" fontId="2" fillId="9" borderId="37" xfId="0" applyFont="1" applyFill="1" applyBorder="1" applyAlignment="1">
      <alignment horizontal="left" indent="1"/>
    </xf>
    <xf numFmtId="0" fontId="2" fillId="9" borderId="40" xfId="0" applyFont="1" applyFill="1" applyBorder="1" applyAlignment="1">
      <alignment horizontal="left" indent="1"/>
    </xf>
    <xf numFmtId="0" fontId="0" fillId="0" borderId="34" xfId="0" applyBorder="1" applyAlignment="1">
      <alignment horizontal="right" indent="1"/>
    </xf>
    <xf numFmtId="0" fontId="0" fillId="0" borderId="37" xfId="0" applyBorder="1" applyAlignment="1">
      <alignment horizontal="right" indent="1"/>
    </xf>
    <xf numFmtId="0" fontId="0" fillId="0" borderId="40" xfId="0" applyBorder="1" applyAlignment="1">
      <alignment horizontal="right" indent="1"/>
    </xf>
    <xf numFmtId="0" fontId="5" fillId="0" borderId="0" xfId="0" applyFont="1"/>
    <xf numFmtId="0" fontId="0" fillId="0" borderId="15" xfId="0" applyBorder="1"/>
    <xf numFmtId="165" fontId="0" fillId="0" borderId="0" xfId="3" applyFont="1" applyFill="1"/>
    <xf numFmtId="165" fontId="1" fillId="3" borderId="0" xfId="3" applyFont="1" applyFill="1"/>
    <xf numFmtId="165" fontId="1" fillId="0" borderId="0" xfId="3" applyFont="1" applyFill="1"/>
    <xf numFmtId="165" fontId="1" fillId="0" borderId="0" xfId="3" applyFont="1"/>
    <xf numFmtId="0" fontId="0" fillId="0" borderId="38" xfId="0" applyBorder="1"/>
    <xf numFmtId="0" fontId="0" fillId="0" borderId="0" xfId="0" applyAlignment="1">
      <alignment horizontal="right" indent="1"/>
    </xf>
    <xf numFmtId="1" fontId="0" fillId="15" borderId="38" xfId="0" applyNumberFormat="1" applyFill="1" applyBorder="1" applyAlignment="1">
      <alignment horizontal="right" indent="1"/>
    </xf>
    <xf numFmtId="0" fontId="0" fillId="0" borderId="26" xfId="0" applyBorder="1" applyAlignment="1">
      <alignment horizontal="right" indent="1"/>
    </xf>
    <xf numFmtId="1" fontId="0" fillId="15" borderId="49" xfId="0" applyNumberFormat="1" applyFill="1" applyBorder="1" applyAlignment="1">
      <alignment horizontal="right" indent="1"/>
    </xf>
    <xf numFmtId="0" fontId="0" fillId="0" borderId="51" xfId="0" applyBorder="1" applyAlignment="1">
      <alignment horizontal="right" indent="1"/>
    </xf>
    <xf numFmtId="1" fontId="0" fillId="15" borderId="53" xfId="0" applyNumberFormat="1" applyFill="1" applyBorder="1" applyAlignment="1">
      <alignment horizontal="right" indent="1"/>
    </xf>
    <xf numFmtId="0" fontId="33" fillId="5" borderId="46" xfId="0" applyFont="1" applyFill="1" applyBorder="1" applyAlignment="1">
      <alignment horizontal="left" indent="1"/>
    </xf>
    <xf numFmtId="0" fontId="19" fillId="7" borderId="55" xfId="0" applyFont="1" applyFill="1" applyBorder="1" applyAlignment="1">
      <alignment horizontal="center" vertical="center"/>
    </xf>
    <xf numFmtId="0" fontId="19" fillId="7" borderId="25" xfId="0" applyFont="1" applyFill="1" applyBorder="1" applyAlignment="1">
      <alignment horizontal="center" vertical="center"/>
    </xf>
    <xf numFmtId="0" fontId="19" fillId="7" borderId="7" xfId="0" applyFont="1" applyFill="1" applyBorder="1" applyAlignment="1">
      <alignment horizontal="left" vertical="center" indent="1"/>
    </xf>
    <xf numFmtId="0" fontId="19" fillId="7" borderId="0" xfId="0" applyFont="1" applyFill="1" applyAlignment="1">
      <alignment horizontal="center" vertical="center"/>
    </xf>
    <xf numFmtId="0" fontId="19" fillId="7" borderId="8" xfId="0" applyFont="1" applyFill="1" applyBorder="1" applyAlignment="1">
      <alignment horizontal="center" vertical="center"/>
    </xf>
    <xf numFmtId="0" fontId="20" fillId="7" borderId="6" xfId="0" applyFont="1" applyFill="1" applyBorder="1" applyAlignment="1">
      <alignment horizontal="left" vertical="center" indent="1"/>
    </xf>
    <xf numFmtId="0" fontId="21" fillId="7" borderId="6" xfId="0" applyFont="1" applyFill="1" applyBorder="1" applyAlignment="1">
      <alignment horizontal="left" vertical="center" indent="1"/>
    </xf>
    <xf numFmtId="0" fontId="22" fillId="7" borderId="6" xfId="0" applyFont="1" applyFill="1" applyBorder="1" applyAlignment="1">
      <alignment horizontal="right" vertical="center"/>
    </xf>
    <xf numFmtId="0" fontId="11" fillId="6" borderId="10" xfId="0" applyFont="1" applyFill="1" applyBorder="1" applyAlignment="1">
      <alignment vertical="center"/>
    </xf>
    <xf numFmtId="0" fontId="11" fillId="6" borderId="25" xfId="0" applyFont="1" applyFill="1" applyBorder="1" applyAlignment="1">
      <alignment vertical="center"/>
    </xf>
    <xf numFmtId="0" fontId="11" fillId="6" borderId="55" xfId="0" applyFont="1" applyFill="1" applyBorder="1" applyAlignment="1">
      <alignment horizontal="right" vertical="center" indent="1"/>
    </xf>
    <xf numFmtId="0" fontId="11" fillId="6" borderId="55" xfId="0" applyFont="1" applyFill="1" applyBorder="1" applyAlignment="1">
      <alignment vertical="center"/>
    </xf>
    <xf numFmtId="0" fontId="11" fillId="6" borderId="55" xfId="0" applyFont="1" applyFill="1" applyBorder="1" applyAlignment="1">
      <alignment horizontal="left" vertical="center" indent="1"/>
    </xf>
    <xf numFmtId="0" fontId="11" fillId="6" borderId="9" xfId="0" applyFont="1" applyFill="1" applyBorder="1" applyAlignment="1">
      <alignment horizontal="left" vertical="center" indent="1"/>
    </xf>
    <xf numFmtId="20" fontId="12" fillId="6" borderId="0" xfId="0" applyNumberFormat="1" applyFont="1" applyFill="1" applyAlignment="1">
      <alignment horizontal="center" vertical="center"/>
    </xf>
    <xf numFmtId="0" fontId="12" fillId="6" borderId="0" xfId="0" applyFont="1" applyFill="1" applyAlignment="1">
      <alignment horizontal="center" vertical="center"/>
    </xf>
    <xf numFmtId="0" fontId="0" fillId="0" borderId="0" xfId="0" applyAlignment="1">
      <alignment horizontal="left" indent="1"/>
    </xf>
    <xf numFmtId="0" fontId="2" fillId="8" borderId="0" xfId="0" applyFont="1" applyFill="1" applyAlignment="1">
      <alignment horizontal="center"/>
    </xf>
    <xf numFmtId="0" fontId="2" fillId="8" borderId="0" xfId="0" applyFont="1" applyFill="1" applyAlignment="1">
      <alignment horizontal="center" vertical="center"/>
    </xf>
    <xf numFmtId="0" fontId="25" fillId="16" borderId="20" xfId="0" applyFont="1" applyFill="1" applyBorder="1" applyAlignment="1">
      <alignment horizontal="center" vertical="center"/>
    </xf>
    <xf numFmtId="0" fontId="25" fillId="16" borderId="21" xfId="0" applyFont="1" applyFill="1" applyBorder="1" applyAlignment="1">
      <alignment horizontal="center" vertical="center"/>
    </xf>
    <xf numFmtId="0" fontId="25" fillId="16" borderId="23" xfId="0" applyFont="1" applyFill="1" applyBorder="1" applyAlignment="1">
      <alignment horizontal="center" vertical="center"/>
    </xf>
    <xf numFmtId="0" fontId="0" fillId="13" borderId="15" xfId="0" applyFill="1" applyBorder="1" applyAlignment="1">
      <alignment horizontal="center"/>
    </xf>
    <xf numFmtId="0" fontId="0" fillId="0" borderId="15" xfId="0" applyBorder="1" applyAlignment="1">
      <alignment horizontal="center" vertical="center"/>
    </xf>
    <xf numFmtId="0" fontId="0" fillId="13" borderId="15" xfId="0" applyFill="1" applyBorder="1" applyAlignment="1">
      <alignment horizontal="center" vertical="center"/>
    </xf>
    <xf numFmtId="0" fontId="0" fillId="11" borderId="15" xfId="0" applyFill="1" applyBorder="1" applyAlignment="1">
      <alignment horizontal="center" vertical="center"/>
    </xf>
    <xf numFmtId="0" fontId="0" fillId="18" borderId="15" xfId="0" applyFill="1" applyBorder="1" applyAlignment="1">
      <alignment horizontal="center" vertical="center"/>
    </xf>
    <xf numFmtId="0" fontId="2" fillId="12" borderId="15" xfId="0" applyFont="1" applyFill="1" applyBorder="1" applyAlignment="1">
      <alignment horizontal="center" vertical="center"/>
    </xf>
    <xf numFmtId="165" fontId="0" fillId="0" borderId="0" xfId="3" applyFont="1" applyBorder="1"/>
    <xf numFmtId="0" fontId="0" fillId="3" borderId="39" xfId="0" applyFill="1" applyBorder="1" applyAlignment="1">
      <alignment horizontal="right" indent="1"/>
    </xf>
    <xf numFmtId="0" fontId="0" fillId="3" borderId="0" xfId="0" applyFill="1" applyAlignment="1">
      <alignment horizontal="right" indent="1"/>
    </xf>
    <xf numFmtId="0" fontId="0" fillId="13" borderId="34" xfId="0" applyFill="1" applyBorder="1" applyAlignment="1">
      <alignment horizontal="right" indent="1"/>
    </xf>
    <xf numFmtId="0" fontId="0" fillId="13" borderId="37" xfId="0" applyFill="1" applyBorder="1" applyAlignment="1">
      <alignment horizontal="right" indent="1"/>
    </xf>
    <xf numFmtId="0" fontId="0" fillId="3" borderId="48" xfId="0" applyFill="1" applyBorder="1" applyAlignment="1">
      <alignment horizontal="right" indent="1"/>
    </xf>
    <xf numFmtId="0" fontId="0" fillId="3" borderId="26" xfId="0" applyFill="1" applyBorder="1" applyAlignment="1">
      <alignment horizontal="right" indent="1"/>
    </xf>
    <xf numFmtId="0" fontId="0" fillId="13" borderId="50" xfId="0" applyFill="1" applyBorder="1" applyAlignment="1">
      <alignment horizontal="right" indent="1"/>
    </xf>
    <xf numFmtId="0" fontId="0" fillId="3" borderId="52" xfId="0" applyFill="1" applyBorder="1" applyAlignment="1">
      <alignment horizontal="right" indent="1"/>
    </xf>
    <xf numFmtId="0" fontId="0" fillId="3" borderId="51" xfId="0" applyFill="1" applyBorder="1" applyAlignment="1">
      <alignment horizontal="right" indent="1"/>
    </xf>
    <xf numFmtId="0" fontId="0" fillId="13" borderId="54" xfId="0" applyFill="1" applyBorder="1" applyAlignment="1">
      <alignment horizontal="right" indent="1"/>
    </xf>
    <xf numFmtId="166" fontId="0" fillId="0" borderId="0" xfId="0" applyNumberFormat="1"/>
    <xf numFmtId="0" fontId="35" fillId="3" borderId="0" xfId="0" applyFont="1" applyFill="1" applyAlignment="1">
      <alignment horizontal="center" vertical="center"/>
    </xf>
    <xf numFmtId="0" fontId="0" fillId="0" borderId="36" xfId="0" applyBorder="1"/>
    <xf numFmtId="0" fontId="0" fillId="0" borderId="45" xfId="0" applyBorder="1"/>
    <xf numFmtId="0" fontId="0" fillId="0" borderId="35" xfId="0" applyBorder="1"/>
    <xf numFmtId="0" fontId="35" fillId="3" borderId="45" xfId="0" applyFont="1" applyFill="1" applyBorder="1"/>
    <xf numFmtId="0" fontId="28" fillId="3" borderId="45" xfId="0" applyFont="1" applyFill="1" applyBorder="1" applyAlignment="1">
      <alignment horizontal="center" vertical="center"/>
    </xf>
    <xf numFmtId="0" fontId="0" fillId="0" borderId="39" xfId="0" applyBorder="1"/>
    <xf numFmtId="0" fontId="0" fillId="0" borderId="42" xfId="0" applyBorder="1"/>
    <xf numFmtId="0" fontId="0" fillId="0" borderId="61" xfId="0" applyBorder="1"/>
    <xf numFmtId="169" fontId="0" fillId="3" borderId="33" xfId="0" applyNumberFormat="1" applyFill="1" applyBorder="1" applyAlignment="1">
      <alignment horizontal="center" vertical="center"/>
    </xf>
    <xf numFmtId="166" fontId="0" fillId="3" borderId="0" xfId="2" applyNumberFormat="1" applyFont="1" applyFill="1" applyAlignment="1">
      <alignment horizontal="center"/>
    </xf>
    <xf numFmtId="166" fontId="18" fillId="3" borderId="0" xfId="2" applyNumberFormat="1" applyFont="1" applyFill="1"/>
    <xf numFmtId="166" fontId="0" fillId="3" borderId="0" xfId="0" applyNumberFormat="1" applyFill="1" applyAlignment="1">
      <alignment horizontal="center"/>
    </xf>
    <xf numFmtId="166" fontId="28" fillId="3" borderId="0" xfId="2" applyNumberFormat="1" applyFont="1" applyFill="1" applyAlignment="1">
      <alignment horizontal="center" vertical="center"/>
    </xf>
    <xf numFmtId="0" fontId="2" fillId="19" borderId="34" xfId="0" applyFont="1" applyFill="1" applyBorder="1" applyAlignment="1">
      <alignment horizontal="left" indent="1"/>
    </xf>
    <xf numFmtId="0" fontId="2" fillId="19" borderId="37" xfId="0" applyFont="1" applyFill="1" applyBorder="1" applyAlignment="1">
      <alignment horizontal="left" indent="1"/>
    </xf>
    <xf numFmtId="0" fontId="2" fillId="19" borderId="40" xfId="0" applyFont="1" applyFill="1" applyBorder="1" applyAlignment="1">
      <alignment horizontal="left" indent="1"/>
    </xf>
    <xf numFmtId="0" fontId="11" fillId="6" borderId="0" xfId="0" applyFont="1" applyFill="1" applyAlignment="1">
      <alignment horizontal="center" vertical="center"/>
    </xf>
    <xf numFmtId="170" fontId="0" fillId="0" borderId="0" xfId="6" applyNumberFormat="1" applyFont="1"/>
    <xf numFmtId="0" fontId="0" fillId="0" borderId="15" xfId="0" applyBorder="1" applyAlignment="1">
      <alignment horizontal="center" vertical="center" shrinkToFit="1"/>
    </xf>
    <xf numFmtId="0" fontId="0" fillId="0" borderId="15" xfId="0" applyBorder="1" applyAlignment="1">
      <alignment horizontal="center" shrinkToFit="1"/>
    </xf>
    <xf numFmtId="0" fontId="3" fillId="0" borderId="15" xfId="0" applyFont="1" applyBorder="1" applyAlignment="1">
      <alignment horizontal="left" vertical="center" indent="1" shrinkToFit="1"/>
    </xf>
    <xf numFmtId="0" fontId="0" fillId="0" borderId="15" xfId="0" applyBorder="1" applyAlignment="1">
      <alignment horizontal="left" vertical="center" indent="1" shrinkToFit="1"/>
    </xf>
    <xf numFmtId="0" fontId="0" fillId="0" borderId="0" xfId="0" applyAlignment="1">
      <alignment horizontal="left" vertical="center" indent="2"/>
    </xf>
    <xf numFmtId="168" fontId="3" fillId="0" borderId="15" xfId="0" applyNumberFormat="1" applyFont="1" applyBorder="1" applyAlignment="1">
      <alignment horizontal="center" vertical="center" shrinkToFit="1"/>
    </xf>
    <xf numFmtId="0" fontId="0" fillId="17" borderId="0" xfId="0" applyFill="1"/>
    <xf numFmtId="0" fontId="13" fillId="6" borderId="0" xfId="0" applyFont="1" applyFill="1" applyAlignment="1">
      <alignment horizontal="center" vertical="center"/>
    </xf>
    <xf numFmtId="0" fontId="13" fillId="6" borderId="0" xfId="0" applyFont="1" applyFill="1" applyAlignment="1">
      <alignment horizontal="left" vertical="center" indent="1" shrinkToFit="1"/>
    </xf>
    <xf numFmtId="0" fontId="12" fillId="6" borderId="0" xfId="0" applyFont="1" applyFill="1" applyAlignment="1">
      <alignment horizontal="left" vertical="center" indent="1" shrinkToFit="1"/>
    </xf>
    <xf numFmtId="0" fontId="13" fillId="6" borderId="0" xfId="0" applyFont="1" applyFill="1" applyAlignment="1">
      <alignment horizontal="right" vertical="center" indent="1" shrinkToFit="1"/>
    </xf>
    <xf numFmtId="0" fontId="12" fillId="6" borderId="0" xfId="0" applyFont="1" applyFill="1" applyAlignment="1">
      <alignment horizontal="right" vertical="center" indent="1" shrinkToFit="1"/>
    </xf>
    <xf numFmtId="0" fontId="6" fillId="0" borderId="0" xfId="0" applyFont="1"/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1" fillId="6" borderId="9" xfId="0" applyFont="1" applyFill="1" applyBorder="1" applyAlignment="1">
      <alignment horizontal="center" vertical="center"/>
    </xf>
    <xf numFmtId="0" fontId="12" fillId="6" borderId="6" xfId="0" applyFont="1" applyFill="1" applyBorder="1" applyAlignment="1">
      <alignment horizontal="center" vertical="center"/>
    </xf>
    <xf numFmtId="0" fontId="11" fillId="6" borderId="11" xfId="0" applyFont="1" applyFill="1" applyBorder="1" applyAlignment="1">
      <alignment horizontal="center" vertical="center"/>
    </xf>
    <xf numFmtId="166" fontId="2" fillId="0" borderId="0" xfId="2" applyNumberFormat="1" applyFont="1" applyFill="1" applyAlignment="1">
      <alignment horizontal="center"/>
    </xf>
    <xf numFmtId="0" fontId="14" fillId="0" borderId="0" xfId="0" applyFont="1" applyAlignment="1">
      <alignment horizontal="center"/>
    </xf>
    <xf numFmtId="0" fontId="25" fillId="16" borderId="1" xfId="0" applyFont="1" applyFill="1" applyBorder="1" applyAlignment="1">
      <alignment horizontal="center" vertical="center"/>
    </xf>
    <xf numFmtId="0" fontId="25" fillId="16" borderId="2" xfId="0" applyFont="1" applyFill="1" applyBorder="1" applyAlignment="1">
      <alignment horizontal="center" vertical="center"/>
    </xf>
    <xf numFmtId="0" fontId="25" fillId="16" borderId="3" xfId="0" applyFont="1" applyFill="1" applyBorder="1" applyAlignment="1">
      <alignment horizontal="center" vertical="center"/>
    </xf>
    <xf numFmtId="0" fontId="25" fillId="17" borderId="3" xfId="0" applyFont="1" applyFill="1" applyBorder="1" applyAlignment="1">
      <alignment horizontal="center" vertical="center"/>
    </xf>
    <xf numFmtId="0" fontId="25" fillId="16" borderId="4" xfId="0" applyFont="1" applyFill="1" applyBorder="1" applyAlignment="1">
      <alignment horizontal="center" vertical="center"/>
    </xf>
    <xf numFmtId="0" fontId="29" fillId="16" borderId="5" xfId="0" applyFont="1" applyFill="1" applyBorder="1" applyAlignment="1">
      <alignment horizontal="center" vertical="center"/>
    </xf>
    <xf numFmtId="166" fontId="2" fillId="0" borderId="0" xfId="2" applyNumberFormat="1" applyFont="1" applyFill="1" applyAlignment="1">
      <alignment horizontal="center" vertical="center"/>
    </xf>
    <xf numFmtId="166" fontId="17" fillId="0" borderId="0" xfId="2" applyNumberFormat="1" applyFont="1" applyFill="1"/>
    <xf numFmtId="166" fontId="16" fillId="0" borderId="0" xfId="2" applyNumberFormat="1" applyFont="1" applyFill="1"/>
    <xf numFmtId="166" fontId="0" fillId="0" borderId="0" xfId="2" applyNumberFormat="1" applyFont="1" applyFill="1" applyAlignment="1">
      <alignment horizontal="left" indent="1"/>
    </xf>
    <xf numFmtId="0" fontId="12" fillId="4" borderId="6" xfId="0" applyFont="1" applyFill="1" applyBorder="1" applyAlignment="1">
      <alignment horizontal="center" vertical="center"/>
    </xf>
    <xf numFmtId="16" fontId="12" fillId="4" borderId="7" xfId="0" applyNumberFormat="1" applyFont="1" applyFill="1" applyBorder="1" applyAlignment="1">
      <alignment horizontal="center" vertical="center"/>
    </xf>
    <xf numFmtId="167" fontId="12" fillId="4" borderId="8" xfId="0" applyNumberFormat="1" applyFont="1" applyFill="1" applyBorder="1" applyAlignment="1">
      <alignment horizontal="center" vertical="center"/>
    </xf>
    <xf numFmtId="167" fontId="12" fillId="4" borderId="0" xfId="0" applyNumberFormat="1" applyFont="1" applyFill="1" applyAlignment="1">
      <alignment horizontal="center" vertical="center"/>
    </xf>
    <xf numFmtId="0" fontId="13" fillId="4" borderId="0" xfId="0" applyFont="1" applyFill="1" applyAlignment="1">
      <alignment horizontal="right" vertical="center"/>
    </xf>
    <xf numFmtId="0" fontId="13" fillId="4" borderId="0" xfId="0" applyFont="1" applyFill="1" applyAlignment="1">
      <alignment horizontal="center" vertical="center"/>
    </xf>
    <xf numFmtId="0" fontId="11" fillId="4" borderId="0" xfId="0" applyFont="1" applyFill="1" applyAlignment="1">
      <alignment horizontal="center" vertical="center"/>
    </xf>
    <xf numFmtId="0" fontId="11" fillId="4" borderId="0" xfId="0" applyFont="1" applyFill="1" applyAlignment="1">
      <alignment vertical="center"/>
    </xf>
    <xf numFmtId="0" fontId="13" fillId="4" borderId="0" xfId="0" applyFont="1" applyFill="1" applyAlignment="1">
      <alignment vertical="center"/>
    </xf>
    <xf numFmtId="0" fontId="15" fillId="4" borderId="6" xfId="0" applyFont="1" applyFill="1" applyBorder="1" applyAlignment="1">
      <alignment horizontal="left" vertical="center" wrapText="1"/>
    </xf>
    <xf numFmtId="0" fontId="23" fillId="4" borderId="7" xfId="0" applyFont="1" applyFill="1" applyBorder="1" applyAlignment="1">
      <alignment horizontal="center" vertical="center"/>
    </xf>
    <xf numFmtId="0" fontId="23" fillId="4" borderId="8" xfId="0" applyFont="1" applyFill="1" applyBorder="1" applyAlignment="1">
      <alignment horizontal="center" vertical="center"/>
    </xf>
    <xf numFmtId="0" fontId="23" fillId="4" borderId="0" xfId="0" applyFont="1" applyFill="1" applyAlignment="1">
      <alignment horizontal="center" vertical="center"/>
    </xf>
    <xf numFmtId="0" fontId="24" fillId="4" borderId="0" xfId="0" applyFont="1" applyFill="1" applyAlignment="1">
      <alignment horizontal="right" vertical="center"/>
    </xf>
    <xf numFmtId="0" fontId="12" fillId="4" borderId="0" xfId="0" applyFont="1" applyFill="1" applyAlignment="1">
      <alignment horizontal="center" vertical="center"/>
    </xf>
    <xf numFmtId="0" fontId="12" fillId="4" borderId="0" xfId="0" applyFont="1" applyFill="1" applyAlignment="1">
      <alignment vertical="center"/>
    </xf>
    <xf numFmtId="0" fontId="11" fillId="4" borderId="8" xfId="0" applyFont="1" applyFill="1" applyBorder="1" applyAlignment="1">
      <alignment horizontal="center" vertical="center"/>
    </xf>
    <xf numFmtId="0" fontId="11" fillId="4" borderId="6" xfId="0" applyFont="1" applyFill="1" applyBorder="1" applyAlignment="1">
      <alignment vertical="center"/>
    </xf>
    <xf numFmtId="0" fontId="11" fillId="4" borderId="7" xfId="0" applyFont="1" applyFill="1" applyBorder="1" applyAlignment="1">
      <alignment vertical="center"/>
    </xf>
    <xf numFmtId="0" fontId="11" fillId="4" borderId="8" xfId="0" applyFont="1" applyFill="1" applyBorder="1" applyAlignment="1">
      <alignment vertical="center"/>
    </xf>
    <xf numFmtId="0" fontId="11" fillId="4" borderId="11" xfId="0" applyFont="1" applyFill="1" applyBorder="1" applyAlignment="1">
      <alignment vertical="center"/>
    </xf>
    <xf numFmtId="0" fontId="11" fillId="4" borderId="12" xfId="0" applyFont="1" applyFill="1" applyBorder="1" applyAlignment="1">
      <alignment vertical="center"/>
    </xf>
    <xf numFmtId="0" fontId="11" fillId="4" borderId="13" xfId="0" applyFont="1" applyFill="1" applyBorder="1" applyAlignment="1">
      <alignment vertical="center"/>
    </xf>
    <xf numFmtId="0" fontId="11" fillId="4" borderId="14" xfId="0" applyFont="1" applyFill="1" applyBorder="1" applyAlignment="1">
      <alignment vertical="center"/>
    </xf>
    <xf numFmtId="0" fontId="11" fillId="4" borderId="14" xfId="0" applyFont="1" applyFill="1" applyBorder="1" applyAlignment="1">
      <alignment horizontal="center" vertical="center"/>
    </xf>
    <xf numFmtId="0" fontId="14" fillId="3" borderId="24" xfId="0" applyFont="1" applyFill="1" applyBorder="1" applyAlignment="1">
      <alignment horizontal="center" vertical="center"/>
    </xf>
    <xf numFmtId="0" fontId="15" fillId="4" borderId="6" xfId="0" applyFont="1" applyFill="1" applyBorder="1" applyAlignment="1">
      <alignment horizontal="left" vertical="center" indent="1" shrinkToFit="1"/>
    </xf>
    <xf numFmtId="0" fontId="11" fillId="4" borderId="6" xfId="0" applyFont="1" applyFill="1" applyBorder="1" applyAlignment="1">
      <alignment horizontal="left" vertical="center" indent="1" shrinkToFit="1"/>
    </xf>
    <xf numFmtId="0" fontId="14" fillId="0" borderId="62" xfId="0" applyFont="1" applyBorder="1" applyAlignment="1">
      <alignment horizontal="center" vertical="center" shrinkToFit="1"/>
    </xf>
    <xf numFmtId="0" fontId="14" fillId="0" borderId="0" xfId="0" applyFont="1" applyAlignment="1">
      <alignment shrinkToFit="1"/>
    </xf>
    <xf numFmtId="0" fontId="0" fillId="0" borderId="0" xfId="0" applyAlignment="1">
      <alignment shrinkToFit="1"/>
    </xf>
    <xf numFmtId="166" fontId="14" fillId="0" borderId="0" xfId="0" applyNumberFormat="1" applyFont="1" applyAlignment="1">
      <alignment horizontal="center" vertical="center" shrinkToFit="1"/>
    </xf>
    <xf numFmtId="0" fontId="39" fillId="17" borderId="0" xfId="0" applyFont="1" applyFill="1" applyAlignment="1">
      <alignment horizontal="centerContinuous" vertical="center"/>
    </xf>
    <xf numFmtId="0" fontId="0" fillId="17" borderId="0" xfId="0" applyFill="1" applyAlignment="1">
      <alignment horizontal="centerContinuous"/>
    </xf>
    <xf numFmtId="0" fontId="2" fillId="17" borderId="43" xfId="0" applyFont="1" applyFill="1" applyBorder="1" applyAlignment="1">
      <alignment horizontal="left" indent="1"/>
    </xf>
    <xf numFmtId="0" fontId="0" fillId="17" borderId="44" xfId="0" applyFill="1" applyBorder="1"/>
    <xf numFmtId="0" fontId="2" fillId="17" borderId="39" xfId="0" applyFont="1" applyFill="1" applyBorder="1" applyAlignment="1">
      <alignment horizontal="left" indent="1"/>
    </xf>
    <xf numFmtId="0" fontId="2" fillId="17" borderId="42" xfId="0" applyFont="1" applyFill="1" applyBorder="1" applyAlignment="1">
      <alignment horizontal="left" indent="1"/>
    </xf>
    <xf numFmtId="9" fontId="2" fillId="17" borderId="34" xfId="0" applyNumberFormat="1" applyFont="1" applyFill="1" applyBorder="1" applyAlignment="1">
      <alignment horizontal="right" indent="1"/>
    </xf>
    <xf numFmtId="0" fontId="2" fillId="17" borderId="0" xfId="0" applyFont="1" applyFill="1" applyAlignment="1">
      <alignment horizontal="center"/>
    </xf>
    <xf numFmtId="0" fontId="2" fillId="17" borderId="0" xfId="0" applyFont="1" applyFill="1" applyAlignment="1">
      <alignment horizontal="center" shrinkToFit="1"/>
    </xf>
    <xf numFmtId="0" fontId="2" fillId="17" borderId="27" xfId="0" applyFont="1" applyFill="1" applyBorder="1" applyAlignment="1">
      <alignment horizontal="left" indent="1"/>
    </xf>
    <xf numFmtId="0" fontId="3" fillId="0" borderId="15" xfId="0" applyFont="1" applyBorder="1" applyAlignment="1">
      <alignment horizontal="center" vertical="center" shrinkToFit="1"/>
    </xf>
    <xf numFmtId="0" fontId="34" fillId="17" borderId="36" xfId="0" applyFont="1" applyFill="1" applyBorder="1" applyAlignment="1">
      <alignment horizontal="center" vertical="center"/>
    </xf>
    <xf numFmtId="0" fontId="34" fillId="17" borderId="45" xfId="0" applyFont="1" applyFill="1" applyBorder="1" applyAlignment="1">
      <alignment horizontal="center" vertical="center"/>
    </xf>
    <xf numFmtId="0" fontId="0" fillId="17" borderId="39" xfId="0" applyFill="1" applyBorder="1"/>
    <xf numFmtId="0" fontId="2" fillId="17" borderId="39" xfId="0" applyFont="1" applyFill="1" applyBorder="1" applyAlignment="1">
      <alignment horizontal="right" indent="1"/>
    </xf>
    <xf numFmtId="0" fontId="2" fillId="17" borderId="0" xfId="0" applyFont="1" applyFill="1" applyAlignment="1">
      <alignment horizontal="left" indent="1"/>
    </xf>
    <xf numFmtId="0" fontId="2" fillId="17" borderId="26" xfId="0" applyFont="1" applyFill="1" applyBorder="1" applyAlignment="1">
      <alignment horizontal="left" indent="1"/>
    </xf>
    <xf numFmtId="0" fontId="2" fillId="17" borderId="51" xfId="0" applyFont="1" applyFill="1" applyBorder="1" applyAlignment="1">
      <alignment horizontal="left" indent="1"/>
    </xf>
    <xf numFmtId="0" fontId="34" fillId="17" borderId="35" xfId="0" applyFont="1" applyFill="1" applyBorder="1" applyAlignment="1">
      <alignment horizontal="center" vertical="center"/>
    </xf>
    <xf numFmtId="0" fontId="2" fillId="17" borderId="0" xfId="0" applyFont="1" applyFill="1" applyAlignment="1">
      <alignment horizontal="center" vertical="center"/>
    </xf>
    <xf numFmtId="0" fontId="2" fillId="17" borderId="0" xfId="0" applyFont="1" applyFill="1" applyAlignment="1">
      <alignment horizontal="center" vertical="center" wrapText="1"/>
    </xf>
    <xf numFmtId="0" fontId="2" fillId="17" borderId="38" xfId="0" applyFont="1" applyFill="1" applyBorder="1" applyAlignment="1">
      <alignment horizontal="center" vertical="center"/>
    </xf>
    <xf numFmtId="0" fontId="36" fillId="20" borderId="26" xfId="0" applyFont="1" applyFill="1" applyBorder="1" applyAlignment="1">
      <alignment horizontal="center"/>
    </xf>
    <xf numFmtId="0" fontId="2" fillId="17" borderId="15" xfId="0" applyFont="1" applyFill="1" applyBorder="1" applyAlignment="1">
      <alignment horizontal="center" vertical="center"/>
    </xf>
    <xf numFmtId="0" fontId="2" fillId="17" borderId="58" xfId="0" applyFont="1" applyFill="1" applyBorder="1" applyAlignment="1">
      <alignment horizontal="left" indent="1"/>
    </xf>
    <xf numFmtId="0" fontId="0" fillId="17" borderId="58" xfId="0" applyFill="1" applyBorder="1"/>
    <xf numFmtId="20" fontId="14" fillId="0" borderId="28" xfId="0" applyNumberFormat="1" applyFont="1" applyBorder="1" applyAlignment="1">
      <alignment horizontal="center" vertical="center"/>
    </xf>
    <xf numFmtId="16" fontId="14" fillId="0" borderId="60" xfId="0" applyNumberFormat="1" applyFont="1" applyBorder="1" applyAlignment="1">
      <alignment horizontal="center" vertical="center"/>
    </xf>
    <xf numFmtId="0" fontId="13" fillId="0" borderId="57" xfId="0" applyFont="1" applyBorder="1" applyAlignment="1">
      <alignment horizontal="center" vertical="center" wrapText="1"/>
    </xf>
    <xf numFmtId="0" fontId="13" fillId="0" borderId="60" xfId="0" applyFont="1" applyBorder="1" applyAlignment="1">
      <alignment horizontal="center" vertical="center" wrapText="1"/>
    </xf>
    <xf numFmtId="0" fontId="19" fillId="7" borderId="7" xfId="0" applyFont="1" applyFill="1" applyBorder="1" applyAlignment="1">
      <alignment horizontal="left" vertical="center" indent="1" shrinkToFit="1"/>
    </xf>
    <xf numFmtId="0" fontId="0" fillId="13" borderId="15" xfId="0" applyFill="1" applyBorder="1" applyAlignment="1">
      <alignment horizontal="center" shrinkToFit="1"/>
    </xf>
    <xf numFmtId="0" fontId="0" fillId="11" borderId="15" xfId="0" applyFill="1" applyBorder="1" applyAlignment="1">
      <alignment horizontal="center" shrinkToFit="1"/>
    </xf>
    <xf numFmtId="0" fontId="0" fillId="18" borderId="15" xfId="0" applyFill="1" applyBorder="1" applyAlignment="1">
      <alignment horizontal="center" shrinkToFit="1"/>
    </xf>
    <xf numFmtId="0" fontId="2" fillId="12" borderId="15" xfId="0" applyFont="1" applyFill="1" applyBorder="1" applyAlignment="1">
      <alignment horizontal="center" shrinkToFit="1"/>
    </xf>
    <xf numFmtId="0" fontId="0" fillId="14" borderId="15" xfId="0" applyFill="1" applyBorder="1" applyAlignment="1">
      <alignment horizontal="center" shrinkToFit="1"/>
    </xf>
    <xf numFmtId="0" fontId="31" fillId="17" borderId="36" xfId="0" applyFont="1" applyFill="1" applyBorder="1" applyAlignment="1">
      <alignment vertical="center"/>
    </xf>
    <xf numFmtId="0" fontId="15" fillId="4" borderId="6" xfId="0" applyFont="1" applyFill="1" applyBorder="1" applyAlignment="1">
      <alignment horizontal="left" vertical="center" wrapText="1" indent="1" shrinkToFit="1"/>
    </xf>
    <xf numFmtId="0" fontId="0" fillId="0" borderId="0" xfId="0" applyAlignment="1">
      <alignment horizontal="left" vertical="center" wrapText="1" indent="1" shrinkToFit="1"/>
    </xf>
    <xf numFmtId="0" fontId="11" fillId="4" borderId="6" xfId="0" applyFont="1" applyFill="1" applyBorder="1" applyAlignment="1">
      <alignment horizontal="left" vertical="center" wrapText="1" indent="1" shrinkToFit="1"/>
    </xf>
    <xf numFmtId="0" fontId="2" fillId="22" borderId="34" xfId="0" applyFont="1" applyFill="1" applyBorder="1" applyAlignment="1">
      <alignment horizontal="left" indent="1"/>
    </xf>
    <xf numFmtId="0" fontId="2" fillId="22" borderId="37" xfId="0" applyFont="1" applyFill="1" applyBorder="1" applyAlignment="1">
      <alignment horizontal="left" indent="1"/>
    </xf>
    <xf numFmtId="0" fontId="2" fillId="22" borderId="40" xfId="0" applyFont="1" applyFill="1" applyBorder="1" applyAlignment="1">
      <alignment horizontal="left" indent="1"/>
    </xf>
    <xf numFmtId="0" fontId="0" fillId="21" borderId="37" xfId="0" applyFill="1" applyBorder="1" applyAlignment="1">
      <alignment horizontal="right" indent="1"/>
    </xf>
    <xf numFmtId="0" fontId="0" fillId="21" borderId="50" xfId="0" applyFill="1" applyBorder="1" applyAlignment="1">
      <alignment horizontal="right" indent="1"/>
    </xf>
    <xf numFmtId="0" fontId="0" fillId="21" borderId="54" xfId="0" applyFill="1" applyBorder="1" applyAlignment="1">
      <alignment horizontal="right" indent="1"/>
    </xf>
    <xf numFmtId="0" fontId="36" fillId="20" borderId="51" xfId="0" applyFont="1" applyFill="1" applyBorder="1" applyAlignment="1">
      <alignment horizontal="center" vertical="center"/>
    </xf>
    <xf numFmtId="0" fontId="36" fillId="20" borderId="0" xfId="0" applyFont="1" applyFill="1" applyAlignment="1">
      <alignment horizontal="center" vertical="center"/>
    </xf>
    <xf numFmtId="0" fontId="36" fillId="20" borderId="26" xfId="0" applyFont="1" applyFill="1" applyBorder="1" applyAlignment="1">
      <alignment horizontal="center" vertical="center"/>
    </xf>
    <xf numFmtId="0" fontId="2" fillId="17" borderId="46" xfId="0" applyFont="1" applyFill="1" applyBorder="1" applyAlignment="1">
      <alignment horizontal="left" vertical="center" indent="1"/>
    </xf>
    <xf numFmtId="0" fontId="2" fillId="17" borderId="47" xfId="0" applyFont="1" applyFill="1" applyBorder="1" applyAlignment="1">
      <alignment horizontal="left" vertical="center" indent="1"/>
    </xf>
    <xf numFmtId="0" fontId="6" fillId="0" borderId="0" xfId="2" applyNumberFormat="1" applyFont="1" applyFill="1"/>
    <xf numFmtId="0" fontId="0" fillId="3" borderId="0" xfId="2" applyNumberFormat="1" applyFont="1" applyFill="1" applyAlignment="1">
      <alignment horizontal="center"/>
    </xf>
    <xf numFmtId="0" fontId="0" fillId="3" borderId="0" xfId="0" applyFill="1" applyAlignment="1">
      <alignment horizontal="center"/>
    </xf>
    <xf numFmtId="166" fontId="0" fillId="3" borderId="0" xfId="2" applyNumberFormat="1" applyFont="1" applyFill="1" applyAlignment="1">
      <alignment horizontal="right"/>
    </xf>
    <xf numFmtId="166" fontId="18" fillId="3" borderId="0" xfId="2" applyNumberFormat="1" applyFont="1" applyFill="1" applyAlignment="1">
      <alignment horizontal="center"/>
    </xf>
    <xf numFmtId="166" fontId="0" fillId="0" borderId="0" xfId="3" applyNumberFormat="1" applyFont="1" applyFill="1"/>
    <xf numFmtId="166" fontId="1" fillId="3" borderId="0" xfId="3" applyNumberFormat="1" applyFont="1" applyFill="1" applyAlignment="1">
      <alignment horizontal="center"/>
    </xf>
    <xf numFmtId="166" fontId="1" fillId="3" borderId="0" xfId="3" applyNumberFormat="1" applyFont="1" applyFill="1"/>
    <xf numFmtId="166" fontId="1" fillId="0" borderId="0" xfId="3" applyNumberFormat="1" applyFont="1" applyFill="1"/>
    <xf numFmtId="166" fontId="1" fillId="0" borderId="0" xfId="3" applyNumberFormat="1" applyFont="1"/>
    <xf numFmtId="166" fontId="5" fillId="3" borderId="0" xfId="3" applyNumberFormat="1" applyFont="1" applyFill="1" applyAlignment="1">
      <alignment horizontal="center" vertical="center"/>
    </xf>
    <xf numFmtId="166" fontId="5" fillId="3" borderId="0" xfId="3" applyNumberFormat="1" applyFont="1" applyFill="1" applyAlignment="1">
      <alignment horizontal="center" vertical="center" wrapText="1"/>
    </xf>
    <xf numFmtId="166" fontId="5" fillId="0" borderId="0" xfId="3" applyNumberFormat="1" applyFont="1" applyAlignment="1">
      <alignment horizontal="center" vertical="center"/>
    </xf>
    <xf numFmtId="166" fontId="5" fillId="3" borderId="0" xfId="3" applyNumberFormat="1" applyFont="1" applyFill="1" applyAlignment="1">
      <alignment horizontal="left" indent="1"/>
    </xf>
    <xf numFmtId="166" fontId="0" fillId="0" borderId="0" xfId="3" applyNumberFormat="1" applyFont="1"/>
    <xf numFmtId="166" fontId="30" fillId="0" borderId="0" xfId="3" applyNumberFormat="1" applyFont="1"/>
    <xf numFmtId="166" fontId="0" fillId="0" borderId="0" xfId="0" applyNumberFormat="1" applyAlignment="1">
      <alignment horizontal="left" indent="1"/>
    </xf>
    <xf numFmtId="0" fontId="33" fillId="23" borderId="15" xfId="0" applyFont="1" applyFill="1" applyBorder="1" applyAlignment="1">
      <alignment horizontal="left" vertical="center"/>
    </xf>
    <xf numFmtId="0" fontId="40" fillId="0" borderId="0" xfId="0" applyFont="1"/>
    <xf numFmtId="0" fontId="41" fillId="24" borderId="15" xfId="0" applyFont="1" applyFill="1" applyBorder="1" applyAlignment="1">
      <alignment horizontal="left" vertical="center"/>
    </xf>
    <xf numFmtId="0" fontId="40" fillId="0" borderId="28" xfId="0" applyFont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3" borderId="31" xfId="0" applyFill="1" applyBorder="1" applyAlignment="1">
      <alignment horizontal="center"/>
    </xf>
    <xf numFmtId="0" fontId="0" fillId="3" borderId="33" xfId="0" applyFill="1" applyBorder="1" applyAlignment="1">
      <alignment horizontal="center"/>
    </xf>
    <xf numFmtId="0" fontId="0" fillId="0" borderId="0" xfId="0" applyAlignment="1">
      <alignment horizontal="left" wrapText="1" indent="1"/>
    </xf>
    <xf numFmtId="0" fontId="2" fillId="17" borderId="31" xfId="0" applyFont="1" applyFill="1" applyBorder="1" applyAlignment="1">
      <alignment horizontal="center"/>
    </xf>
    <xf numFmtId="0" fontId="2" fillId="17" borderId="32" xfId="0" applyFont="1" applyFill="1" applyBorder="1" applyAlignment="1">
      <alignment horizontal="center"/>
    </xf>
    <xf numFmtId="0" fontId="2" fillId="17" borderId="33" xfId="0" applyFont="1" applyFill="1" applyBorder="1" applyAlignment="1">
      <alignment horizontal="center"/>
    </xf>
    <xf numFmtId="0" fontId="0" fillId="3" borderId="31" xfId="0" applyFill="1" applyBorder="1" applyAlignment="1">
      <alignment horizontal="left" indent="1"/>
    </xf>
    <xf numFmtId="0" fontId="0" fillId="3" borderId="32" xfId="0" applyFill="1" applyBorder="1" applyAlignment="1">
      <alignment horizontal="left" indent="1"/>
    </xf>
    <xf numFmtId="0" fontId="0" fillId="3" borderId="33" xfId="0" applyFill="1" applyBorder="1" applyAlignment="1">
      <alignment horizontal="left" indent="1"/>
    </xf>
    <xf numFmtId="0" fontId="4" fillId="3" borderId="31" xfId="1" applyFill="1" applyBorder="1" applyAlignment="1">
      <alignment horizontal="left" indent="1"/>
    </xf>
    <xf numFmtId="171" fontId="38" fillId="8" borderId="34" xfId="1" applyNumberFormat="1" applyFont="1" applyFill="1" applyBorder="1" applyAlignment="1">
      <alignment horizontal="center" vertical="center" wrapText="1"/>
    </xf>
    <xf numFmtId="171" fontId="38" fillId="8" borderId="40" xfId="1" applyNumberFormat="1" applyFont="1" applyFill="1" applyBorder="1" applyAlignment="1">
      <alignment horizontal="center" vertical="center" wrapText="1"/>
    </xf>
    <xf numFmtId="171" fontId="38" fillId="2" borderId="34" xfId="1" applyNumberFormat="1" applyFont="1" applyFill="1" applyBorder="1" applyAlignment="1">
      <alignment horizontal="center" vertical="center" wrapText="1"/>
    </xf>
    <xf numFmtId="171" fontId="38" fillId="2" borderId="40" xfId="1" applyNumberFormat="1" applyFont="1" applyFill="1" applyBorder="1" applyAlignment="1">
      <alignment horizontal="center" vertical="center" wrapText="1"/>
    </xf>
    <xf numFmtId="0" fontId="40" fillId="0" borderId="27" xfId="0" applyFont="1" applyBorder="1" applyAlignment="1">
      <alignment horizontal="center" vertical="center"/>
    </xf>
    <xf numFmtId="0" fontId="40" fillId="0" borderId="63" xfId="0" applyFont="1" applyBorder="1" applyAlignment="1">
      <alignment horizontal="center" vertical="center"/>
    </xf>
    <xf numFmtId="0" fontId="25" fillId="17" borderId="3" xfId="0" applyFont="1" applyFill="1" applyBorder="1" applyAlignment="1">
      <alignment horizontal="center" vertical="center"/>
    </xf>
    <xf numFmtId="171" fontId="38" fillId="8" borderId="15" xfId="1" applyNumberFormat="1" applyFont="1" applyFill="1" applyBorder="1" applyAlignment="1">
      <alignment horizontal="center" vertical="center" wrapText="1"/>
    </xf>
    <xf numFmtId="171" fontId="38" fillId="2" borderId="15" xfId="1" applyNumberFormat="1" applyFont="1" applyFill="1" applyBorder="1" applyAlignment="1">
      <alignment horizontal="center" vertical="center" wrapText="1"/>
    </xf>
    <xf numFmtId="0" fontId="0" fillId="0" borderId="0" xfId="0"/>
    <xf numFmtId="0" fontId="26" fillId="16" borderId="22" xfId="0" applyFont="1" applyFill="1" applyBorder="1" applyAlignment="1">
      <alignment horizontal="center" vertical="center"/>
    </xf>
    <xf numFmtId="0" fontId="26" fillId="16" borderId="17" xfId="0" applyFont="1" applyFill="1" applyBorder="1" applyAlignment="1">
      <alignment horizontal="center" vertical="center"/>
    </xf>
    <xf numFmtId="0" fontId="26" fillId="16" borderId="20" xfId="0" applyFont="1" applyFill="1" applyBorder="1" applyAlignment="1">
      <alignment horizontal="center" vertical="center"/>
    </xf>
    <xf numFmtId="0" fontId="26" fillId="16" borderId="16" xfId="0" applyFont="1" applyFill="1" applyBorder="1" applyAlignment="1">
      <alignment horizontal="center" vertical="center"/>
    </xf>
    <xf numFmtId="0" fontId="27" fillId="17" borderId="17" xfId="0" applyFont="1" applyFill="1" applyBorder="1" applyAlignment="1">
      <alignment vertical="center"/>
    </xf>
    <xf numFmtId="0" fontId="27" fillId="17" borderId="18" xfId="0" applyFont="1" applyFill="1" applyBorder="1" applyAlignment="1">
      <alignment vertical="center"/>
    </xf>
    <xf numFmtId="0" fontId="11" fillId="16" borderId="19" xfId="0" applyFont="1" applyFill="1" applyBorder="1" applyAlignment="1">
      <alignment horizontal="center"/>
    </xf>
    <xf numFmtId="171" fontId="38" fillId="8" borderId="40" xfId="1" applyNumberFormat="1" applyFont="1" applyFill="1" applyBorder="1" applyAlignment="1">
      <alignment horizontal="center" vertical="center"/>
    </xf>
    <xf numFmtId="171" fontId="38" fillId="2" borderId="40" xfId="1" applyNumberFormat="1" applyFont="1" applyFill="1" applyBorder="1" applyAlignment="1">
      <alignment horizontal="center" vertical="center"/>
    </xf>
    <xf numFmtId="0" fontId="32" fillId="0" borderId="0" xfId="0" applyFont="1" applyAlignment="1">
      <alignment horizontal="center" vertical="center" shrinkToFit="1"/>
    </xf>
    <xf numFmtId="0" fontId="31" fillId="17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37" fillId="17" borderId="45" xfId="0" applyFont="1" applyFill="1" applyBorder="1" applyAlignment="1">
      <alignment horizontal="center" vertical="center"/>
    </xf>
    <xf numFmtId="0" fontId="39" fillId="17" borderId="0" xfId="0" applyFont="1" applyFill="1" applyAlignment="1">
      <alignment horizontal="center" vertical="center"/>
    </xf>
    <xf numFmtId="0" fontId="14" fillId="3" borderId="58" xfId="0" applyFont="1" applyFill="1" applyBorder="1" applyAlignment="1">
      <alignment horizontal="center" vertical="center"/>
    </xf>
    <xf numFmtId="0" fontId="14" fillId="3" borderId="0" xfId="0" applyFont="1" applyFill="1" applyAlignment="1">
      <alignment horizontal="center" vertical="center"/>
    </xf>
    <xf numFmtId="0" fontId="14" fillId="3" borderId="59" xfId="0" applyFont="1" applyFill="1" applyBorder="1" applyAlignment="1">
      <alignment horizontal="center" vertical="center"/>
    </xf>
    <xf numFmtId="0" fontId="14" fillId="3" borderId="29" xfId="0" applyFont="1" applyFill="1" applyBorder="1" applyAlignment="1">
      <alignment horizontal="center" vertical="center"/>
    </xf>
    <xf numFmtId="0" fontId="14" fillId="3" borderId="26" xfId="0" applyFont="1" applyFill="1" applyBorder="1" applyAlignment="1">
      <alignment horizontal="center" vertical="center"/>
    </xf>
    <xf numFmtId="0" fontId="14" fillId="3" borderId="60" xfId="0" applyFont="1" applyFill="1" applyBorder="1" applyAlignment="1">
      <alignment horizontal="center" vertical="center"/>
    </xf>
    <xf numFmtId="0" fontId="14" fillId="3" borderId="56" xfId="0" applyFont="1" applyFill="1" applyBorder="1" applyAlignment="1">
      <alignment horizontal="center" vertical="center"/>
    </xf>
    <xf numFmtId="0" fontId="14" fillId="3" borderId="51" xfId="0" applyFont="1" applyFill="1" applyBorder="1" applyAlignment="1">
      <alignment horizontal="center" vertical="center"/>
    </xf>
    <xf numFmtId="0" fontId="14" fillId="3" borderId="57" xfId="0" applyFont="1" applyFill="1" applyBorder="1" applyAlignment="1">
      <alignment horizontal="center" vertical="center"/>
    </xf>
    <xf numFmtId="0" fontId="31" fillId="17" borderId="44" xfId="0" applyFont="1" applyFill="1" applyBorder="1" applyAlignment="1">
      <alignment horizontal="center" vertical="center"/>
    </xf>
    <xf numFmtId="0" fontId="2" fillId="17" borderId="27" xfId="0" applyFont="1" applyFill="1" applyBorder="1" applyAlignment="1">
      <alignment horizontal="center" vertical="center"/>
    </xf>
    <xf numFmtId="0" fontId="2" fillId="17" borderId="30" xfId="0" applyFont="1" applyFill="1" applyBorder="1" applyAlignment="1">
      <alignment horizontal="center" vertical="center"/>
    </xf>
    <xf numFmtId="0" fontId="2" fillId="17" borderId="28" xfId="0" applyFont="1" applyFill="1" applyBorder="1" applyAlignment="1">
      <alignment horizontal="center" vertical="center"/>
    </xf>
    <xf numFmtId="0" fontId="13" fillId="0" borderId="30" xfId="0" applyFont="1" applyBorder="1" applyAlignment="1">
      <alignment horizontal="center" vertical="center" wrapText="1"/>
    </xf>
    <xf numFmtId="0" fontId="14" fillId="3" borderId="15" xfId="0" applyFont="1" applyFill="1" applyBorder="1" applyAlignment="1">
      <alignment horizontal="center"/>
    </xf>
    <xf numFmtId="0" fontId="13" fillId="0" borderId="27" xfId="0" applyFont="1" applyBorder="1" applyAlignment="1">
      <alignment horizontal="center" vertical="center" wrapText="1"/>
    </xf>
    <xf numFmtId="0" fontId="13" fillId="0" borderId="28" xfId="0" applyFont="1" applyBorder="1" applyAlignment="1">
      <alignment horizontal="center" vertical="center" wrapText="1"/>
    </xf>
    <xf numFmtId="0" fontId="13" fillId="0" borderId="51" xfId="0" applyFont="1" applyBorder="1" applyAlignment="1">
      <alignment horizontal="center" vertical="center" wrapText="1"/>
    </xf>
    <xf numFmtId="0" fontId="13" fillId="0" borderId="26" xfId="0" applyFont="1" applyBorder="1" applyAlignment="1">
      <alignment horizontal="center" vertical="center" wrapText="1"/>
    </xf>
    <xf numFmtId="0" fontId="13" fillId="0" borderId="56" xfId="0" applyFont="1" applyBorder="1" applyAlignment="1">
      <alignment horizontal="center" vertical="center" wrapText="1"/>
    </xf>
    <xf numFmtId="0" fontId="13" fillId="0" borderId="29" xfId="0" applyFont="1" applyBorder="1" applyAlignment="1">
      <alignment horizontal="center" vertical="center" wrapText="1"/>
    </xf>
    <xf numFmtId="0" fontId="2" fillId="17" borderId="56" xfId="0" applyFont="1" applyFill="1" applyBorder="1" applyAlignment="1">
      <alignment horizontal="center" vertical="center"/>
    </xf>
    <xf numFmtId="0" fontId="2" fillId="17" borderId="51" xfId="0" applyFont="1" applyFill="1" applyBorder="1" applyAlignment="1">
      <alignment horizontal="center" vertical="center"/>
    </xf>
    <xf numFmtId="0" fontId="2" fillId="17" borderId="57" xfId="0" applyFont="1" applyFill="1" applyBorder="1" applyAlignment="1">
      <alignment horizontal="center" vertical="center"/>
    </xf>
  </cellXfs>
  <cellStyles count="7">
    <cellStyle name="Hipervínculo" xfId="1" builtinId="8"/>
    <cellStyle name="Millares" xfId="3" builtinId="3"/>
    <cellStyle name="Millares 2" xfId="2" xr:uid="{DC8D7EBB-28A5-454A-8833-B8810F1D16F6}"/>
    <cellStyle name="Millares 2 2" xfId="4" xr:uid="{DC436FB2-C5A8-4C42-A2C1-139FD9D12C6C}"/>
    <cellStyle name="Millares 3" xfId="5" xr:uid="{08AECB48-24DD-4ACB-87D4-B5DC4B34ADB4}"/>
    <cellStyle name="Moneda" xfId="6" builtinId="4"/>
    <cellStyle name="Normal" xfId="0" builtinId="0"/>
  </cellStyles>
  <dxfs count="285">
    <dxf>
      <border>
        <bottom style="thin">
          <color auto="1"/>
        </bottom>
        <vertical/>
        <horizontal/>
      </border>
    </dxf>
    <dxf>
      <border>
        <left style="thin">
          <color theme="2" tint="-9.9948118533890809E-2"/>
        </left>
        <vertical/>
        <horizontal/>
      </border>
    </dxf>
    <dxf>
      <font>
        <color rgb="FF0065B3"/>
      </font>
      <fill>
        <patternFill patternType="none"/>
      </fill>
    </dxf>
    <dxf>
      <fill>
        <patternFill patternType="none"/>
      </fill>
    </dxf>
    <dxf>
      <font>
        <color rgb="FFB91114"/>
      </font>
      <fill>
        <patternFill patternType="none"/>
      </fill>
    </dxf>
    <dxf>
      <font>
        <color rgb="FF0065B3"/>
      </font>
      <fill>
        <patternFill patternType="none"/>
      </fill>
    </dxf>
    <dxf>
      <fill>
        <patternFill patternType="none"/>
      </fill>
    </dxf>
    <dxf>
      <font>
        <color rgb="FFB91114"/>
      </font>
      <fill>
        <patternFill patternType="none"/>
      </fill>
    </dxf>
    <dxf>
      <font>
        <color rgb="FF0065B3"/>
      </font>
      <fill>
        <patternFill patternType="none"/>
      </fill>
    </dxf>
    <dxf>
      <fill>
        <patternFill patternType="none"/>
      </fill>
    </dxf>
    <dxf>
      <font>
        <color rgb="FFB91114"/>
      </font>
      <fill>
        <patternFill patternType="none"/>
      </fill>
    </dxf>
    <dxf>
      <font>
        <color rgb="FF0065B3"/>
      </font>
      <fill>
        <patternFill patternType="none"/>
      </fill>
    </dxf>
    <dxf>
      <fill>
        <patternFill patternType="none"/>
      </fill>
    </dxf>
    <dxf>
      <font>
        <color rgb="FFB91114"/>
      </font>
      <fill>
        <patternFill patternType="none"/>
      </fill>
    </dxf>
    <dxf>
      <font>
        <color rgb="FF0065B3"/>
      </font>
      <fill>
        <patternFill patternType="none"/>
      </fill>
    </dxf>
    <dxf>
      <fill>
        <patternFill patternType="none"/>
      </fill>
    </dxf>
    <dxf>
      <font>
        <color rgb="FFB91114"/>
      </font>
      <fill>
        <patternFill patternType="none"/>
      </fill>
    </dxf>
    <dxf>
      <font>
        <color rgb="FF0065B3"/>
      </font>
      <fill>
        <patternFill patternType="none"/>
      </fill>
    </dxf>
    <dxf>
      <fill>
        <patternFill patternType="none"/>
      </fill>
    </dxf>
    <dxf>
      <font>
        <color rgb="FFB91114"/>
      </font>
      <fill>
        <patternFill patternType="none"/>
      </fill>
    </dxf>
    <dxf>
      <font>
        <color rgb="FF0065B3"/>
      </font>
      <fill>
        <patternFill patternType="none"/>
      </fill>
    </dxf>
    <dxf>
      <fill>
        <patternFill patternType="none"/>
      </fill>
    </dxf>
    <dxf>
      <font>
        <color rgb="FFB91114"/>
      </font>
      <fill>
        <patternFill patternType="none"/>
      </fill>
    </dxf>
    <dxf>
      <fill>
        <patternFill>
          <bgColor rgb="FF00B050"/>
        </patternFill>
      </fill>
    </dxf>
    <dxf>
      <font>
        <b/>
        <i val="0"/>
        <color auto="1"/>
      </font>
      <fill>
        <patternFill>
          <bgColor rgb="FFCCFFCC"/>
        </patternFill>
      </fill>
    </dxf>
    <dxf>
      <font>
        <color rgb="FF0065B3"/>
      </font>
      <fill>
        <patternFill patternType="none"/>
      </fill>
    </dxf>
    <dxf>
      <fill>
        <patternFill patternType="none"/>
      </fill>
    </dxf>
    <dxf>
      <font>
        <color rgb="FFB91114"/>
      </font>
      <fill>
        <patternFill patternType="none"/>
      </fill>
    </dxf>
    <dxf>
      <border>
        <bottom style="thin">
          <color auto="1"/>
        </bottom>
        <vertical/>
        <horizontal/>
      </border>
    </dxf>
    <dxf>
      <border>
        <left style="thin">
          <color theme="2" tint="-9.9948118533890809E-2"/>
        </left>
        <vertical/>
        <horizontal/>
      </border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CCFFCC"/>
        </patternFill>
      </fill>
    </dxf>
    <dxf>
      <border>
        <bottom style="thin">
          <color auto="1"/>
        </bottom>
        <vertical/>
        <horizontal/>
      </border>
    </dxf>
    <dxf>
      <border>
        <left style="thin">
          <color theme="2" tint="-9.9948118533890809E-2"/>
        </left>
        <vertical/>
        <horizontal/>
      </border>
    </dxf>
    <dxf>
      <font>
        <i/>
        <color rgb="FFB91114"/>
      </font>
      <fill>
        <patternFill patternType="none"/>
      </fill>
    </dxf>
    <dxf>
      <fill>
        <patternFill>
          <bgColor theme="0"/>
        </patternFill>
      </fill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font>
        <color rgb="FF0065B3"/>
      </font>
      <fill>
        <patternFill patternType="none"/>
      </fill>
    </dxf>
    <dxf>
      <fill>
        <patternFill patternType="none"/>
      </fill>
    </dxf>
    <dxf>
      <font>
        <color rgb="FFB91114"/>
      </font>
      <fill>
        <patternFill patternType="none"/>
      </fill>
    </dxf>
    <dxf>
      <font>
        <color rgb="FFEAEAEA"/>
      </font>
    </dxf>
    <dxf>
      <fill>
        <patternFill>
          <bgColor theme="0"/>
        </patternFill>
      </fill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font>
        <color rgb="FF0065B3"/>
      </font>
      <fill>
        <patternFill patternType="none"/>
      </fill>
    </dxf>
    <dxf>
      <fill>
        <patternFill patternType="none"/>
      </fill>
    </dxf>
    <dxf>
      <font>
        <color rgb="FFB91114"/>
      </font>
      <fill>
        <patternFill patternType="none"/>
      </fill>
    </dxf>
    <dxf>
      <font>
        <color rgb="FFEAEAEA"/>
      </font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border>
        <bottom style="thin">
          <color auto="1"/>
        </bottom>
        <vertical/>
        <horizontal/>
      </border>
    </dxf>
    <dxf>
      <border>
        <left style="thin">
          <color theme="2" tint="-9.9948118533890809E-2"/>
        </left>
        <vertical/>
        <horizontal/>
      </border>
    </dxf>
    <dxf>
      <font>
        <i/>
        <color rgb="FFB91114"/>
      </font>
      <fill>
        <patternFill patternType="none"/>
      </fill>
    </dxf>
    <dxf>
      <font>
        <i/>
        <color rgb="FFB91114"/>
      </font>
      <fill>
        <patternFill patternType="none"/>
      </fill>
    </dxf>
    <dxf>
      <fill>
        <patternFill>
          <bgColor theme="0"/>
        </patternFill>
      </fill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font>
        <color rgb="FF0065B3"/>
      </font>
      <fill>
        <patternFill patternType="none"/>
      </fill>
    </dxf>
    <dxf>
      <fill>
        <patternFill patternType="none"/>
      </fill>
    </dxf>
    <dxf>
      <font>
        <color rgb="FFB91114"/>
      </font>
      <fill>
        <patternFill patternType="none"/>
      </fill>
    </dxf>
    <dxf>
      <fill>
        <patternFill>
          <bgColor theme="0"/>
        </patternFill>
      </fill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font>
        <color rgb="FF0065B3"/>
      </font>
      <fill>
        <patternFill patternType="none"/>
      </fill>
    </dxf>
    <dxf>
      <fill>
        <patternFill patternType="none"/>
      </fill>
    </dxf>
    <dxf>
      <font>
        <color rgb="FFB91114"/>
      </font>
      <fill>
        <patternFill patternType="none"/>
      </fill>
    </dxf>
    <dxf>
      <font>
        <color rgb="FFEAEAEA"/>
      </font>
    </dxf>
    <dxf>
      <font>
        <color rgb="FFEAEAEA"/>
      </font>
    </dxf>
    <dxf>
      <fill>
        <patternFill>
          <bgColor theme="0"/>
        </patternFill>
      </fill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font>
        <color rgb="FF0065B3"/>
      </font>
      <fill>
        <patternFill patternType="none"/>
      </fill>
    </dxf>
    <dxf>
      <fill>
        <patternFill patternType="none"/>
      </fill>
    </dxf>
    <dxf>
      <font>
        <color rgb="FFB91114"/>
      </font>
      <fill>
        <patternFill patternType="none"/>
      </fill>
    </dxf>
    <dxf>
      <fill>
        <patternFill>
          <bgColor theme="0"/>
        </patternFill>
      </fill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font>
        <color rgb="FF0065B3"/>
      </font>
      <fill>
        <patternFill patternType="none"/>
      </fill>
    </dxf>
    <dxf>
      <fill>
        <patternFill patternType="none"/>
      </fill>
    </dxf>
    <dxf>
      <font>
        <color rgb="FFB91114"/>
      </font>
      <fill>
        <patternFill patternType="none"/>
      </fill>
    </dxf>
    <dxf>
      <font>
        <color rgb="FFEAEAEA"/>
      </font>
    </dxf>
    <dxf>
      <font>
        <color rgb="FFEAEAEA"/>
      </font>
    </dxf>
    <dxf>
      <border>
        <bottom style="thin">
          <color auto="1"/>
        </bottom>
        <vertical/>
        <horizontal/>
      </border>
    </dxf>
    <dxf>
      <border>
        <left style="thin">
          <color theme="2" tint="-9.9948118533890809E-2"/>
        </left>
        <vertical/>
        <horizontal/>
      </border>
    </dxf>
    <dxf>
      <font>
        <i/>
        <color rgb="FFB91114"/>
      </font>
      <fill>
        <patternFill patternType="none"/>
      </fill>
    </dxf>
    <dxf>
      <font>
        <i/>
        <color rgb="FFB91114"/>
      </font>
      <fill>
        <patternFill patternType="none"/>
      </fill>
    </dxf>
    <dxf>
      <font>
        <i/>
        <color rgb="FFB91114"/>
      </font>
      <fill>
        <patternFill patternType="none"/>
      </fill>
    </dxf>
    <dxf>
      <font>
        <i/>
        <color rgb="FFB91114"/>
      </font>
      <fill>
        <patternFill patternType="none"/>
      </fill>
    </dxf>
    <dxf>
      <fill>
        <patternFill>
          <bgColor theme="0"/>
        </patternFill>
      </fill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fill>
        <patternFill patternType="none"/>
      </fill>
    </dxf>
    <dxf>
      <font>
        <color rgb="FF0065B3"/>
      </font>
      <fill>
        <patternFill patternType="none"/>
      </fill>
    </dxf>
    <dxf>
      <font>
        <color rgb="FFB91114"/>
      </font>
      <fill>
        <patternFill patternType="none"/>
      </fill>
    </dxf>
    <dxf>
      <fill>
        <patternFill>
          <bgColor theme="0"/>
        </patternFill>
      </fill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font>
        <color rgb="FFB91114"/>
      </font>
      <fill>
        <patternFill patternType="none"/>
      </fill>
    </dxf>
    <dxf>
      <font>
        <color rgb="FF0065B3"/>
      </font>
      <fill>
        <patternFill patternType="none"/>
      </fill>
    </dxf>
    <dxf>
      <fill>
        <patternFill patternType="none"/>
      </fill>
    </dxf>
    <dxf>
      <fill>
        <patternFill>
          <bgColor theme="0"/>
        </patternFill>
      </fill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font>
        <color rgb="FFB91114"/>
      </font>
      <fill>
        <patternFill patternType="none"/>
      </fill>
    </dxf>
    <dxf>
      <fill>
        <patternFill patternType="none"/>
      </fill>
    </dxf>
    <dxf>
      <font>
        <color rgb="FF0065B3"/>
      </font>
      <fill>
        <patternFill patternType="none"/>
      </fill>
    </dxf>
    <dxf>
      <fill>
        <patternFill>
          <bgColor theme="0"/>
        </patternFill>
      </fill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font>
        <color rgb="FF0065B3"/>
      </font>
      <fill>
        <patternFill patternType="none"/>
      </fill>
    </dxf>
    <dxf>
      <font>
        <color rgb="FFB91114"/>
      </font>
      <fill>
        <patternFill patternType="none"/>
      </fill>
    </dxf>
    <dxf>
      <fill>
        <patternFill patternType="none"/>
      </fill>
    </dxf>
    <dxf>
      <font>
        <color rgb="FFEAEAEA"/>
      </font>
    </dxf>
    <dxf>
      <font>
        <color rgb="FFEAEAEA"/>
      </font>
    </dxf>
    <dxf>
      <font>
        <color rgb="FFEAEAEA"/>
      </font>
    </dxf>
    <dxf>
      <font>
        <color rgb="FFEAEAEA"/>
      </font>
    </dxf>
    <dxf>
      <fill>
        <patternFill>
          <bgColor theme="0"/>
        </patternFill>
      </fill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font>
        <color rgb="FF0065B3"/>
      </font>
      <fill>
        <patternFill patternType="none"/>
      </fill>
    </dxf>
    <dxf>
      <fill>
        <patternFill patternType="none"/>
      </fill>
    </dxf>
    <dxf>
      <font>
        <color rgb="FFB91114"/>
      </font>
      <fill>
        <patternFill patternType="none"/>
      </fill>
    </dxf>
    <dxf>
      <fill>
        <patternFill>
          <bgColor theme="0"/>
        </patternFill>
      </fill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font>
        <color rgb="FFB91114"/>
      </font>
      <fill>
        <patternFill patternType="none"/>
      </fill>
    </dxf>
    <dxf>
      <fill>
        <patternFill patternType="none"/>
      </fill>
    </dxf>
    <dxf>
      <font>
        <color rgb="FF0065B3"/>
      </font>
      <fill>
        <patternFill patternType="none"/>
      </fill>
    </dxf>
    <dxf>
      <fill>
        <patternFill>
          <bgColor theme="0"/>
        </patternFill>
      </fill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font>
        <color rgb="FFB91114"/>
      </font>
      <fill>
        <patternFill patternType="none"/>
      </fill>
    </dxf>
    <dxf>
      <fill>
        <patternFill patternType="none"/>
      </fill>
    </dxf>
    <dxf>
      <font>
        <color rgb="FF0065B3"/>
      </font>
      <fill>
        <patternFill patternType="none"/>
      </fill>
    </dxf>
    <dxf>
      <fill>
        <patternFill>
          <bgColor theme="0"/>
        </patternFill>
      </fill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font>
        <color rgb="FFB91114"/>
      </font>
      <fill>
        <patternFill patternType="none"/>
      </fill>
    </dxf>
    <dxf>
      <fill>
        <patternFill patternType="none"/>
      </fill>
    </dxf>
    <dxf>
      <font>
        <color rgb="FF0065B3"/>
      </font>
      <fill>
        <patternFill patternType="none"/>
      </fill>
    </dxf>
    <dxf>
      <font>
        <color rgb="FFEAEAEA"/>
      </font>
    </dxf>
    <dxf>
      <font>
        <color rgb="FFEAEAEA"/>
      </font>
    </dxf>
    <dxf>
      <font>
        <color rgb="FFEAEAEA"/>
      </font>
    </dxf>
    <dxf>
      <font>
        <color rgb="FFEAEAEA"/>
      </font>
    </dxf>
    <dxf>
      <border>
        <bottom style="thin">
          <color auto="1"/>
        </bottom>
        <vertical/>
        <horizontal/>
      </border>
    </dxf>
    <dxf>
      <border>
        <left style="thin">
          <color theme="2" tint="-9.9948118533890809E-2"/>
        </left>
        <vertical/>
        <horizontal/>
      </border>
    </dxf>
    <dxf>
      <border>
        <left style="thin">
          <color theme="2" tint="-9.9948118533890809E-2"/>
        </left>
        <vertical/>
        <horizontal/>
      </border>
    </dxf>
    <dxf>
      <border>
        <bottom style="thin">
          <color auto="1"/>
        </bottom>
        <vertical/>
        <horizontal/>
      </border>
    </dxf>
    <dxf>
      <font>
        <i/>
        <color rgb="FFB91114"/>
      </font>
      <fill>
        <patternFill patternType="none"/>
      </fill>
    </dxf>
    <dxf>
      <font>
        <i/>
        <color rgb="FFB91114"/>
      </font>
      <fill>
        <patternFill patternType="none"/>
      </fill>
    </dxf>
    <dxf>
      <font>
        <i/>
        <color rgb="FFB91114"/>
      </font>
      <fill>
        <patternFill patternType="none"/>
      </fill>
    </dxf>
    <dxf>
      <font>
        <i/>
        <color rgb="FFB91114"/>
      </font>
      <fill>
        <patternFill patternType="none"/>
      </fill>
    </dxf>
    <dxf>
      <font>
        <i/>
        <color rgb="FFB91114"/>
      </font>
      <fill>
        <patternFill patternType="none"/>
      </fill>
    </dxf>
    <dxf>
      <font>
        <i/>
        <color rgb="FFB91114"/>
      </font>
      <fill>
        <patternFill patternType="none"/>
      </fill>
    </dxf>
    <dxf>
      <font>
        <i/>
        <color rgb="FFB91114"/>
      </font>
      <fill>
        <patternFill patternType="none"/>
      </fill>
    </dxf>
    <dxf>
      <font>
        <i/>
        <color rgb="FFB91114"/>
      </font>
      <fill>
        <patternFill patternType="none"/>
      </fill>
    </dxf>
    <dxf>
      <fill>
        <patternFill>
          <bgColor theme="0"/>
        </patternFill>
      </fill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font>
        <color rgb="FFB91114"/>
      </font>
      <fill>
        <patternFill patternType="none"/>
      </fill>
    </dxf>
    <dxf>
      <fill>
        <patternFill patternType="none"/>
      </fill>
    </dxf>
    <dxf>
      <font>
        <color rgb="FF0065B3"/>
      </font>
      <fill>
        <patternFill patternType="none"/>
      </fill>
    </dxf>
    <dxf>
      <fill>
        <patternFill>
          <bgColor theme="0"/>
        </patternFill>
      </fill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font>
        <color rgb="FFB91114"/>
      </font>
      <fill>
        <patternFill patternType="none"/>
      </fill>
    </dxf>
    <dxf>
      <fill>
        <patternFill patternType="none"/>
      </fill>
    </dxf>
    <dxf>
      <font>
        <color rgb="FF0065B3"/>
      </font>
      <fill>
        <patternFill patternType="none"/>
      </fill>
    </dxf>
    <dxf>
      <fill>
        <patternFill>
          <bgColor theme="0"/>
        </patternFill>
      </fill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font>
        <color rgb="FF0065B3"/>
      </font>
      <fill>
        <patternFill patternType="none"/>
      </fill>
    </dxf>
    <dxf>
      <fill>
        <patternFill patternType="none"/>
      </fill>
    </dxf>
    <dxf>
      <font>
        <color rgb="FFB91114"/>
      </font>
      <fill>
        <patternFill patternType="none"/>
      </fill>
    </dxf>
    <dxf>
      <fill>
        <patternFill>
          <bgColor theme="0"/>
        </patternFill>
      </fill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font>
        <color rgb="FFB91114"/>
      </font>
      <fill>
        <patternFill patternType="none"/>
      </fill>
    </dxf>
    <dxf>
      <fill>
        <patternFill patternType="none"/>
      </fill>
    </dxf>
    <dxf>
      <font>
        <color rgb="FF0065B3"/>
      </font>
      <fill>
        <patternFill patternType="none"/>
      </fill>
    </dxf>
    <dxf>
      <fill>
        <patternFill>
          <bgColor theme="0"/>
        </patternFill>
      </fill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font>
        <color rgb="FFB91114"/>
      </font>
      <fill>
        <patternFill patternType="none"/>
      </fill>
    </dxf>
    <dxf>
      <fill>
        <patternFill patternType="none"/>
      </fill>
    </dxf>
    <dxf>
      <font>
        <color rgb="FF0065B3"/>
      </font>
      <fill>
        <patternFill patternType="none"/>
      </fill>
    </dxf>
    <dxf>
      <fill>
        <patternFill>
          <bgColor theme="0"/>
        </patternFill>
      </fill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fill>
        <patternFill patternType="none"/>
      </fill>
    </dxf>
    <dxf>
      <font>
        <color rgb="FFB91114"/>
      </font>
      <fill>
        <patternFill patternType="none"/>
      </fill>
    </dxf>
    <dxf>
      <font>
        <color rgb="FF0065B3"/>
      </font>
      <fill>
        <patternFill patternType="none"/>
      </fill>
    </dxf>
    <dxf>
      <fill>
        <patternFill>
          <bgColor theme="0"/>
        </patternFill>
      </fill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font>
        <color rgb="FFB91114"/>
      </font>
      <fill>
        <patternFill patternType="none"/>
      </fill>
    </dxf>
    <dxf>
      <font>
        <color rgb="FF0065B3"/>
      </font>
      <fill>
        <patternFill patternType="none"/>
      </fill>
    </dxf>
    <dxf>
      <fill>
        <patternFill patternType="none"/>
      </fill>
    </dxf>
    <dxf>
      <fill>
        <patternFill>
          <bgColor theme="0"/>
        </patternFill>
      </fill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font>
        <color rgb="FFB91114"/>
      </font>
      <fill>
        <patternFill patternType="none"/>
      </fill>
    </dxf>
    <dxf>
      <fill>
        <patternFill patternType="none"/>
      </fill>
    </dxf>
    <dxf>
      <font>
        <color rgb="FF0065B3"/>
      </font>
      <fill>
        <patternFill patternType="none"/>
      </fill>
    </dxf>
    <dxf>
      <font>
        <color rgb="FFEAEAEA"/>
      </font>
    </dxf>
    <dxf>
      <font>
        <color rgb="FFEAEAEA"/>
      </font>
    </dxf>
    <dxf>
      <font>
        <color rgb="FFEAEAEA"/>
      </font>
    </dxf>
    <dxf>
      <font>
        <color rgb="FFEAEAEA"/>
      </font>
    </dxf>
    <dxf>
      <font>
        <color rgb="FFEAEAEA"/>
      </font>
    </dxf>
    <dxf>
      <font>
        <color rgb="FFEAEAEA"/>
      </font>
    </dxf>
    <dxf>
      <font>
        <color rgb="FFEAEAEA"/>
      </font>
    </dxf>
    <dxf>
      <font>
        <color rgb="FFEAEAEA"/>
      </font>
    </dxf>
    <dxf>
      <fill>
        <patternFill>
          <bgColor theme="0"/>
        </patternFill>
      </fill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fill>
        <patternFill patternType="none"/>
      </fill>
    </dxf>
    <dxf>
      <font>
        <color rgb="FFB91114"/>
      </font>
      <fill>
        <patternFill patternType="none"/>
      </fill>
    </dxf>
    <dxf>
      <font>
        <color rgb="FF0065B3"/>
      </font>
      <fill>
        <patternFill patternType="none"/>
      </fill>
    </dxf>
    <dxf>
      <fill>
        <patternFill>
          <bgColor theme="0"/>
        </patternFill>
      </fill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fill>
        <patternFill patternType="none"/>
      </fill>
    </dxf>
    <dxf>
      <font>
        <color rgb="FF0065B3"/>
      </font>
      <fill>
        <patternFill patternType="none"/>
      </fill>
    </dxf>
    <dxf>
      <font>
        <color rgb="FFB91114"/>
      </font>
      <fill>
        <patternFill patternType="none"/>
      </fill>
    </dxf>
    <dxf>
      <fill>
        <patternFill>
          <bgColor theme="0"/>
        </patternFill>
      </fill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font>
        <color rgb="FFB91114"/>
      </font>
      <fill>
        <patternFill patternType="none"/>
      </fill>
    </dxf>
    <dxf>
      <font>
        <color rgb="FF0065B3"/>
      </font>
      <fill>
        <patternFill patternType="none"/>
      </fill>
    </dxf>
    <dxf>
      <fill>
        <patternFill patternType="none"/>
      </fill>
    </dxf>
    <dxf>
      <fill>
        <patternFill>
          <bgColor theme="0"/>
        </patternFill>
      </fill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font>
        <color rgb="FFB91114"/>
      </font>
      <fill>
        <patternFill patternType="none"/>
      </fill>
    </dxf>
    <dxf>
      <fill>
        <patternFill patternType="none"/>
      </fill>
    </dxf>
    <dxf>
      <font>
        <color rgb="FF0065B3"/>
      </font>
      <fill>
        <patternFill patternType="none"/>
      </fill>
    </dxf>
    <dxf>
      <fill>
        <patternFill>
          <bgColor theme="0"/>
        </patternFill>
      </fill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fill>
        <patternFill patternType="none"/>
      </fill>
    </dxf>
    <dxf>
      <font>
        <color rgb="FF0065B3"/>
      </font>
      <fill>
        <patternFill patternType="none"/>
      </fill>
    </dxf>
    <dxf>
      <font>
        <color rgb="FFB91114"/>
      </font>
      <fill>
        <patternFill patternType="none"/>
      </fill>
    </dxf>
    <dxf>
      <fill>
        <patternFill>
          <bgColor theme="0"/>
        </patternFill>
      </fill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font>
        <color rgb="FFB91114"/>
      </font>
      <fill>
        <patternFill patternType="none"/>
      </fill>
    </dxf>
    <dxf>
      <fill>
        <patternFill patternType="none"/>
      </fill>
    </dxf>
    <dxf>
      <font>
        <color rgb="FF0065B3"/>
      </font>
      <fill>
        <patternFill patternType="none"/>
      </fill>
    </dxf>
    <dxf>
      <fill>
        <patternFill>
          <bgColor theme="0"/>
        </patternFill>
      </fill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font>
        <color rgb="FFB91114"/>
      </font>
      <fill>
        <patternFill patternType="none"/>
      </fill>
    </dxf>
    <dxf>
      <fill>
        <patternFill patternType="none"/>
      </fill>
    </dxf>
    <dxf>
      <font>
        <color rgb="FF0065B3"/>
      </font>
      <fill>
        <patternFill patternType="none"/>
      </fill>
    </dxf>
    <dxf>
      <fill>
        <patternFill>
          <bgColor theme="0"/>
        </patternFill>
      </fill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font>
        <color rgb="FFB91114"/>
      </font>
      <fill>
        <patternFill patternType="none"/>
      </fill>
    </dxf>
    <dxf>
      <fill>
        <patternFill patternType="none"/>
      </fill>
    </dxf>
    <dxf>
      <font>
        <color rgb="FF0065B3"/>
      </font>
      <fill>
        <patternFill patternType="none"/>
      </fill>
    </dxf>
    <dxf>
      <font>
        <color rgb="FFEAEAEA"/>
      </font>
    </dxf>
    <dxf>
      <font>
        <color rgb="FFEAEAEA"/>
      </font>
    </dxf>
    <dxf>
      <font>
        <color rgb="FFEAEAEA"/>
      </font>
    </dxf>
    <dxf>
      <font>
        <color rgb="FFEAEAEA"/>
      </font>
    </dxf>
    <dxf>
      <font>
        <color rgb="FFEAEAEA"/>
      </font>
    </dxf>
    <dxf>
      <font>
        <color rgb="FFEAEAEA"/>
      </font>
    </dxf>
    <dxf>
      <font>
        <color rgb="FFEAEAEA"/>
      </font>
    </dxf>
    <dxf>
      <font>
        <color rgb="FFEAEAEA"/>
      </font>
    </dxf>
    <dxf>
      <border>
        <bottom style="thin">
          <color auto="1"/>
        </bottom>
        <vertical/>
        <horizontal/>
      </border>
    </dxf>
    <dxf>
      <border>
        <left style="thin">
          <color theme="2" tint="-9.9948118533890809E-2"/>
        </left>
        <vertical/>
        <horizontal/>
      </border>
    </dxf>
    <dxf>
      <font>
        <color rgb="FF0065B3"/>
      </font>
      <fill>
        <patternFill patternType="none"/>
      </fill>
    </dxf>
    <dxf>
      <fill>
        <patternFill patternType="none"/>
      </fill>
    </dxf>
    <dxf>
      <font>
        <color rgb="FFB91114"/>
      </font>
      <fill>
        <patternFill patternType="none"/>
      </fill>
    </dxf>
    <dxf>
      <font>
        <color rgb="FF0065B3"/>
      </font>
      <fill>
        <patternFill patternType="none"/>
      </fill>
    </dxf>
    <dxf>
      <fill>
        <patternFill patternType="none"/>
      </fill>
    </dxf>
    <dxf>
      <font>
        <color rgb="FFB91114"/>
      </font>
      <fill>
        <patternFill patternType="none"/>
      </fill>
    </dxf>
    <dxf>
      <border>
        <bottom style="thin">
          <color auto="1"/>
        </bottom>
        <vertical/>
        <horizontal/>
      </border>
    </dxf>
    <dxf>
      <border>
        <left style="thin">
          <color theme="2" tint="-9.9948118533890809E-2"/>
        </left>
        <vertical/>
        <horizontal/>
      </border>
    </dxf>
    <dxf>
      <font>
        <color rgb="FF0065B3"/>
      </font>
      <fill>
        <patternFill patternType="none"/>
      </fill>
    </dxf>
    <dxf>
      <fill>
        <patternFill patternType="none"/>
      </fill>
    </dxf>
    <dxf>
      <font>
        <color rgb="FFB91114"/>
      </font>
      <fill>
        <patternFill patternType="none"/>
      </fill>
    </dxf>
    <dxf>
      <font>
        <color rgb="FF0065B3"/>
      </font>
      <fill>
        <patternFill patternType="none"/>
      </fill>
    </dxf>
    <dxf>
      <fill>
        <patternFill patternType="none"/>
      </fill>
    </dxf>
    <dxf>
      <font>
        <color rgb="FFB91114"/>
      </font>
      <fill>
        <patternFill patternType="none"/>
      </fill>
    </dxf>
    <dxf>
      <border>
        <bottom style="thin">
          <color auto="1"/>
        </bottom>
        <vertical/>
        <horizontal/>
      </border>
    </dxf>
    <dxf>
      <border>
        <left style="thin">
          <color theme="2" tint="-9.9948118533890809E-2"/>
        </left>
        <vertical/>
        <horizontal/>
      </border>
    </dxf>
    <dxf>
      <font>
        <color rgb="FF0065B3"/>
      </font>
      <fill>
        <patternFill patternType="none"/>
      </fill>
    </dxf>
    <dxf>
      <fill>
        <patternFill patternType="none"/>
      </fill>
    </dxf>
    <dxf>
      <font>
        <color rgb="FFB91114"/>
      </font>
      <fill>
        <patternFill patternType="none"/>
      </fill>
    </dxf>
    <dxf>
      <font>
        <color rgb="FF0065B3"/>
      </font>
      <fill>
        <patternFill patternType="none"/>
      </fill>
    </dxf>
    <dxf>
      <fill>
        <patternFill patternType="none"/>
      </fill>
    </dxf>
    <dxf>
      <font>
        <color rgb="FFB91114"/>
      </font>
      <fill>
        <patternFill patternType="none"/>
      </fill>
    </dxf>
    <dxf>
      <border>
        <bottom style="thin">
          <color auto="1"/>
        </bottom>
        <vertical/>
        <horizontal/>
      </border>
    </dxf>
    <dxf>
      <border>
        <left style="thin">
          <color theme="2" tint="-9.9948118533890809E-2"/>
        </left>
        <vertical/>
        <horizontal/>
      </border>
    </dxf>
    <dxf>
      <font>
        <color rgb="FF0065B3"/>
      </font>
      <fill>
        <patternFill patternType="none"/>
      </fill>
    </dxf>
    <dxf>
      <fill>
        <patternFill patternType="none"/>
      </fill>
    </dxf>
    <dxf>
      <font>
        <color rgb="FFB91114"/>
      </font>
      <fill>
        <patternFill patternType="none"/>
      </fill>
    </dxf>
    <dxf>
      <font>
        <color rgb="FF0065B3"/>
      </font>
      <fill>
        <patternFill patternType="none"/>
      </fill>
    </dxf>
    <dxf>
      <fill>
        <patternFill patternType="none"/>
      </fill>
    </dxf>
    <dxf>
      <font>
        <color rgb="FFB91114"/>
      </font>
      <fill>
        <patternFill patternType="none"/>
      </fill>
    </dxf>
    <dxf>
      <border>
        <bottom style="thin">
          <color auto="1"/>
        </bottom>
        <vertical/>
        <horizontal/>
      </border>
    </dxf>
    <dxf>
      <border>
        <left style="thin">
          <color theme="2" tint="-9.9948118533890809E-2"/>
        </left>
        <vertical/>
        <horizontal/>
      </border>
    </dxf>
    <dxf>
      <font>
        <color rgb="FF0065B3"/>
      </font>
      <fill>
        <patternFill patternType="none"/>
      </fill>
    </dxf>
    <dxf>
      <fill>
        <patternFill patternType="none"/>
      </fill>
    </dxf>
    <dxf>
      <font>
        <color rgb="FFB91114"/>
      </font>
      <fill>
        <patternFill patternType="none"/>
      </fill>
    </dxf>
    <dxf>
      <font>
        <color rgb="FF0065B3"/>
      </font>
      <fill>
        <patternFill patternType="none"/>
      </fill>
    </dxf>
    <dxf>
      <fill>
        <patternFill patternType="none"/>
      </fill>
    </dxf>
    <dxf>
      <font>
        <color rgb="FFB91114"/>
      </font>
      <fill>
        <patternFill patternType="none"/>
      </fill>
    </dxf>
    <dxf>
      <border>
        <bottom style="thin">
          <color auto="1"/>
        </bottom>
        <vertical/>
        <horizontal/>
      </border>
    </dxf>
    <dxf>
      <border>
        <left style="thin">
          <color theme="2" tint="-9.9948118533890809E-2"/>
        </left>
        <vertical/>
        <horizontal/>
      </border>
    </dxf>
    <dxf>
      <font>
        <color rgb="FF0065B3"/>
      </font>
      <fill>
        <patternFill patternType="none"/>
      </fill>
    </dxf>
    <dxf>
      <fill>
        <patternFill patternType="none"/>
      </fill>
    </dxf>
    <dxf>
      <font>
        <color rgb="FFB91114"/>
      </font>
      <fill>
        <patternFill patternType="none"/>
      </fill>
    </dxf>
    <dxf>
      <font>
        <color rgb="FF0065B3"/>
      </font>
      <fill>
        <patternFill patternType="none"/>
      </fill>
    </dxf>
    <dxf>
      <fill>
        <patternFill patternType="none"/>
      </fill>
    </dxf>
    <dxf>
      <font>
        <color rgb="FFB91114"/>
      </font>
      <fill>
        <patternFill patternType="none"/>
      </fill>
    </dxf>
    <dxf>
      <border>
        <bottom style="thin">
          <color auto="1"/>
        </bottom>
        <vertical/>
        <horizontal/>
      </border>
    </dxf>
    <dxf>
      <border>
        <left style="thin">
          <color theme="2" tint="-9.9948118533890809E-2"/>
        </left>
        <vertical/>
        <horizontal/>
      </border>
    </dxf>
    <dxf>
      <font>
        <color rgb="FF0065B3"/>
      </font>
      <fill>
        <patternFill patternType="none"/>
      </fill>
    </dxf>
    <dxf>
      <fill>
        <patternFill patternType="none"/>
      </fill>
    </dxf>
    <dxf>
      <font>
        <color rgb="FFB91114"/>
      </font>
      <fill>
        <patternFill patternType="none"/>
      </fill>
    </dxf>
    <dxf>
      <font>
        <color rgb="FF0065B3"/>
      </font>
      <fill>
        <patternFill patternType="none"/>
      </fill>
    </dxf>
    <dxf>
      <fill>
        <patternFill patternType="none"/>
      </fill>
    </dxf>
    <dxf>
      <font>
        <color rgb="FFB91114"/>
      </font>
      <fill>
        <patternFill patternType="none"/>
      </fill>
    </dxf>
    <dxf>
      <border>
        <bottom style="thin">
          <color auto="1"/>
        </bottom>
        <vertical/>
        <horizontal/>
      </border>
    </dxf>
    <dxf>
      <border>
        <left style="thin">
          <color theme="2" tint="-9.9948118533890809E-2"/>
        </left>
        <vertical/>
        <horizontal/>
      </border>
    </dxf>
    <dxf>
      <font>
        <color rgb="FF0065B3"/>
      </font>
      <fill>
        <patternFill patternType="none"/>
      </fill>
    </dxf>
    <dxf>
      <fill>
        <patternFill patternType="none"/>
      </fill>
    </dxf>
    <dxf>
      <font>
        <color rgb="FFB91114"/>
      </font>
      <fill>
        <patternFill patternType="none"/>
      </fill>
    </dxf>
    <dxf>
      <font>
        <color rgb="FF0065B3"/>
      </font>
      <fill>
        <patternFill patternType="none"/>
      </fill>
    </dxf>
    <dxf>
      <fill>
        <patternFill patternType="none"/>
      </fill>
    </dxf>
    <dxf>
      <font>
        <color rgb="FFB91114"/>
      </font>
      <fill>
        <patternFill patternType="none"/>
      </fill>
    </dxf>
    <dxf>
      <font>
        <i/>
        <color rgb="FFB91114"/>
      </font>
      <fill>
        <patternFill patternType="none"/>
      </fill>
    </dxf>
    <dxf>
      <fill>
        <patternFill>
          <bgColor theme="0"/>
        </patternFill>
      </fill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font>
        <color rgb="FF0065B3"/>
      </font>
      <fill>
        <patternFill patternType="none"/>
      </fill>
    </dxf>
    <dxf>
      <fill>
        <patternFill patternType="none"/>
      </fill>
    </dxf>
    <dxf>
      <font>
        <color rgb="FFB91114"/>
      </font>
      <fill>
        <patternFill patternType="none"/>
      </fill>
    </dxf>
    <dxf>
      <font>
        <color rgb="FFEAEAEA"/>
      </font>
    </dxf>
    <dxf>
      <fill>
        <patternFill>
          <bgColor theme="0"/>
        </patternFill>
      </fill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font>
        <color rgb="FF0065B3"/>
      </font>
      <fill>
        <patternFill patternType="none"/>
      </fill>
    </dxf>
    <dxf>
      <fill>
        <patternFill patternType="none"/>
      </fill>
    </dxf>
    <dxf>
      <font>
        <color rgb="FFB91114"/>
      </font>
      <fill>
        <patternFill patternType="none"/>
      </fill>
    </dxf>
    <dxf>
      <font>
        <color rgb="FFEAEAEA"/>
      </font>
    </dxf>
    <dxf>
      <border>
        <bottom style="thin">
          <color auto="1"/>
        </bottom>
        <vertical/>
        <horizontal/>
      </border>
    </dxf>
    <dxf>
      <border>
        <left style="thin">
          <color theme="2" tint="-9.9948118533890809E-2"/>
        </left>
        <vertical/>
        <horizontal/>
      </border>
    </dxf>
  </dxfs>
  <tableStyles count="0" defaultTableStyle="TableStyleMedium2" defaultPivotStyle="PivotStyleLight16"/>
  <colors>
    <mruColors>
      <color rgb="FFCCFFFF"/>
      <color rgb="FFCCFFCC"/>
      <color rgb="FF66FF66"/>
      <color rgb="FF99FF99"/>
      <color rgb="FF023F71"/>
      <color rgb="FFEBF6FF"/>
      <color rgb="FFFF2525"/>
      <color rgb="FFE8472F"/>
      <color rgb="FFFCE7E4"/>
      <color rgb="FF143CD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microsoft.com/office/2017/06/relationships/rdRichValue" Target="richData/rdrichvalue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microsoft.com/office/2020/07/relationships/rdRichValueWebImage" Target="richData/rdRichValueWebImage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28" Type="http://schemas.microsoft.com/office/2017/06/relationships/rdRichValueTypes" Target="richData/rdRichValueTyp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Relationship Id="rId27" Type="http://schemas.microsoft.com/office/2017/06/relationships/rdRichValueStructure" Target="richData/rdrichvaluestructure.xml"/><Relationship Id="rId30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55.png"/><Relationship Id="rId1" Type="http://schemas.openxmlformats.org/officeDocument/2006/relationships/image" Target="../media/image5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8.png"/><Relationship Id="rId7" Type="http://schemas.openxmlformats.org/officeDocument/2006/relationships/image" Target="../media/image61.png"/><Relationship Id="rId2" Type="http://schemas.openxmlformats.org/officeDocument/2006/relationships/image" Target="../media/image57.png"/><Relationship Id="rId1" Type="http://schemas.openxmlformats.org/officeDocument/2006/relationships/image" Target="../media/image56.png"/><Relationship Id="rId6" Type="http://schemas.microsoft.com/office/2007/relationships/hdphoto" Target="../media/hdphoto2.wdp"/><Relationship Id="rId5" Type="http://schemas.openxmlformats.org/officeDocument/2006/relationships/image" Target="../media/image60.png"/><Relationship Id="rId4" Type="http://schemas.openxmlformats.org/officeDocument/2006/relationships/image" Target="../media/image59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#H!J10"/><Relationship Id="rId3" Type="http://schemas.openxmlformats.org/officeDocument/2006/relationships/image" Target="../media/image61.png"/><Relationship Id="rId7" Type="http://schemas.openxmlformats.org/officeDocument/2006/relationships/hyperlink" Target="#B!J10"/><Relationship Id="rId2" Type="http://schemas.openxmlformats.org/officeDocument/2006/relationships/hyperlink" Target="#'C'!J10"/><Relationship Id="rId1" Type="http://schemas.openxmlformats.org/officeDocument/2006/relationships/hyperlink" Target="#D!J10"/><Relationship Id="rId6" Type="http://schemas.openxmlformats.org/officeDocument/2006/relationships/hyperlink" Target="#A!J10"/><Relationship Id="rId11" Type="http://schemas.openxmlformats.org/officeDocument/2006/relationships/hyperlink" Target="#'F'!J10"/><Relationship Id="rId5" Type="http://schemas.microsoft.com/office/2007/relationships/hdphoto" Target="../media/hdphoto3.wdp"/><Relationship Id="rId10" Type="http://schemas.openxmlformats.org/officeDocument/2006/relationships/hyperlink" Target="#E!J10"/><Relationship Id="rId4" Type="http://schemas.openxmlformats.org/officeDocument/2006/relationships/image" Target="../media/image62.png"/><Relationship Id="rId9" Type="http://schemas.openxmlformats.org/officeDocument/2006/relationships/hyperlink" Target="#G!J10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hyperlink" Target="#G!J10"/><Relationship Id="rId3" Type="http://schemas.openxmlformats.org/officeDocument/2006/relationships/image" Target="../media/image62.png"/><Relationship Id="rId7" Type="http://schemas.openxmlformats.org/officeDocument/2006/relationships/hyperlink" Target="#H!J10"/><Relationship Id="rId2" Type="http://schemas.openxmlformats.org/officeDocument/2006/relationships/hyperlink" Target="#'C'!J10"/><Relationship Id="rId1" Type="http://schemas.openxmlformats.org/officeDocument/2006/relationships/hyperlink" Target="#D!J10"/><Relationship Id="rId6" Type="http://schemas.openxmlformats.org/officeDocument/2006/relationships/hyperlink" Target="#B!J10"/><Relationship Id="rId11" Type="http://schemas.openxmlformats.org/officeDocument/2006/relationships/image" Target="../media/image61.png"/><Relationship Id="rId5" Type="http://schemas.openxmlformats.org/officeDocument/2006/relationships/hyperlink" Target="#A!J10"/><Relationship Id="rId10" Type="http://schemas.openxmlformats.org/officeDocument/2006/relationships/hyperlink" Target="#'F'!J10"/><Relationship Id="rId4" Type="http://schemas.microsoft.com/office/2007/relationships/hdphoto" Target="../media/hdphoto3.wdp"/><Relationship Id="rId9" Type="http://schemas.openxmlformats.org/officeDocument/2006/relationships/hyperlink" Target="#E!J10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hyperlink" Target="#G!J10"/><Relationship Id="rId3" Type="http://schemas.openxmlformats.org/officeDocument/2006/relationships/image" Target="../media/image62.png"/><Relationship Id="rId7" Type="http://schemas.openxmlformats.org/officeDocument/2006/relationships/hyperlink" Target="#H!J10"/><Relationship Id="rId2" Type="http://schemas.openxmlformats.org/officeDocument/2006/relationships/hyperlink" Target="#'C'!J10"/><Relationship Id="rId1" Type="http://schemas.openxmlformats.org/officeDocument/2006/relationships/hyperlink" Target="#D!J10"/><Relationship Id="rId6" Type="http://schemas.openxmlformats.org/officeDocument/2006/relationships/hyperlink" Target="#B!J10"/><Relationship Id="rId11" Type="http://schemas.openxmlformats.org/officeDocument/2006/relationships/image" Target="../media/image61.png"/><Relationship Id="rId5" Type="http://schemas.openxmlformats.org/officeDocument/2006/relationships/hyperlink" Target="#A!J10"/><Relationship Id="rId10" Type="http://schemas.openxmlformats.org/officeDocument/2006/relationships/hyperlink" Target="#'F'!J10"/><Relationship Id="rId4" Type="http://schemas.microsoft.com/office/2007/relationships/hdphoto" Target="../media/hdphoto3.wdp"/><Relationship Id="rId9" Type="http://schemas.openxmlformats.org/officeDocument/2006/relationships/hyperlink" Target="#E!J10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hyperlink" Target="#G!J10"/><Relationship Id="rId3" Type="http://schemas.openxmlformats.org/officeDocument/2006/relationships/image" Target="../media/image62.png"/><Relationship Id="rId7" Type="http://schemas.openxmlformats.org/officeDocument/2006/relationships/hyperlink" Target="#H!J10"/><Relationship Id="rId2" Type="http://schemas.openxmlformats.org/officeDocument/2006/relationships/hyperlink" Target="#'C'!J10"/><Relationship Id="rId1" Type="http://schemas.openxmlformats.org/officeDocument/2006/relationships/hyperlink" Target="#D!J10"/><Relationship Id="rId6" Type="http://schemas.openxmlformats.org/officeDocument/2006/relationships/hyperlink" Target="#B!J10"/><Relationship Id="rId11" Type="http://schemas.openxmlformats.org/officeDocument/2006/relationships/image" Target="../media/image61.png"/><Relationship Id="rId5" Type="http://schemas.openxmlformats.org/officeDocument/2006/relationships/hyperlink" Target="#A!J10"/><Relationship Id="rId10" Type="http://schemas.openxmlformats.org/officeDocument/2006/relationships/hyperlink" Target="#'F'!J10"/><Relationship Id="rId4" Type="http://schemas.microsoft.com/office/2007/relationships/hdphoto" Target="../media/hdphoto3.wdp"/><Relationship Id="rId9" Type="http://schemas.openxmlformats.org/officeDocument/2006/relationships/hyperlink" Target="#E!J10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hyperlink" Target="#G!J10"/><Relationship Id="rId3" Type="http://schemas.openxmlformats.org/officeDocument/2006/relationships/image" Target="../media/image62.png"/><Relationship Id="rId7" Type="http://schemas.openxmlformats.org/officeDocument/2006/relationships/hyperlink" Target="#H!J10"/><Relationship Id="rId2" Type="http://schemas.openxmlformats.org/officeDocument/2006/relationships/hyperlink" Target="#'C'!J10"/><Relationship Id="rId1" Type="http://schemas.openxmlformats.org/officeDocument/2006/relationships/hyperlink" Target="#D!J10"/><Relationship Id="rId6" Type="http://schemas.openxmlformats.org/officeDocument/2006/relationships/hyperlink" Target="#B!J10"/><Relationship Id="rId11" Type="http://schemas.openxmlformats.org/officeDocument/2006/relationships/image" Target="../media/image61.png"/><Relationship Id="rId5" Type="http://schemas.openxmlformats.org/officeDocument/2006/relationships/hyperlink" Target="#A!J10"/><Relationship Id="rId10" Type="http://schemas.openxmlformats.org/officeDocument/2006/relationships/hyperlink" Target="#'F'!J10"/><Relationship Id="rId4" Type="http://schemas.microsoft.com/office/2007/relationships/hdphoto" Target="../media/hdphoto3.wdp"/><Relationship Id="rId9" Type="http://schemas.openxmlformats.org/officeDocument/2006/relationships/hyperlink" Target="#E!J10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hyperlink" Target="#G!J10"/><Relationship Id="rId3" Type="http://schemas.openxmlformats.org/officeDocument/2006/relationships/image" Target="../media/image62.png"/><Relationship Id="rId7" Type="http://schemas.openxmlformats.org/officeDocument/2006/relationships/hyperlink" Target="#H!J10"/><Relationship Id="rId2" Type="http://schemas.openxmlformats.org/officeDocument/2006/relationships/hyperlink" Target="#'C'!J10"/><Relationship Id="rId1" Type="http://schemas.openxmlformats.org/officeDocument/2006/relationships/hyperlink" Target="#D!J10"/><Relationship Id="rId6" Type="http://schemas.openxmlformats.org/officeDocument/2006/relationships/hyperlink" Target="#B!J10"/><Relationship Id="rId11" Type="http://schemas.openxmlformats.org/officeDocument/2006/relationships/image" Target="../media/image61.png"/><Relationship Id="rId5" Type="http://schemas.openxmlformats.org/officeDocument/2006/relationships/hyperlink" Target="#A!J10"/><Relationship Id="rId10" Type="http://schemas.openxmlformats.org/officeDocument/2006/relationships/hyperlink" Target="#'F'!J10"/><Relationship Id="rId4" Type="http://schemas.microsoft.com/office/2007/relationships/hdphoto" Target="../media/hdphoto3.wdp"/><Relationship Id="rId9" Type="http://schemas.openxmlformats.org/officeDocument/2006/relationships/hyperlink" Target="#E!J10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hyperlink" Target="#G!J10"/><Relationship Id="rId3" Type="http://schemas.openxmlformats.org/officeDocument/2006/relationships/image" Target="../media/image62.png"/><Relationship Id="rId7" Type="http://schemas.openxmlformats.org/officeDocument/2006/relationships/hyperlink" Target="#H!J10"/><Relationship Id="rId2" Type="http://schemas.openxmlformats.org/officeDocument/2006/relationships/hyperlink" Target="#'C'!J10"/><Relationship Id="rId1" Type="http://schemas.openxmlformats.org/officeDocument/2006/relationships/hyperlink" Target="#D!J10"/><Relationship Id="rId6" Type="http://schemas.openxmlformats.org/officeDocument/2006/relationships/hyperlink" Target="#B!J10"/><Relationship Id="rId11" Type="http://schemas.openxmlformats.org/officeDocument/2006/relationships/image" Target="../media/image61.png"/><Relationship Id="rId5" Type="http://schemas.openxmlformats.org/officeDocument/2006/relationships/hyperlink" Target="#A!J10"/><Relationship Id="rId10" Type="http://schemas.openxmlformats.org/officeDocument/2006/relationships/hyperlink" Target="#'F'!J10"/><Relationship Id="rId4" Type="http://schemas.microsoft.com/office/2007/relationships/hdphoto" Target="../media/hdphoto3.wdp"/><Relationship Id="rId9" Type="http://schemas.openxmlformats.org/officeDocument/2006/relationships/hyperlink" Target="#E!J10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hyperlink" Target="#G!J10"/><Relationship Id="rId3" Type="http://schemas.openxmlformats.org/officeDocument/2006/relationships/image" Target="../media/image62.png"/><Relationship Id="rId7" Type="http://schemas.openxmlformats.org/officeDocument/2006/relationships/hyperlink" Target="#H!J10"/><Relationship Id="rId2" Type="http://schemas.openxmlformats.org/officeDocument/2006/relationships/hyperlink" Target="#'C'!J10"/><Relationship Id="rId1" Type="http://schemas.openxmlformats.org/officeDocument/2006/relationships/hyperlink" Target="#D!J10"/><Relationship Id="rId6" Type="http://schemas.openxmlformats.org/officeDocument/2006/relationships/hyperlink" Target="#B!J10"/><Relationship Id="rId11" Type="http://schemas.openxmlformats.org/officeDocument/2006/relationships/image" Target="../media/image61.png"/><Relationship Id="rId5" Type="http://schemas.openxmlformats.org/officeDocument/2006/relationships/hyperlink" Target="#A!J10"/><Relationship Id="rId10" Type="http://schemas.openxmlformats.org/officeDocument/2006/relationships/hyperlink" Target="#'F'!J10"/><Relationship Id="rId4" Type="http://schemas.microsoft.com/office/2007/relationships/hdphoto" Target="../media/hdphoto3.wdp"/><Relationship Id="rId9" Type="http://schemas.openxmlformats.org/officeDocument/2006/relationships/hyperlink" Target="#E!J10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58.png"/><Relationship Id="rId7" Type="http://schemas.openxmlformats.org/officeDocument/2006/relationships/image" Target="../media/image61.png"/><Relationship Id="rId2" Type="http://schemas.openxmlformats.org/officeDocument/2006/relationships/image" Target="../media/image57.png"/><Relationship Id="rId1" Type="http://schemas.openxmlformats.org/officeDocument/2006/relationships/image" Target="../media/image56.png"/><Relationship Id="rId6" Type="http://schemas.microsoft.com/office/2007/relationships/hdphoto" Target="../media/hdphoto2.wdp"/><Relationship Id="rId5" Type="http://schemas.openxmlformats.org/officeDocument/2006/relationships/image" Target="../media/image60.png"/><Relationship Id="rId4" Type="http://schemas.openxmlformats.org/officeDocument/2006/relationships/image" Target="../media/image59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8.png"/><Relationship Id="rId7" Type="http://schemas.openxmlformats.org/officeDocument/2006/relationships/image" Target="../media/image61.png"/><Relationship Id="rId2" Type="http://schemas.openxmlformats.org/officeDocument/2006/relationships/image" Target="../media/image57.png"/><Relationship Id="rId1" Type="http://schemas.openxmlformats.org/officeDocument/2006/relationships/image" Target="../media/image56.png"/><Relationship Id="rId6" Type="http://schemas.microsoft.com/office/2007/relationships/hdphoto" Target="../media/hdphoto2.wdp"/><Relationship Id="rId5" Type="http://schemas.openxmlformats.org/officeDocument/2006/relationships/image" Target="../media/image60.png"/><Relationship Id="rId4" Type="http://schemas.openxmlformats.org/officeDocument/2006/relationships/image" Target="../media/image59.pn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58.png"/><Relationship Id="rId7" Type="http://schemas.openxmlformats.org/officeDocument/2006/relationships/image" Target="../media/image61.png"/><Relationship Id="rId2" Type="http://schemas.openxmlformats.org/officeDocument/2006/relationships/image" Target="../media/image57.png"/><Relationship Id="rId1" Type="http://schemas.openxmlformats.org/officeDocument/2006/relationships/image" Target="../media/image56.png"/><Relationship Id="rId6" Type="http://schemas.microsoft.com/office/2007/relationships/hdphoto" Target="../media/hdphoto2.wdp"/><Relationship Id="rId5" Type="http://schemas.openxmlformats.org/officeDocument/2006/relationships/image" Target="../media/image60.png"/><Relationship Id="rId4" Type="http://schemas.openxmlformats.org/officeDocument/2006/relationships/image" Target="../media/image59.png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58.png"/><Relationship Id="rId7" Type="http://schemas.openxmlformats.org/officeDocument/2006/relationships/image" Target="../media/image61.png"/><Relationship Id="rId2" Type="http://schemas.openxmlformats.org/officeDocument/2006/relationships/image" Target="../media/image57.png"/><Relationship Id="rId1" Type="http://schemas.openxmlformats.org/officeDocument/2006/relationships/image" Target="../media/image56.png"/><Relationship Id="rId6" Type="http://schemas.microsoft.com/office/2007/relationships/hdphoto" Target="../media/hdphoto2.wdp"/><Relationship Id="rId5" Type="http://schemas.openxmlformats.org/officeDocument/2006/relationships/image" Target="../media/image60.png"/><Relationship Id="rId4" Type="http://schemas.openxmlformats.org/officeDocument/2006/relationships/image" Target="../media/image59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64.png"/><Relationship Id="rId1" Type="http://schemas.openxmlformats.org/officeDocument/2006/relationships/image" Target="../media/image63.pn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64.png"/><Relationship Id="rId1" Type="http://schemas.openxmlformats.org/officeDocument/2006/relationships/image" Target="../media/image6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84668</xdr:colOff>
      <xdr:row>14</xdr:row>
      <xdr:rowOff>169333</xdr:rowOff>
    </xdr:from>
    <xdr:to>
      <xdr:col>11</xdr:col>
      <xdr:colOff>582084</xdr:colOff>
      <xdr:row>21</xdr:row>
      <xdr:rowOff>74306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49DBAF1-36AD-4CBA-9CAC-693EFCC348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69085" y="3418416"/>
          <a:ext cx="497416" cy="1259641"/>
        </a:xfrm>
        <a:prstGeom prst="rect">
          <a:avLst/>
        </a:prstGeom>
      </xdr:spPr>
    </xdr:pic>
    <xdr:clientData/>
  </xdr:twoCellAnchor>
  <xdr:twoCellAnchor editAs="oneCell">
    <xdr:from>
      <xdr:col>6</xdr:col>
      <xdr:colOff>275165</xdr:colOff>
      <xdr:row>14</xdr:row>
      <xdr:rowOff>179917</xdr:rowOff>
    </xdr:from>
    <xdr:to>
      <xdr:col>6</xdr:col>
      <xdr:colOff>1251478</xdr:colOff>
      <xdr:row>20</xdr:row>
      <xdr:rowOff>58738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F8BE1F7A-7211-482F-8842-42BF7ED03B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chemeClr val="accent1">
              <a:tint val="45000"/>
              <a:satMod val="400000"/>
            </a:schemeClr>
          </a:duotone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saturation sat="276000"/>
                  </a14:imgEffect>
                  <a14:imgEffect>
                    <a14:brightnessContrast bright="-42000" contrast="18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91248" y="3429000"/>
          <a:ext cx="976313" cy="1042988"/>
        </a:xfrm>
        <a:prstGeom prst="rect">
          <a:avLst/>
        </a:prstGeom>
        <a:noFill/>
      </xdr:spPr>
    </xdr:pic>
    <xdr:clientData/>
  </xdr:twoCellAnchor>
  <xdr:oneCellAnchor>
    <xdr:from>
      <xdr:col>6</xdr:col>
      <xdr:colOff>1566334</xdr:colOff>
      <xdr:row>0</xdr:row>
      <xdr:rowOff>317502</xdr:rowOff>
    </xdr:from>
    <xdr:ext cx="2942167" cy="968983"/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3913C9DC-AE0D-4BCF-9181-CE8EEC3A4493}"/>
            </a:ext>
          </a:extLst>
        </xdr:cNvPr>
        <xdr:cNvSpPr/>
      </xdr:nvSpPr>
      <xdr:spPr>
        <a:xfrm>
          <a:off x="7482417" y="317502"/>
          <a:ext cx="2942167" cy="968983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s-ES" sz="2800" b="1" cap="none" spc="0">
              <a:ln w="9525">
                <a:solidFill>
                  <a:srgbClr val="023F71"/>
                </a:solidFill>
                <a:prstDash val="solid"/>
              </a:ln>
              <a:solidFill>
                <a:srgbClr val="023F7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FIFA CLUB</a:t>
          </a:r>
        </a:p>
        <a:p>
          <a:pPr algn="ctr"/>
          <a:r>
            <a:rPr lang="es-ES" sz="2800" b="1" cap="none" spc="0">
              <a:ln w="9525">
                <a:solidFill>
                  <a:srgbClr val="023F71"/>
                </a:solidFill>
                <a:prstDash val="solid"/>
              </a:ln>
              <a:solidFill>
                <a:srgbClr val="023F7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WORLD CUP 2025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32</xdr:col>
      <xdr:colOff>789215</xdr:colOff>
      <xdr:row>2</xdr:row>
      <xdr:rowOff>68035</xdr:rowOff>
    </xdr:from>
    <xdr:to>
      <xdr:col>33</xdr:col>
      <xdr:colOff>506891</xdr:colOff>
      <xdr:row>7</xdr:row>
      <xdr:rowOff>112954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51C0953-F506-4BBD-BBEB-67457DA133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177728" y="610960"/>
          <a:ext cx="744471" cy="997419"/>
        </a:xfrm>
        <a:prstGeom prst="rect">
          <a:avLst/>
        </a:prstGeom>
      </xdr:spPr>
    </xdr:pic>
    <xdr:clientData/>
  </xdr:twoCellAnchor>
  <xdr:twoCellAnchor editAs="oneCell">
    <xdr:from>
      <xdr:col>34</xdr:col>
      <xdr:colOff>110379</xdr:colOff>
      <xdr:row>11</xdr:row>
      <xdr:rowOff>0</xdr:rowOff>
    </xdr:from>
    <xdr:to>
      <xdr:col>37</xdr:col>
      <xdr:colOff>475210</xdr:colOff>
      <xdr:row>20</xdr:row>
      <xdr:rowOff>127269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6540749-55E9-44E2-BDE2-A3EF583517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556292" y="3038475"/>
          <a:ext cx="3450931" cy="1840817"/>
        </a:xfrm>
        <a:prstGeom prst="rect">
          <a:avLst/>
        </a:prstGeom>
      </xdr:spPr>
    </xdr:pic>
    <xdr:clientData/>
  </xdr:twoCellAnchor>
  <xdr:twoCellAnchor editAs="oneCell">
    <xdr:from>
      <xdr:col>33</xdr:col>
      <xdr:colOff>236893</xdr:colOff>
      <xdr:row>11</xdr:row>
      <xdr:rowOff>0</xdr:rowOff>
    </xdr:from>
    <xdr:to>
      <xdr:col>34</xdr:col>
      <xdr:colOff>641201</xdr:colOff>
      <xdr:row>20</xdr:row>
      <xdr:rowOff>98860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CA696DF5-118A-4D49-A6F1-67AA8169B4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3654106" y="3038475"/>
          <a:ext cx="1431103" cy="1814313"/>
        </a:xfrm>
        <a:prstGeom prst="rect">
          <a:avLst/>
        </a:prstGeom>
      </xdr:spPr>
    </xdr:pic>
    <xdr:clientData/>
  </xdr:twoCellAnchor>
  <xdr:twoCellAnchor editAs="oneCell">
    <xdr:from>
      <xdr:col>34</xdr:col>
      <xdr:colOff>866775</xdr:colOff>
      <xdr:row>11</xdr:row>
      <xdr:rowOff>0</xdr:rowOff>
    </xdr:from>
    <xdr:to>
      <xdr:col>35</xdr:col>
      <xdr:colOff>760881</xdr:colOff>
      <xdr:row>15</xdr:row>
      <xdr:rowOff>88190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B29662F8-4AB4-4280-9D02-97C08075D8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312688" y="2381250"/>
          <a:ext cx="922806" cy="848285"/>
        </a:xfrm>
        <a:prstGeom prst="rect">
          <a:avLst/>
        </a:prstGeom>
      </xdr:spPr>
    </xdr:pic>
    <xdr:clientData/>
  </xdr:twoCellAnchor>
  <xdr:oneCellAnchor>
    <xdr:from>
      <xdr:col>34</xdr:col>
      <xdr:colOff>866775</xdr:colOff>
      <xdr:row>11</xdr:row>
      <xdr:rowOff>0</xdr:rowOff>
    </xdr:from>
    <xdr:ext cx="856131" cy="848285"/>
    <xdr:pic>
      <xdr:nvPicPr>
        <xdr:cNvPr id="6" name="Imagen 5">
          <a:extLst>
            <a:ext uri="{FF2B5EF4-FFF2-40B4-BE49-F238E27FC236}">
              <a16:creationId xmlns:a16="http://schemas.microsoft.com/office/drawing/2014/main" id="{5C823CF0-41A8-4070-A077-08A5A55039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312688" y="3038475"/>
          <a:ext cx="856131" cy="848285"/>
        </a:xfrm>
        <a:prstGeom prst="rect">
          <a:avLst/>
        </a:prstGeom>
      </xdr:spPr>
    </xdr:pic>
    <xdr:clientData/>
  </xdr:oneCellAnchor>
  <xdr:twoCellAnchor editAs="oneCell">
    <xdr:from>
      <xdr:col>3</xdr:col>
      <xdr:colOff>47625</xdr:colOff>
      <xdr:row>1</xdr:row>
      <xdr:rowOff>104775</xdr:rowOff>
    </xdr:from>
    <xdr:to>
      <xdr:col>4</xdr:col>
      <xdr:colOff>362472</xdr:colOff>
      <xdr:row>6</xdr:row>
      <xdr:rowOff>38100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E9743923-5577-48A4-B371-376EEA98AB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duotone>
            <a:prstClr val="black"/>
            <a:schemeClr val="accent1">
              <a:tint val="45000"/>
              <a:satMod val="400000"/>
            </a:schemeClr>
          </a:duotone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saturation sat="276000"/>
                  </a14:imgEffect>
                  <a14:imgEffect>
                    <a14:brightnessContrast bright="-42000" contrast="18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3925" y="457200"/>
          <a:ext cx="867297" cy="885825"/>
        </a:xfrm>
        <a:prstGeom prst="rect">
          <a:avLst/>
        </a:prstGeom>
        <a:noFill/>
      </xdr:spPr>
    </xdr:pic>
    <xdr:clientData/>
  </xdr:twoCellAnchor>
  <xdr:twoCellAnchor editAs="oneCell">
    <xdr:from>
      <xdr:col>20</xdr:col>
      <xdr:colOff>514350</xdr:colOff>
      <xdr:row>1</xdr:row>
      <xdr:rowOff>38100</xdr:rowOff>
    </xdr:from>
    <xdr:to>
      <xdr:col>20</xdr:col>
      <xdr:colOff>935650</xdr:colOff>
      <xdr:row>6</xdr:row>
      <xdr:rowOff>152488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72317366-B399-4BBE-BE58-3D0CD55599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39488" y="390525"/>
          <a:ext cx="421300" cy="1066888"/>
        </a:xfrm>
        <a:prstGeom prst="rect">
          <a:avLst/>
        </a:prstGeom>
      </xdr:spPr>
    </xdr:pic>
    <xdr:clientData/>
  </xdr:twoCellAnchor>
  <xdr:oneCellAnchor>
    <xdr:from>
      <xdr:col>4</xdr:col>
      <xdr:colOff>447674</xdr:colOff>
      <xdr:row>1</xdr:row>
      <xdr:rowOff>66675</xdr:rowOff>
    </xdr:from>
    <xdr:ext cx="5553075" cy="968983"/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B10F7B8A-7A43-4F4D-AD31-0540798DA9C5}"/>
            </a:ext>
          </a:extLst>
        </xdr:cNvPr>
        <xdr:cNvSpPr/>
      </xdr:nvSpPr>
      <xdr:spPr>
        <a:xfrm>
          <a:off x="1781174" y="419100"/>
          <a:ext cx="5553075" cy="968983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s-ES" sz="2800" b="1" cap="none" spc="0">
              <a:ln w="9525">
                <a:solidFill>
                  <a:srgbClr val="023F71"/>
                </a:solidFill>
                <a:prstDash val="solid"/>
              </a:ln>
              <a:solidFill>
                <a:srgbClr val="023F7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FIFA CLUB</a:t>
          </a:r>
        </a:p>
        <a:p>
          <a:pPr algn="ctr"/>
          <a:r>
            <a:rPr lang="es-ES" sz="2800" b="1" cap="none" spc="0">
              <a:ln w="9525">
                <a:solidFill>
                  <a:srgbClr val="023F71"/>
                </a:solidFill>
                <a:prstDash val="solid"/>
              </a:ln>
              <a:solidFill>
                <a:srgbClr val="023F7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WORLD CUP 2025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181449</xdr:colOff>
      <xdr:row>2</xdr:row>
      <xdr:rowOff>885</xdr:rowOff>
    </xdr:from>
    <xdr:ext cx="867600" cy="276225"/>
    <xdr:sp macro="" textlink="">
      <xdr:nvSpPr>
        <xdr:cNvPr id="3" name="Shape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3F7B210-6D59-4D9A-BD34-F8C5E26514DB}"/>
            </a:ext>
          </a:extLst>
        </xdr:cNvPr>
        <xdr:cNvSpPr/>
      </xdr:nvSpPr>
      <xdr:spPr>
        <a:xfrm>
          <a:off x="5572599" y="591435"/>
          <a:ext cx="867600" cy="276225"/>
        </a:xfrm>
        <a:prstGeom prst="roundRect">
          <a:avLst>
            <a:gd name="adj" fmla="val 16667"/>
          </a:avLst>
        </a:prstGeom>
        <a:solidFill>
          <a:srgbClr val="EBF6FF"/>
        </a:solidFill>
        <a:ln>
          <a:solidFill>
            <a:srgbClr val="023F71"/>
          </a:solidFill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rgbClr val="023F71"/>
              </a:solidFill>
              <a:latin typeface="Calibri"/>
              <a:ea typeface="Calibri"/>
              <a:cs typeface="Calibri"/>
              <a:sym typeface="Calibri"/>
            </a:rPr>
            <a:t>Grupo D</a:t>
          </a:r>
          <a:endParaRPr sz="1200" b="1">
            <a:solidFill>
              <a:srgbClr val="023F71"/>
            </a:solidFill>
            <a:latin typeface="Calibri"/>
            <a:ea typeface="Calibri"/>
            <a:cs typeface="Calibri"/>
          </a:endParaRPr>
        </a:p>
      </xdr:txBody>
    </xdr:sp>
    <xdr:clientData fLocksWithSheet="0"/>
  </xdr:oneCellAnchor>
  <xdr:oneCellAnchor>
    <xdr:from>
      <xdr:col>11</xdr:col>
      <xdr:colOff>74692</xdr:colOff>
      <xdr:row>1</xdr:row>
      <xdr:rowOff>232660</xdr:rowOff>
    </xdr:from>
    <xdr:ext cx="867600" cy="276225"/>
    <xdr:sp macro="" textlink="">
      <xdr:nvSpPr>
        <xdr:cNvPr id="5" name="Shape 1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821D251-BA53-4260-8C3B-28916C79B604}"/>
            </a:ext>
          </a:extLst>
        </xdr:cNvPr>
        <xdr:cNvSpPr/>
      </xdr:nvSpPr>
      <xdr:spPr>
        <a:xfrm>
          <a:off x="4456192" y="585085"/>
          <a:ext cx="867600" cy="276225"/>
        </a:xfrm>
        <a:prstGeom prst="roundRect">
          <a:avLst>
            <a:gd name="adj" fmla="val 16667"/>
          </a:avLst>
        </a:prstGeom>
        <a:solidFill>
          <a:srgbClr val="EBF6FF"/>
        </a:solidFill>
        <a:ln>
          <a:solidFill>
            <a:srgbClr val="023F71"/>
          </a:solidFill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rgbClr val="023F71"/>
              </a:solidFill>
              <a:latin typeface="Calibri"/>
              <a:ea typeface="Calibri"/>
              <a:cs typeface="Calibri"/>
              <a:sym typeface="Calibri"/>
            </a:rPr>
            <a:t>Grupo C</a:t>
          </a:r>
          <a:endParaRPr sz="1200" b="1">
            <a:solidFill>
              <a:srgbClr val="023F71"/>
            </a:solidFill>
            <a:latin typeface="Calibri"/>
            <a:ea typeface="Calibri"/>
            <a:cs typeface="Calibri"/>
          </a:endParaRPr>
        </a:p>
      </xdr:txBody>
    </xdr:sp>
    <xdr:clientData fLocksWithSheet="0"/>
  </xdr:oneCellAnchor>
  <xdr:twoCellAnchor editAs="oneCell">
    <xdr:from>
      <xdr:col>17</xdr:col>
      <xdr:colOff>364520</xdr:colOff>
      <xdr:row>1</xdr:row>
      <xdr:rowOff>71803</xdr:rowOff>
    </xdr:from>
    <xdr:to>
      <xdr:col>17</xdr:col>
      <xdr:colOff>791534</xdr:colOff>
      <xdr:row>5</xdr:row>
      <xdr:rowOff>74747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DDC9C01D-8223-4BA7-8300-6C422DE339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2620" y="424228"/>
          <a:ext cx="427014" cy="1050694"/>
        </a:xfrm>
        <a:prstGeom prst="rect">
          <a:avLst/>
        </a:prstGeom>
      </xdr:spPr>
    </xdr:pic>
    <xdr:clientData/>
  </xdr:twoCellAnchor>
  <xdr:twoCellAnchor editAs="oneCell">
    <xdr:from>
      <xdr:col>1</xdr:col>
      <xdr:colOff>176213</xdr:colOff>
      <xdr:row>1</xdr:row>
      <xdr:rowOff>123825</xdr:rowOff>
    </xdr:from>
    <xdr:to>
      <xdr:col>3</xdr:col>
      <xdr:colOff>396240</xdr:colOff>
      <xdr:row>5</xdr:row>
      <xdr:rowOff>97154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EA14AD57-89F2-484E-8993-4BB44301D4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duotone>
            <a:prstClr val="black"/>
            <a:schemeClr val="accent1">
              <a:tint val="45000"/>
              <a:satMod val="400000"/>
            </a:schemeClr>
          </a:duotone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saturation sat="276000"/>
                  </a14:imgEffect>
                  <a14:imgEffect>
                    <a14:brightnessContrast bright="-42000" contrast="18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4338" y="476250"/>
          <a:ext cx="976313" cy="1042988"/>
        </a:xfrm>
        <a:prstGeom prst="rect">
          <a:avLst/>
        </a:prstGeom>
        <a:noFill/>
      </xdr:spPr>
    </xdr:pic>
    <xdr:clientData/>
  </xdr:twoCellAnchor>
  <xdr:oneCellAnchor>
    <xdr:from>
      <xdr:col>6</xdr:col>
      <xdr:colOff>347776</xdr:colOff>
      <xdr:row>2</xdr:row>
      <xdr:rowOff>4060</xdr:rowOff>
    </xdr:from>
    <xdr:ext cx="866775" cy="276225"/>
    <xdr:sp macro="" textlink="">
      <xdr:nvSpPr>
        <xdr:cNvPr id="14" name="Shape 14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6A639B54-D79E-0DCF-7ACF-46CF77F48287}"/>
            </a:ext>
          </a:extLst>
        </xdr:cNvPr>
        <xdr:cNvSpPr/>
      </xdr:nvSpPr>
      <xdr:spPr>
        <a:xfrm>
          <a:off x="2224201" y="594610"/>
          <a:ext cx="866775" cy="276225"/>
        </a:xfrm>
        <a:prstGeom prst="roundRect">
          <a:avLst>
            <a:gd name="adj" fmla="val 16667"/>
          </a:avLst>
        </a:prstGeom>
        <a:solidFill>
          <a:srgbClr val="023F7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Grupo A</a:t>
          </a:r>
          <a:endParaRPr sz="1400" b="1"/>
        </a:p>
      </xdr:txBody>
    </xdr:sp>
    <xdr:clientData fLocksWithSheet="0"/>
  </xdr:oneCellAnchor>
  <xdr:oneCellAnchor>
    <xdr:from>
      <xdr:col>7</xdr:col>
      <xdr:colOff>148909</xdr:colOff>
      <xdr:row>1</xdr:row>
      <xdr:rowOff>235835</xdr:rowOff>
    </xdr:from>
    <xdr:ext cx="867600" cy="276225"/>
    <xdr:sp macro="" textlink="">
      <xdr:nvSpPr>
        <xdr:cNvPr id="15" name="Shape 16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7247F94F-C362-B987-2881-FD38223FDABC}"/>
            </a:ext>
          </a:extLst>
        </xdr:cNvPr>
        <xdr:cNvSpPr/>
      </xdr:nvSpPr>
      <xdr:spPr>
        <a:xfrm>
          <a:off x="3339784" y="588260"/>
          <a:ext cx="867600" cy="276225"/>
        </a:xfrm>
        <a:prstGeom prst="roundRect">
          <a:avLst>
            <a:gd name="adj" fmla="val 16667"/>
          </a:avLst>
        </a:prstGeom>
        <a:solidFill>
          <a:srgbClr val="EBF6FF"/>
        </a:solidFill>
        <a:ln>
          <a:solidFill>
            <a:srgbClr val="023F71"/>
          </a:solidFill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rgbClr val="023F71"/>
              </a:solidFill>
              <a:latin typeface="Calibri"/>
              <a:ea typeface="Calibri"/>
              <a:cs typeface="Calibri"/>
              <a:sym typeface="Calibri"/>
            </a:rPr>
            <a:t>Grupo B</a:t>
          </a:r>
          <a:endParaRPr sz="1400" b="1">
            <a:solidFill>
              <a:srgbClr val="023F71"/>
            </a:solidFill>
          </a:endParaRPr>
        </a:p>
      </xdr:txBody>
    </xdr:sp>
    <xdr:clientData fLocksWithSheet="0"/>
  </xdr:oneCellAnchor>
  <xdr:oneCellAnchor>
    <xdr:from>
      <xdr:col>14</xdr:col>
      <xdr:colOff>180768</xdr:colOff>
      <xdr:row>3</xdr:row>
      <xdr:rowOff>19935</xdr:rowOff>
    </xdr:from>
    <xdr:ext cx="867600" cy="276225"/>
    <xdr:sp macro="" textlink="">
      <xdr:nvSpPr>
        <xdr:cNvPr id="16" name="Shape 15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B658A595-E27C-41AD-A0CB-AAB363577CF7}"/>
            </a:ext>
          </a:extLst>
        </xdr:cNvPr>
        <xdr:cNvSpPr/>
      </xdr:nvSpPr>
      <xdr:spPr>
        <a:xfrm>
          <a:off x="5572598" y="1060881"/>
          <a:ext cx="867600" cy="276225"/>
        </a:xfrm>
        <a:prstGeom prst="roundRect">
          <a:avLst>
            <a:gd name="adj" fmla="val 16667"/>
          </a:avLst>
        </a:prstGeom>
        <a:solidFill>
          <a:srgbClr val="EBF6FF"/>
        </a:solidFill>
        <a:ln>
          <a:solidFill>
            <a:srgbClr val="023F71"/>
          </a:solidFill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rgbClr val="023F71"/>
              </a:solidFill>
              <a:latin typeface="Calibri"/>
              <a:ea typeface="Calibri"/>
              <a:cs typeface="Calibri"/>
              <a:sym typeface="Calibri"/>
            </a:rPr>
            <a:t>Grupo H</a:t>
          </a:r>
          <a:endParaRPr sz="1200" b="1">
            <a:solidFill>
              <a:srgbClr val="023F71"/>
            </a:solidFill>
            <a:latin typeface="Calibri"/>
            <a:ea typeface="Calibri"/>
            <a:cs typeface="Calibri"/>
          </a:endParaRPr>
        </a:p>
      </xdr:txBody>
    </xdr:sp>
    <xdr:clientData fLocksWithSheet="0"/>
  </xdr:oneCellAnchor>
  <xdr:oneCellAnchor>
    <xdr:from>
      <xdr:col>11</xdr:col>
      <xdr:colOff>74011</xdr:colOff>
      <xdr:row>3</xdr:row>
      <xdr:rowOff>13585</xdr:rowOff>
    </xdr:from>
    <xdr:ext cx="867600" cy="276225"/>
    <xdr:sp macro="" textlink="">
      <xdr:nvSpPr>
        <xdr:cNvPr id="17" name="Shape 17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8363E194-B867-4359-AA09-B44E71F81CCC}"/>
            </a:ext>
          </a:extLst>
        </xdr:cNvPr>
        <xdr:cNvSpPr/>
      </xdr:nvSpPr>
      <xdr:spPr>
        <a:xfrm>
          <a:off x="4455511" y="1054531"/>
          <a:ext cx="867600" cy="276225"/>
        </a:xfrm>
        <a:prstGeom prst="roundRect">
          <a:avLst>
            <a:gd name="adj" fmla="val 16667"/>
          </a:avLst>
        </a:prstGeom>
        <a:solidFill>
          <a:srgbClr val="EBF6FF"/>
        </a:solidFill>
        <a:ln>
          <a:solidFill>
            <a:srgbClr val="023F71"/>
          </a:solidFill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rgbClr val="023F71"/>
              </a:solidFill>
              <a:latin typeface="Calibri"/>
              <a:ea typeface="Calibri"/>
              <a:cs typeface="Calibri"/>
              <a:sym typeface="Calibri"/>
            </a:rPr>
            <a:t>Grupo G</a:t>
          </a:r>
          <a:endParaRPr sz="1200" b="1">
            <a:solidFill>
              <a:srgbClr val="023F71"/>
            </a:solidFill>
            <a:latin typeface="Calibri"/>
            <a:ea typeface="Calibri"/>
            <a:cs typeface="Calibri"/>
          </a:endParaRPr>
        </a:p>
      </xdr:txBody>
    </xdr:sp>
    <xdr:clientData fLocksWithSheet="0"/>
  </xdr:oneCellAnchor>
  <xdr:oneCellAnchor>
    <xdr:from>
      <xdr:col>6</xdr:col>
      <xdr:colOff>347095</xdr:colOff>
      <xdr:row>3</xdr:row>
      <xdr:rowOff>23110</xdr:rowOff>
    </xdr:from>
    <xdr:ext cx="866775" cy="276225"/>
    <xdr:sp macro="" textlink="">
      <xdr:nvSpPr>
        <xdr:cNvPr id="18" name="Shape 14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C7E3F140-2C0D-4330-AAF5-DD04F928CA7E}"/>
            </a:ext>
          </a:extLst>
        </xdr:cNvPr>
        <xdr:cNvSpPr/>
      </xdr:nvSpPr>
      <xdr:spPr>
        <a:xfrm>
          <a:off x="2224881" y="1064056"/>
          <a:ext cx="866775" cy="276225"/>
        </a:xfrm>
        <a:prstGeom prst="roundRect">
          <a:avLst>
            <a:gd name="adj" fmla="val 16667"/>
          </a:avLst>
        </a:prstGeom>
        <a:solidFill>
          <a:srgbClr val="EBF6FF"/>
        </a:solidFill>
        <a:ln>
          <a:solidFill>
            <a:srgbClr val="023F71"/>
          </a:solidFill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rgbClr val="023F71"/>
              </a:solidFill>
              <a:latin typeface="Calibri"/>
              <a:ea typeface="Calibri"/>
              <a:cs typeface="Calibri"/>
              <a:sym typeface="Calibri"/>
            </a:rPr>
            <a:t>Grupo E</a:t>
          </a:r>
          <a:endParaRPr sz="1400" b="1">
            <a:solidFill>
              <a:srgbClr val="023F71"/>
            </a:solidFill>
          </a:endParaRPr>
        </a:p>
      </xdr:txBody>
    </xdr:sp>
    <xdr:clientData fLocksWithSheet="0"/>
  </xdr:oneCellAnchor>
  <xdr:oneCellAnchor>
    <xdr:from>
      <xdr:col>7</xdr:col>
      <xdr:colOff>148228</xdr:colOff>
      <xdr:row>3</xdr:row>
      <xdr:rowOff>16760</xdr:rowOff>
    </xdr:from>
    <xdr:ext cx="867600" cy="276225"/>
    <xdr:sp macro="" textlink="">
      <xdr:nvSpPr>
        <xdr:cNvPr id="19" name="Shape 16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5C679652-A565-4E8F-95AA-F8E254947227}"/>
            </a:ext>
          </a:extLst>
        </xdr:cNvPr>
        <xdr:cNvSpPr/>
      </xdr:nvSpPr>
      <xdr:spPr>
        <a:xfrm>
          <a:off x="3339103" y="1057706"/>
          <a:ext cx="867600" cy="276225"/>
        </a:xfrm>
        <a:prstGeom prst="roundRect">
          <a:avLst>
            <a:gd name="adj" fmla="val 16667"/>
          </a:avLst>
        </a:prstGeom>
        <a:solidFill>
          <a:srgbClr val="EBF6FF"/>
        </a:solidFill>
        <a:ln>
          <a:solidFill>
            <a:srgbClr val="023F71"/>
          </a:solidFill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rgbClr val="023F71"/>
              </a:solidFill>
              <a:latin typeface="Calibri"/>
              <a:ea typeface="Calibri"/>
              <a:cs typeface="Calibri"/>
              <a:sym typeface="Calibri"/>
            </a:rPr>
            <a:t>Grupo F</a:t>
          </a:r>
          <a:endParaRPr sz="1400" b="1">
            <a:solidFill>
              <a:srgbClr val="023F71"/>
            </a:solidFill>
          </a:endParaRPr>
        </a:p>
      </xdr:txBody>
    </xdr:sp>
    <xdr:clientData fLocksWithSheet="0"/>
  </xdr:oneCellAnchor>
  <xdr:oneCellAnchor>
    <xdr:from>
      <xdr:col>19</xdr:col>
      <xdr:colOff>47625</xdr:colOff>
      <xdr:row>1</xdr:row>
      <xdr:rowOff>123825</xdr:rowOff>
    </xdr:from>
    <xdr:ext cx="3538652" cy="968983"/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CDB3A84F-22BF-4111-8CD7-3D19DBCC1CD3}"/>
            </a:ext>
          </a:extLst>
        </xdr:cNvPr>
        <xdr:cNvSpPr/>
      </xdr:nvSpPr>
      <xdr:spPr>
        <a:xfrm>
          <a:off x="8534400" y="476250"/>
          <a:ext cx="3538652" cy="968983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s-ES" sz="2800" b="1" cap="none" spc="0">
              <a:ln w="9525">
                <a:solidFill>
                  <a:srgbClr val="023F71"/>
                </a:solidFill>
                <a:prstDash val="solid"/>
              </a:ln>
              <a:solidFill>
                <a:srgbClr val="023F7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FIFA CLUB</a:t>
          </a:r>
        </a:p>
        <a:p>
          <a:pPr algn="ctr"/>
          <a:r>
            <a:rPr lang="es-ES" sz="2800" b="1" cap="none" spc="0">
              <a:ln w="9525">
                <a:solidFill>
                  <a:srgbClr val="023F71"/>
                </a:solidFill>
                <a:prstDash val="solid"/>
              </a:ln>
              <a:solidFill>
                <a:srgbClr val="023F7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WORLD CUP 2025</a:t>
          </a:r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181449</xdr:colOff>
      <xdr:row>2</xdr:row>
      <xdr:rowOff>885</xdr:rowOff>
    </xdr:from>
    <xdr:ext cx="867600" cy="276225"/>
    <xdr:sp macro="" textlink="">
      <xdr:nvSpPr>
        <xdr:cNvPr id="2" name="Shape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67A2CD7-F73E-4368-8DBD-EFC8AFC400B0}"/>
            </a:ext>
          </a:extLst>
        </xdr:cNvPr>
        <xdr:cNvSpPr/>
      </xdr:nvSpPr>
      <xdr:spPr>
        <a:xfrm>
          <a:off x="5977412" y="581910"/>
          <a:ext cx="867600" cy="276225"/>
        </a:xfrm>
        <a:prstGeom prst="roundRect">
          <a:avLst>
            <a:gd name="adj" fmla="val 16667"/>
          </a:avLst>
        </a:prstGeom>
        <a:solidFill>
          <a:srgbClr val="EBF6FF"/>
        </a:solidFill>
        <a:ln>
          <a:solidFill>
            <a:srgbClr val="023F71"/>
          </a:solidFill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rgbClr val="023F71"/>
              </a:solidFill>
              <a:latin typeface="Calibri"/>
              <a:ea typeface="Calibri"/>
              <a:cs typeface="Calibri"/>
              <a:sym typeface="Calibri"/>
            </a:rPr>
            <a:t>Grupo D</a:t>
          </a:r>
          <a:endParaRPr sz="1200" b="1">
            <a:solidFill>
              <a:srgbClr val="023F71"/>
            </a:solidFill>
            <a:latin typeface="Calibri"/>
            <a:ea typeface="Calibri"/>
            <a:cs typeface="Calibri"/>
          </a:endParaRPr>
        </a:p>
      </xdr:txBody>
    </xdr:sp>
    <xdr:clientData fLocksWithSheet="0"/>
  </xdr:oneCellAnchor>
  <xdr:oneCellAnchor>
    <xdr:from>
      <xdr:col>11</xdr:col>
      <xdr:colOff>74692</xdr:colOff>
      <xdr:row>1</xdr:row>
      <xdr:rowOff>232660</xdr:rowOff>
    </xdr:from>
    <xdr:ext cx="867600" cy="276225"/>
    <xdr:sp macro="" textlink="">
      <xdr:nvSpPr>
        <xdr:cNvPr id="3" name="Shape 1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4C09C4E-2A47-49AD-A6C9-653DBC25355B}"/>
            </a:ext>
          </a:extLst>
        </xdr:cNvPr>
        <xdr:cNvSpPr/>
      </xdr:nvSpPr>
      <xdr:spPr>
        <a:xfrm>
          <a:off x="4784805" y="580322"/>
          <a:ext cx="867600" cy="276225"/>
        </a:xfrm>
        <a:prstGeom prst="roundRect">
          <a:avLst>
            <a:gd name="adj" fmla="val 16667"/>
          </a:avLst>
        </a:prstGeom>
        <a:solidFill>
          <a:srgbClr val="EBF6FF"/>
        </a:solidFill>
        <a:ln>
          <a:solidFill>
            <a:srgbClr val="023F71"/>
          </a:solidFill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rgbClr val="023F71"/>
              </a:solidFill>
              <a:latin typeface="Calibri"/>
              <a:ea typeface="Calibri"/>
              <a:cs typeface="Calibri"/>
              <a:sym typeface="Calibri"/>
            </a:rPr>
            <a:t>Grupo C</a:t>
          </a:r>
          <a:endParaRPr sz="1200" b="1">
            <a:solidFill>
              <a:srgbClr val="023F71"/>
            </a:solidFill>
            <a:latin typeface="Calibri"/>
            <a:ea typeface="Calibri"/>
            <a:cs typeface="Calibri"/>
          </a:endParaRPr>
        </a:p>
      </xdr:txBody>
    </xdr:sp>
    <xdr:clientData fLocksWithSheet="0"/>
  </xdr:oneCellAnchor>
  <xdr:twoCellAnchor editAs="oneCell">
    <xdr:from>
      <xdr:col>1</xdr:col>
      <xdr:colOff>176213</xdr:colOff>
      <xdr:row>1</xdr:row>
      <xdr:rowOff>123825</xdr:rowOff>
    </xdr:from>
    <xdr:to>
      <xdr:col>3</xdr:col>
      <xdr:colOff>398144</xdr:colOff>
      <xdr:row>5</xdr:row>
      <xdr:rowOff>97154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6A5E27F1-DF30-4E92-A61B-727DB8E6BF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duotone>
            <a:prstClr val="black"/>
            <a:schemeClr val="accent1">
              <a:tint val="45000"/>
              <a:satMod val="400000"/>
            </a:schemeClr>
          </a:duotone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saturation sat="276000"/>
                  </a14:imgEffect>
                  <a14:imgEffect>
                    <a14:brightnessContrast bright="-42000" contrast="18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3388" y="476250"/>
          <a:ext cx="1033463" cy="1023938"/>
        </a:xfrm>
        <a:prstGeom prst="rect">
          <a:avLst/>
        </a:prstGeom>
        <a:noFill/>
      </xdr:spPr>
    </xdr:pic>
    <xdr:clientData/>
  </xdr:twoCellAnchor>
  <xdr:oneCellAnchor>
    <xdr:from>
      <xdr:col>6</xdr:col>
      <xdr:colOff>347776</xdr:colOff>
      <xdr:row>2</xdr:row>
      <xdr:rowOff>4060</xdr:rowOff>
    </xdr:from>
    <xdr:ext cx="866775" cy="276225"/>
    <xdr:sp macro="" textlink="">
      <xdr:nvSpPr>
        <xdr:cNvPr id="6" name="Shape 1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C0118192-4B9C-498F-A58D-7C6DC792A785}"/>
            </a:ext>
          </a:extLst>
        </xdr:cNvPr>
        <xdr:cNvSpPr/>
      </xdr:nvSpPr>
      <xdr:spPr>
        <a:xfrm>
          <a:off x="2367076" y="585085"/>
          <a:ext cx="866775" cy="276225"/>
        </a:xfrm>
        <a:prstGeom prst="roundRect">
          <a:avLst>
            <a:gd name="adj" fmla="val 16667"/>
          </a:avLst>
        </a:prstGeom>
        <a:solidFill>
          <a:srgbClr val="EBF6FF"/>
        </a:solidFill>
        <a:ln>
          <a:solidFill>
            <a:srgbClr val="023F71"/>
          </a:solidFill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rgbClr val="023F71"/>
              </a:solidFill>
              <a:latin typeface="Calibri"/>
              <a:ea typeface="Calibri"/>
              <a:cs typeface="Calibri"/>
              <a:sym typeface="Calibri"/>
            </a:rPr>
            <a:t>Grupo A</a:t>
          </a:r>
          <a:endParaRPr sz="1400" b="1">
            <a:solidFill>
              <a:srgbClr val="023F71"/>
            </a:solidFill>
          </a:endParaRPr>
        </a:p>
      </xdr:txBody>
    </xdr:sp>
    <xdr:clientData fLocksWithSheet="0"/>
  </xdr:oneCellAnchor>
  <xdr:oneCellAnchor>
    <xdr:from>
      <xdr:col>7</xdr:col>
      <xdr:colOff>148909</xdr:colOff>
      <xdr:row>1</xdr:row>
      <xdr:rowOff>235835</xdr:rowOff>
    </xdr:from>
    <xdr:ext cx="867600" cy="276225"/>
    <xdr:sp macro="" textlink="">
      <xdr:nvSpPr>
        <xdr:cNvPr id="7" name="Shape 1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3DDD7EE4-EC91-41B5-87C6-A2D2951B4156}"/>
            </a:ext>
          </a:extLst>
        </xdr:cNvPr>
        <xdr:cNvSpPr/>
      </xdr:nvSpPr>
      <xdr:spPr>
        <a:xfrm>
          <a:off x="3577909" y="578735"/>
          <a:ext cx="867600" cy="276225"/>
        </a:xfrm>
        <a:prstGeom prst="roundRect">
          <a:avLst>
            <a:gd name="adj" fmla="val 16667"/>
          </a:avLst>
        </a:prstGeom>
        <a:solidFill>
          <a:srgbClr val="023F71"/>
        </a:solidFill>
        <a:ln>
          <a:solidFill>
            <a:srgbClr val="023F71"/>
          </a:solidFill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rgbClr val="EBF6FF"/>
              </a:solidFill>
              <a:latin typeface="Calibri"/>
              <a:ea typeface="Calibri"/>
              <a:cs typeface="Calibri"/>
              <a:sym typeface="Calibri"/>
            </a:rPr>
            <a:t>Grupo B</a:t>
          </a:r>
          <a:endParaRPr sz="1400" b="1">
            <a:solidFill>
              <a:srgbClr val="EBF6FF"/>
            </a:solidFill>
          </a:endParaRPr>
        </a:p>
      </xdr:txBody>
    </xdr:sp>
    <xdr:clientData fLocksWithSheet="0"/>
  </xdr:oneCellAnchor>
  <xdr:oneCellAnchor>
    <xdr:from>
      <xdr:col>14</xdr:col>
      <xdr:colOff>180768</xdr:colOff>
      <xdr:row>3</xdr:row>
      <xdr:rowOff>19935</xdr:rowOff>
    </xdr:from>
    <xdr:ext cx="867600" cy="276225"/>
    <xdr:sp macro="" textlink="">
      <xdr:nvSpPr>
        <xdr:cNvPr id="8" name="Shape 15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709399D4-BFA0-4E41-8134-E122640C1A16}"/>
            </a:ext>
          </a:extLst>
        </xdr:cNvPr>
        <xdr:cNvSpPr/>
      </xdr:nvSpPr>
      <xdr:spPr>
        <a:xfrm>
          <a:off x="5976731" y="1048635"/>
          <a:ext cx="867600" cy="276225"/>
        </a:xfrm>
        <a:prstGeom prst="roundRect">
          <a:avLst>
            <a:gd name="adj" fmla="val 16667"/>
          </a:avLst>
        </a:prstGeom>
        <a:solidFill>
          <a:srgbClr val="EBF6FF"/>
        </a:solidFill>
        <a:ln>
          <a:solidFill>
            <a:srgbClr val="023F71"/>
          </a:solidFill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rgbClr val="023F71"/>
              </a:solidFill>
              <a:latin typeface="Calibri"/>
              <a:ea typeface="Calibri"/>
              <a:cs typeface="Calibri"/>
              <a:sym typeface="Calibri"/>
            </a:rPr>
            <a:t>Grupo H</a:t>
          </a:r>
          <a:endParaRPr sz="1200" b="1">
            <a:solidFill>
              <a:srgbClr val="023F71"/>
            </a:solidFill>
            <a:latin typeface="Calibri"/>
            <a:ea typeface="Calibri"/>
            <a:cs typeface="Calibri"/>
          </a:endParaRPr>
        </a:p>
      </xdr:txBody>
    </xdr:sp>
    <xdr:clientData fLocksWithSheet="0"/>
  </xdr:oneCellAnchor>
  <xdr:oneCellAnchor>
    <xdr:from>
      <xdr:col>11</xdr:col>
      <xdr:colOff>74011</xdr:colOff>
      <xdr:row>3</xdr:row>
      <xdr:rowOff>13585</xdr:rowOff>
    </xdr:from>
    <xdr:ext cx="867600" cy="276225"/>
    <xdr:sp macro="" textlink="">
      <xdr:nvSpPr>
        <xdr:cNvPr id="9" name="Shape 17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57630776-7DB9-48DF-B01F-1DF73D4B6F55}"/>
            </a:ext>
          </a:extLst>
        </xdr:cNvPr>
        <xdr:cNvSpPr/>
      </xdr:nvSpPr>
      <xdr:spPr>
        <a:xfrm>
          <a:off x="4784124" y="1042285"/>
          <a:ext cx="867600" cy="276225"/>
        </a:xfrm>
        <a:prstGeom prst="roundRect">
          <a:avLst>
            <a:gd name="adj" fmla="val 16667"/>
          </a:avLst>
        </a:prstGeom>
        <a:solidFill>
          <a:srgbClr val="EBF6FF"/>
        </a:solidFill>
        <a:ln>
          <a:solidFill>
            <a:srgbClr val="023F71"/>
          </a:solidFill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rgbClr val="023F71"/>
              </a:solidFill>
              <a:latin typeface="Calibri"/>
              <a:ea typeface="Calibri"/>
              <a:cs typeface="Calibri"/>
              <a:sym typeface="Calibri"/>
            </a:rPr>
            <a:t>Grupo G</a:t>
          </a:r>
          <a:endParaRPr sz="1200" b="1">
            <a:solidFill>
              <a:srgbClr val="023F71"/>
            </a:solidFill>
            <a:latin typeface="Calibri"/>
            <a:ea typeface="Calibri"/>
            <a:cs typeface="Calibri"/>
          </a:endParaRPr>
        </a:p>
      </xdr:txBody>
    </xdr:sp>
    <xdr:clientData fLocksWithSheet="0"/>
  </xdr:oneCellAnchor>
  <xdr:oneCellAnchor>
    <xdr:from>
      <xdr:col>6</xdr:col>
      <xdr:colOff>347095</xdr:colOff>
      <xdr:row>3</xdr:row>
      <xdr:rowOff>23110</xdr:rowOff>
    </xdr:from>
    <xdr:ext cx="866775" cy="276225"/>
    <xdr:sp macro="" textlink="">
      <xdr:nvSpPr>
        <xdr:cNvPr id="10" name="Shape 14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A9582BEA-165C-4AC4-BD17-BF0BA838AD00}"/>
            </a:ext>
          </a:extLst>
        </xdr:cNvPr>
        <xdr:cNvSpPr/>
      </xdr:nvSpPr>
      <xdr:spPr>
        <a:xfrm>
          <a:off x="2366395" y="1051810"/>
          <a:ext cx="866775" cy="276225"/>
        </a:xfrm>
        <a:prstGeom prst="roundRect">
          <a:avLst>
            <a:gd name="adj" fmla="val 16667"/>
          </a:avLst>
        </a:prstGeom>
        <a:solidFill>
          <a:srgbClr val="EBF6FF"/>
        </a:solidFill>
        <a:ln>
          <a:solidFill>
            <a:srgbClr val="023F71"/>
          </a:solidFill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rgbClr val="023F71"/>
              </a:solidFill>
              <a:latin typeface="Calibri"/>
              <a:ea typeface="Calibri"/>
              <a:cs typeface="Calibri"/>
              <a:sym typeface="Calibri"/>
            </a:rPr>
            <a:t>Grupo E</a:t>
          </a:r>
          <a:endParaRPr sz="1400" b="1">
            <a:solidFill>
              <a:srgbClr val="023F71"/>
            </a:solidFill>
          </a:endParaRPr>
        </a:p>
      </xdr:txBody>
    </xdr:sp>
    <xdr:clientData fLocksWithSheet="0"/>
  </xdr:oneCellAnchor>
  <xdr:oneCellAnchor>
    <xdr:from>
      <xdr:col>7</xdr:col>
      <xdr:colOff>148228</xdr:colOff>
      <xdr:row>3</xdr:row>
      <xdr:rowOff>16760</xdr:rowOff>
    </xdr:from>
    <xdr:ext cx="867600" cy="276225"/>
    <xdr:sp macro="" textlink="">
      <xdr:nvSpPr>
        <xdr:cNvPr id="11" name="Shape 16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64E5AA4D-F685-4C5D-8FFE-6645A8AEBE45}"/>
            </a:ext>
          </a:extLst>
        </xdr:cNvPr>
        <xdr:cNvSpPr/>
      </xdr:nvSpPr>
      <xdr:spPr>
        <a:xfrm>
          <a:off x="3577228" y="1045460"/>
          <a:ext cx="867600" cy="276225"/>
        </a:xfrm>
        <a:prstGeom prst="roundRect">
          <a:avLst>
            <a:gd name="adj" fmla="val 16667"/>
          </a:avLst>
        </a:prstGeom>
        <a:solidFill>
          <a:srgbClr val="EBF6FF"/>
        </a:solidFill>
        <a:ln>
          <a:solidFill>
            <a:srgbClr val="023F71"/>
          </a:solidFill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rgbClr val="023F71"/>
              </a:solidFill>
              <a:latin typeface="Calibri"/>
              <a:ea typeface="Calibri"/>
              <a:cs typeface="Calibri"/>
              <a:sym typeface="Calibri"/>
            </a:rPr>
            <a:t>Grupo F</a:t>
          </a:r>
          <a:endParaRPr sz="1400" b="1">
            <a:solidFill>
              <a:srgbClr val="023F71"/>
            </a:solidFill>
          </a:endParaRPr>
        </a:p>
      </xdr:txBody>
    </xdr:sp>
    <xdr:clientData fLocksWithSheet="0"/>
  </xdr:oneCellAnchor>
  <xdr:oneCellAnchor>
    <xdr:from>
      <xdr:col>19</xdr:col>
      <xdr:colOff>47625</xdr:colOff>
      <xdr:row>1</xdr:row>
      <xdr:rowOff>123825</xdr:rowOff>
    </xdr:from>
    <xdr:ext cx="3538652" cy="968983"/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3061D951-161A-48D0-9D01-9730E704EAB6}"/>
            </a:ext>
          </a:extLst>
        </xdr:cNvPr>
        <xdr:cNvSpPr/>
      </xdr:nvSpPr>
      <xdr:spPr>
        <a:xfrm>
          <a:off x="9167813" y="476250"/>
          <a:ext cx="3538652" cy="968983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s-ES" sz="2800" b="1" cap="none" spc="0">
              <a:ln w="9525">
                <a:solidFill>
                  <a:srgbClr val="023F71"/>
                </a:solidFill>
                <a:prstDash val="solid"/>
              </a:ln>
              <a:solidFill>
                <a:srgbClr val="023F7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FIFA CLUB</a:t>
          </a:r>
        </a:p>
        <a:p>
          <a:pPr algn="ctr"/>
          <a:r>
            <a:rPr lang="es-ES" sz="2800" b="1" cap="none" spc="0">
              <a:ln w="9525">
                <a:solidFill>
                  <a:srgbClr val="023F71"/>
                </a:solidFill>
                <a:prstDash val="solid"/>
              </a:ln>
              <a:solidFill>
                <a:srgbClr val="023F7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WORLD CUP 2025</a:t>
          </a:r>
        </a:p>
      </xdr:txBody>
    </xdr:sp>
    <xdr:clientData/>
  </xdr:oneCellAnchor>
  <xdr:twoCellAnchor editAs="oneCell">
    <xdr:from>
      <xdr:col>17</xdr:col>
      <xdr:colOff>364520</xdr:colOff>
      <xdr:row>1</xdr:row>
      <xdr:rowOff>71803</xdr:rowOff>
    </xdr:from>
    <xdr:to>
      <xdr:col>17</xdr:col>
      <xdr:colOff>791534</xdr:colOff>
      <xdr:row>5</xdr:row>
      <xdr:rowOff>74747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E1D58DE1-CC0F-42E5-B181-8D3193F18A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2620" y="424228"/>
          <a:ext cx="427014" cy="1050694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181449</xdr:colOff>
      <xdr:row>2</xdr:row>
      <xdr:rowOff>885</xdr:rowOff>
    </xdr:from>
    <xdr:ext cx="867600" cy="276225"/>
    <xdr:sp macro="" textlink="">
      <xdr:nvSpPr>
        <xdr:cNvPr id="2" name="Shape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9D1634B-BAFA-4EA2-8306-9E380DB69977}"/>
            </a:ext>
          </a:extLst>
        </xdr:cNvPr>
        <xdr:cNvSpPr/>
      </xdr:nvSpPr>
      <xdr:spPr>
        <a:xfrm>
          <a:off x="5977412" y="581910"/>
          <a:ext cx="867600" cy="276225"/>
        </a:xfrm>
        <a:prstGeom prst="roundRect">
          <a:avLst>
            <a:gd name="adj" fmla="val 16667"/>
          </a:avLst>
        </a:prstGeom>
        <a:solidFill>
          <a:srgbClr val="EBF6FF"/>
        </a:solidFill>
        <a:ln>
          <a:solidFill>
            <a:srgbClr val="023F71"/>
          </a:solidFill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rgbClr val="023F71"/>
              </a:solidFill>
              <a:latin typeface="Calibri"/>
              <a:ea typeface="Calibri"/>
              <a:cs typeface="Calibri"/>
              <a:sym typeface="Calibri"/>
            </a:rPr>
            <a:t>Grupo D</a:t>
          </a:r>
          <a:endParaRPr sz="1200" b="1">
            <a:solidFill>
              <a:srgbClr val="023F71"/>
            </a:solidFill>
            <a:latin typeface="Calibri"/>
            <a:ea typeface="Calibri"/>
            <a:cs typeface="Calibri"/>
          </a:endParaRPr>
        </a:p>
      </xdr:txBody>
    </xdr:sp>
    <xdr:clientData fLocksWithSheet="0"/>
  </xdr:oneCellAnchor>
  <xdr:oneCellAnchor>
    <xdr:from>
      <xdr:col>11</xdr:col>
      <xdr:colOff>74692</xdr:colOff>
      <xdr:row>1</xdr:row>
      <xdr:rowOff>232660</xdr:rowOff>
    </xdr:from>
    <xdr:ext cx="867600" cy="276225"/>
    <xdr:sp macro="" textlink="">
      <xdr:nvSpPr>
        <xdr:cNvPr id="3" name="Shape 1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72FB527-01FF-4DF8-BE1E-D7EEF6223998}"/>
            </a:ext>
          </a:extLst>
        </xdr:cNvPr>
        <xdr:cNvSpPr/>
      </xdr:nvSpPr>
      <xdr:spPr>
        <a:xfrm>
          <a:off x="4784805" y="580322"/>
          <a:ext cx="867600" cy="276225"/>
        </a:xfrm>
        <a:prstGeom prst="roundRect">
          <a:avLst>
            <a:gd name="adj" fmla="val 16667"/>
          </a:avLst>
        </a:prstGeom>
        <a:solidFill>
          <a:srgbClr val="023F71"/>
        </a:solidFill>
        <a:ln>
          <a:solidFill>
            <a:srgbClr val="023F71"/>
          </a:solidFill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rgbClr val="EBF6FF"/>
              </a:solidFill>
              <a:latin typeface="Calibri"/>
              <a:ea typeface="Calibri"/>
              <a:cs typeface="Calibri"/>
              <a:sym typeface="Calibri"/>
            </a:rPr>
            <a:t>Grupo</a:t>
          </a:r>
          <a:r>
            <a:rPr lang="en-US" sz="1200" b="1">
              <a:solidFill>
                <a:srgbClr val="023F71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lang="en-US" sz="1200" b="1">
              <a:solidFill>
                <a:srgbClr val="EBF6FF"/>
              </a:solidFill>
              <a:latin typeface="Calibri"/>
              <a:ea typeface="Calibri"/>
              <a:cs typeface="Calibri"/>
              <a:sym typeface="Calibri"/>
            </a:rPr>
            <a:t>C</a:t>
          </a:r>
          <a:endParaRPr sz="1200" b="1">
            <a:solidFill>
              <a:srgbClr val="EBF6FF"/>
            </a:solidFill>
            <a:latin typeface="Calibri"/>
            <a:ea typeface="Calibri"/>
            <a:cs typeface="Calibri"/>
          </a:endParaRPr>
        </a:p>
      </xdr:txBody>
    </xdr:sp>
    <xdr:clientData fLocksWithSheet="0"/>
  </xdr:oneCellAnchor>
  <xdr:twoCellAnchor editAs="oneCell">
    <xdr:from>
      <xdr:col>1</xdr:col>
      <xdr:colOff>176213</xdr:colOff>
      <xdr:row>1</xdr:row>
      <xdr:rowOff>123825</xdr:rowOff>
    </xdr:from>
    <xdr:to>
      <xdr:col>3</xdr:col>
      <xdr:colOff>395288</xdr:colOff>
      <xdr:row>5</xdr:row>
      <xdr:rowOff>97154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498B3165-6EE9-487A-8E5D-D6EE163B3C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duotone>
            <a:prstClr val="black"/>
            <a:schemeClr val="accent1">
              <a:tint val="45000"/>
              <a:satMod val="400000"/>
            </a:schemeClr>
          </a:duotone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saturation sat="276000"/>
                  </a14:imgEffect>
                  <a14:imgEffect>
                    <a14:brightnessContrast bright="-42000" contrast="18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3388" y="476250"/>
          <a:ext cx="1033463" cy="1023938"/>
        </a:xfrm>
        <a:prstGeom prst="rect">
          <a:avLst/>
        </a:prstGeom>
        <a:noFill/>
      </xdr:spPr>
    </xdr:pic>
    <xdr:clientData/>
  </xdr:twoCellAnchor>
  <xdr:oneCellAnchor>
    <xdr:from>
      <xdr:col>6</xdr:col>
      <xdr:colOff>347776</xdr:colOff>
      <xdr:row>2</xdr:row>
      <xdr:rowOff>4060</xdr:rowOff>
    </xdr:from>
    <xdr:ext cx="866775" cy="276225"/>
    <xdr:sp macro="" textlink="">
      <xdr:nvSpPr>
        <xdr:cNvPr id="6" name="Shape 1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A2A6F237-44E1-4024-A7C7-8AB92FBCA8E1}"/>
            </a:ext>
          </a:extLst>
        </xdr:cNvPr>
        <xdr:cNvSpPr/>
      </xdr:nvSpPr>
      <xdr:spPr>
        <a:xfrm>
          <a:off x="2367076" y="585085"/>
          <a:ext cx="866775" cy="276225"/>
        </a:xfrm>
        <a:prstGeom prst="roundRect">
          <a:avLst>
            <a:gd name="adj" fmla="val 16667"/>
          </a:avLst>
        </a:prstGeom>
        <a:solidFill>
          <a:srgbClr val="EBF6FF"/>
        </a:solidFill>
        <a:ln>
          <a:solidFill>
            <a:srgbClr val="023F71"/>
          </a:solidFill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rgbClr val="023F71"/>
              </a:solidFill>
              <a:latin typeface="Calibri"/>
              <a:ea typeface="Calibri"/>
              <a:cs typeface="Calibri"/>
              <a:sym typeface="Calibri"/>
            </a:rPr>
            <a:t>Grupo A</a:t>
          </a:r>
          <a:endParaRPr sz="1400" b="1">
            <a:solidFill>
              <a:srgbClr val="023F71"/>
            </a:solidFill>
          </a:endParaRPr>
        </a:p>
      </xdr:txBody>
    </xdr:sp>
    <xdr:clientData fLocksWithSheet="0"/>
  </xdr:oneCellAnchor>
  <xdr:oneCellAnchor>
    <xdr:from>
      <xdr:col>7</xdr:col>
      <xdr:colOff>148909</xdr:colOff>
      <xdr:row>1</xdr:row>
      <xdr:rowOff>235835</xdr:rowOff>
    </xdr:from>
    <xdr:ext cx="867600" cy="276225"/>
    <xdr:sp macro="" textlink="">
      <xdr:nvSpPr>
        <xdr:cNvPr id="7" name="Shape 1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7068F6B8-BDAD-4273-9FC1-E0A0CC47E358}"/>
            </a:ext>
          </a:extLst>
        </xdr:cNvPr>
        <xdr:cNvSpPr/>
      </xdr:nvSpPr>
      <xdr:spPr>
        <a:xfrm>
          <a:off x="3577909" y="578735"/>
          <a:ext cx="867600" cy="276225"/>
        </a:xfrm>
        <a:prstGeom prst="roundRect">
          <a:avLst>
            <a:gd name="adj" fmla="val 16667"/>
          </a:avLst>
        </a:prstGeom>
        <a:solidFill>
          <a:srgbClr val="EBF6FF"/>
        </a:solidFill>
        <a:ln>
          <a:solidFill>
            <a:srgbClr val="023F71"/>
          </a:solidFill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rgbClr val="023F71"/>
              </a:solidFill>
              <a:latin typeface="Calibri"/>
              <a:ea typeface="Calibri"/>
              <a:cs typeface="Calibri"/>
              <a:sym typeface="Calibri"/>
            </a:rPr>
            <a:t>Grupo B</a:t>
          </a:r>
          <a:endParaRPr sz="1400" b="1">
            <a:solidFill>
              <a:srgbClr val="023F71"/>
            </a:solidFill>
          </a:endParaRPr>
        </a:p>
      </xdr:txBody>
    </xdr:sp>
    <xdr:clientData fLocksWithSheet="0"/>
  </xdr:oneCellAnchor>
  <xdr:oneCellAnchor>
    <xdr:from>
      <xdr:col>14</xdr:col>
      <xdr:colOff>180768</xdr:colOff>
      <xdr:row>3</xdr:row>
      <xdr:rowOff>19935</xdr:rowOff>
    </xdr:from>
    <xdr:ext cx="867600" cy="276225"/>
    <xdr:sp macro="" textlink="">
      <xdr:nvSpPr>
        <xdr:cNvPr id="8" name="Shape 15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50978E29-9675-4B90-87E4-0FB1758EC243}"/>
            </a:ext>
          </a:extLst>
        </xdr:cNvPr>
        <xdr:cNvSpPr/>
      </xdr:nvSpPr>
      <xdr:spPr>
        <a:xfrm>
          <a:off x="5976731" y="1048635"/>
          <a:ext cx="867600" cy="276225"/>
        </a:xfrm>
        <a:prstGeom prst="roundRect">
          <a:avLst>
            <a:gd name="adj" fmla="val 16667"/>
          </a:avLst>
        </a:prstGeom>
        <a:solidFill>
          <a:srgbClr val="EBF6FF"/>
        </a:solidFill>
        <a:ln>
          <a:solidFill>
            <a:srgbClr val="023F71"/>
          </a:solidFill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rgbClr val="023F71"/>
              </a:solidFill>
              <a:latin typeface="Calibri"/>
              <a:ea typeface="Calibri"/>
              <a:cs typeface="Calibri"/>
              <a:sym typeface="Calibri"/>
            </a:rPr>
            <a:t>Grupo H</a:t>
          </a:r>
          <a:endParaRPr sz="1200" b="1">
            <a:solidFill>
              <a:srgbClr val="023F71"/>
            </a:solidFill>
            <a:latin typeface="Calibri"/>
            <a:ea typeface="Calibri"/>
            <a:cs typeface="Calibri"/>
          </a:endParaRPr>
        </a:p>
      </xdr:txBody>
    </xdr:sp>
    <xdr:clientData fLocksWithSheet="0"/>
  </xdr:oneCellAnchor>
  <xdr:oneCellAnchor>
    <xdr:from>
      <xdr:col>11</xdr:col>
      <xdr:colOff>74011</xdr:colOff>
      <xdr:row>3</xdr:row>
      <xdr:rowOff>13585</xdr:rowOff>
    </xdr:from>
    <xdr:ext cx="867600" cy="276225"/>
    <xdr:sp macro="" textlink="">
      <xdr:nvSpPr>
        <xdr:cNvPr id="9" name="Shape 17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4C11FA81-1C89-472B-9777-1135B65484FC}"/>
            </a:ext>
          </a:extLst>
        </xdr:cNvPr>
        <xdr:cNvSpPr/>
      </xdr:nvSpPr>
      <xdr:spPr>
        <a:xfrm>
          <a:off x="4784124" y="1042285"/>
          <a:ext cx="867600" cy="276225"/>
        </a:xfrm>
        <a:prstGeom prst="roundRect">
          <a:avLst>
            <a:gd name="adj" fmla="val 16667"/>
          </a:avLst>
        </a:prstGeom>
        <a:solidFill>
          <a:srgbClr val="EBF6FF"/>
        </a:solidFill>
        <a:ln>
          <a:solidFill>
            <a:srgbClr val="023F71"/>
          </a:solidFill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rgbClr val="023F71"/>
              </a:solidFill>
              <a:latin typeface="Calibri"/>
              <a:ea typeface="Calibri"/>
              <a:cs typeface="Calibri"/>
              <a:sym typeface="Calibri"/>
            </a:rPr>
            <a:t>Grupo G</a:t>
          </a:r>
          <a:endParaRPr sz="1200" b="1">
            <a:solidFill>
              <a:srgbClr val="023F71"/>
            </a:solidFill>
            <a:latin typeface="Calibri"/>
            <a:ea typeface="Calibri"/>
            <a:cs typeface="Calibri"/>
          </a:endParaRPr>
        </a:p>
      </xdr:txBody>
    </xdr:sp>
    <xdr:clientData fLocksWithSheet="0"/>
  </xdr:oneCellAnchor>
  <xdr:oneCellAnchor>
    <xdr:from>
      <xdr:col>6</xdr:col>
      <xdr:colOff>347095</xdr:colOff>
      <xdr:row>3</xdr:row>
      <xdr:rowOff>23110</xdr:rowOff>
    </xdr:from>
    <xdr:ext cx="866775" cy="276225"/>
    <xdr:sp macro="" textlink="">
      <xdr:nvSpPr>
        <xdr:cNvPr id="10" name="Shape 14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4BAED56E-5C4E-4119-AD6B-80545E2D5DCC}"/>
            </a:ext>
          </a:extLst>
        </xdr:cNvPr>
        <xdr:cNvSpPr/>
      </xdr:nvSpPr>
      <xdr:spPr>
        <a:xfrm>
          <a:off x="2366395" y="1051810"/>
          <a:ext cx="866775" cy="276225"/>
        </a:xfrm>
        <a:prstGeom prst="roundRect">
          <a:avLst>
            <a:gd name="adj" fmla="val 16667"/>
          </a:avLst>
        </a:prstGeom>
        <a:solidFill>
          <a:srgbClr val="EBF6FF"/>
        </a:solidFill>
        <a:ln>
          <a:solidFill>
            <a:srgbClr val="023F71"/>
          </a:solidFill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rgbClr val="023F71"/>
              </a:solidFill>
              <a:latin typeface="Calibri"/>
              <a:ea typeface="Calibri"/>
              <a:cs typeface="Calibri"/>
              <a:sym typeface="Calibri"/>
            </a:rPr>
            <a:t>Grupo E</a:t>
          </a:r>
          <a:endParaRPr sz="1400" b="1">
            <a:solidFill>
              <a:srgbClr val="023F71"/>
            </a:solidFill>
          </a:endParaRPr>
        </a:p>
      </xdr:txBody>
    </xdr:sp>
    <xdr:clientData fLocksWithSheet="0"/>
  </xdr:oneCellAnchor>
  <xdr:oneCellAnchor>
    <xdr:from>
      <xdr:col>7</xdr:col>
      <xdr:colOff>148228</xdr:colOff>
      <xdr:row>3</xdr:row>
      <xdr:rowOff>16760</xdr:rowOff>
    </xdr:from>
    <xdr:ext cx="867600" cy="276225"/>
    <xdr:sp macro="" textlink="">
      <xdr:nvSpPr>
        <xdr:cNvPr id="11" name="Shape 16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958AABDF-D894-4290-923C-00A51A7B68A2}"/>
            </a:ext>
          </a:extLst>
        </xdr:cNvPr>
        <xdr:cNvSpPr/>
      </xdr:nvSpPr>
      <xdr:spPr>
        <a:xfrm>
          <a:off x="3577228" y="1045460"/>
          <a:ext cx="867600" cy="276225"/>
        </a:xfrm>
        <a:prstGeom prst="roundRect">
          <a:avLst>
            <a:gd name="adj" fmla="val 16667"/>
          </a:avLst>
        </a:prstGeom>
        <a:solidFill>
          <a:srgbClr val="EBF6FF"/>
        </a:solidFill>
        <a:ln>
          <a:solidFill>
            <a:srgbClr val="023F71"/>
          </a:solidFill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rgbClr val="023F71"/>
              </a:solidFill>
              <a:latin typeface="Calibri"/>
              <a:ea typeface="Calibri"/>
              <a:cs typeface="Calibri"/>
              <a:sym typeface="Calibri"/>
            </a:rPr>
            <a:t>Grupo F</a:t>
          </a:r>
          <a:endParaRPr sz="1400" b="1">
            <a:solidFill>
              <a:srgbClr val="023F71"/>
            </a:solidFill>
          </a:endParaRPr>
        </a:p>
      </xdr:txBody>
    </xdr:sp>
    <xdr:clientData fLocksWithSheet="0"/>
  </xdr:oneCellAnchor>
  <xdr:oneCellAnchor>
    <xdr:from>
      <xdr:col>19</xdr:col>
      <xdr:colOff>47625</xdr:colOff>
      <xdr:row>1</xdr:row>
      <xdr:rowOff>123825</xdr:rowOff>
    </xdr:from>
    <xdr:ext cx="3538652" cy="968983"/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12B640C3-EA06-4E12-BFF8-A3EC4C5A16EF}"/>
            </a:ext>
          </a:extLst>
        </xdr:cNvPr>
        <xdr:cNvSpPr/>
      </xdr:nvSpPr>
      <xdr:spPr>
        <a:xfrm>
          <a:off x="9167813" y="476250"/>
          <a:ext cx="3538652" cy="968983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s-ES" sz="2800" b="1" cap="none" spc="0">
              <a:ln w="9525">
                <a:solidFill>
                  <a:srgbClr val="023F71"/>
                </a:solidFill>
                <a:prstDash val="solid"/>
              </a:ln>
              <a:solidFill>
                <a:srgbClr val="023F7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FIFA CLUB</a:t>
          </a:r>
        </a:p>
        <a:p>
          <a:pPr algn="ctr"/>
          <a:r>
            <a:rPr lang="es-ES" sz="2800" b="1" cap="none" spc="0">
              <a:ln w="9525">
                <a:solidFill>
                  <a:srgbClr val="023F71"/>
                </a:solidFill>
                <a:prstDash val="solid"/>
              </a:ln>
              <a:solidFill>
                <a:srgbClr val="023F7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WORLD CUP 2025</a:t>
          </a:r>
        </a:p>
      </xdr:txBody>
    </xdr:sp>
    <xdr:clientData/>
  </xdr:oneCellAnchor>
  <xdr:twoCellAnchor editAs="oneCell">
    <xdr:from>
      <xdr:col>17</xdr:col>
      <xdr:colOff>364520</xdr:colOff>
      <xdr:row>1</xdr:row>
      <xdr:rowOff>71803</xdr:rowOff>
    </xdr:from>
    <xdr:to>
      <xdr:col>17</xdr:col>
      <xdr:colOff>791534</xdr:colOff>
      <xdr:row>5</xdr:row>
      <xdr:rowOff>74747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2318AF31-9E63-46A9-B532-2D6C3A6628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2620" y="424228"/>
          <a:ext cx="427014" cy="1050694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181449</xdr:colOff>
      <xdr:row>2</xdr:row>
      <xdr:rowOff>885</xdr:rowOff>
    </xdr:from>
    <xdr:ext cx="867600" cy="276225"/>
    <xdr:sp macro="" textlink="">
      <xdr:nvSpPr>
        <xdr:cNvPr id="2" name="Shape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98FB2F2-3C6C-4DD1-BA1B-C719106D162E}"/>
            </a:ext>
          </a:extLst>
        </xdr:cNvPr>
        <xdr:cNvSpPr/>
      </xdr:nvSpPr>
      <xdr:spPr>
        <a:xfrm>
          <a:off x="5977412" y="581910"/>
          <a:ext cx="867600" cy="276225"/>
        </a:xfrm>
        <a:prstGeom prst="roundRect">
          <a:avLst>
            <a:gd name="adj" fmla="val 16667"/>
          </a:avLst>
        </a:prstGeom>
        <a:solidFill>
          <a:srgbClr val="023F71"/>
        </a:solidFill>
        <a:ln>
          <a:solidFill>
            <a:srgbClr val="023F71"/>
          </a:solidFill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rgbClr val="EBF6FF"/>
              </a:solidFill>
              <a:latin typeface="Calibri"/>
              <a:ea typeface="Calibri"/>
              <a:cs typeface="Calibri"/>
              <a:sym typeface="Calibri"/>
            </a:rPr>
            <a:t>Grupo D</a:t>
          </a:r>
          <a:endParaRPr sz="1200" b="1">
            <a:solidFill>
              <a:srgbClr val="EBF6FF"/>
            </a:solidFill>
            <a:latin typeface="Calibri"/>
            <a:ea typeface="Calibri"/>
            <a:cs typeface="Calibri"/>
          </a:endParaRPr>
        </a:p>
      </xdr:txBody>
    </xdr:sp>
    <xdr:clientData fLocksWithSheet="0"/>
  </xdr:oneCellAnchor>
  <xdr:oneCellAnchor>
    <xdr:from>
      <xdr:col>11</xdr:col>
      <xdr:colOff>74692</xdr:colOff>
      <xdr:row>1</xdr:row>
      <xdr:rowOff>232660</xdr:rowOff>
    </xdr:from>
    <xdr:ext cx="867600" cy="276225"/>
    <xdr:sp macro="" textlink="">
      <xdr:nvSpPr>
        <xdr:cNvPr id="3" name="Shape 1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3898DCF-E40C-4AFA-8056-7CFF7DCEE890}"/>
            </a:ext>
          </a:extLst>
        </xdr:cNvPr>
        <xdr:cNvSpPr/>
      </xdr:nvSpPr>
      <xdr:spPr>
        <a:xfrm>
          <a:off x="4784805" y="580322"/>
          <a:ext cx="867600" cy="276225"/>
        </a:xfrm>
        <a:prstGeom prst="roundRect">
          <a:avLst>
            <a:gd name="adj" fmla="val 16667"/>
          </a:avLst>
        </a:prstGeom>
        <a:solidFill>
          <a:srgbClr val="EBF6FF"/>
        </a:solidFill>
        <a:ln>
          <a:solidFill>
            <a:srgbClr val="023F71"/>
          </a:solidFill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rgbClr val="023F71"/>
              </a:solidFill>
              <a:latin typeface="Calibri"/>
              <a:ea typeface="Calibri"/>
              <a:cs typeface="Calibri"/>
              <a:sym typeface="Calibri"/>
            </a:rPr>
            <a:t>Grupo C</a:t>
          </a:r>
          <a:endParaRPr sz="1200" b="1">
            <a:solidFill>
              <a:srgbClr val="023F71"/>
            </a:solidFill>
            <a:latin typeface="Calibri"/>
            <a:ea typeface="Calibri"/>
            <a:cs typeface="Calibri"/>
          </a:endParaRPr>
        </a:p>
      </xdr:txBody>
    </xdr:sp>
    <xdr:clientData fLocksWithSheet="0"/>
  </xdr:oneCellAnchor>
  <xdr:twoCellAnchor editAs="oneCell">
    <xdr:from>
      <xdr:col>1</xdr:col>
      <xdr:colOff>176213</xdr:colOff>
      <xdr:row>1</xdr:row>
      <xdr:rowOff>123825</xdr:rowOff>
    </xdr:from>
    <xdr:to>
      <xdr:col>3</xdr:col>
      <xdr:colOff>395288</xdr:colOff>
      <xdr:row>5</xdr:row>
      <xdr:rowOff>97154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2B6FC397-271B-46E2-8491-2FF8012D88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duotone>
            <a:prstClr val="black"/>
            <a:schemeClr val="accent1">
              <a:tint val="45000"/>
              <a:satMod val="400000"/>
            </a:schemeClr>
          </a:duotone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saturation sat="276000"/>
                  </a14:imgEffect>
                  <a14:imgEffect>
                    <a14:brightnessContrast bright="-42000" contrast="18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3388" y="476250"/>
          <a:ext cx="1033463" cy="1023938"/>
        </a:xfrm>
        <a:prstGeom prst="rect">
          <a:avLst/>
        </a:prstGeom>
        <a:noFill/>
      </xdr:spPr>
    </xdr:pic>
    <xdr:clientData/>
  </xdr:twoCellAnchor>
  <xdr:oneCellAnchor>
    <xdr:from>
      <xdr:col>6</xdr:col>
      <xdr:colOff>347776</xdr:colOff>
      <xdr:row>2</xdr:row>
      <xdr:rowOff>4060</xdr:rowOff>
    </xdr:from>
    <xdr:ext cx="866775" cy="276225"/>
    <xdr:sp macro="" textlink="">
      <xdr:nvSpPr>
        <xdr:cNvPr id="6" name="Shape 1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1C7DB39B-3D5B-4771-AFD4-A00D27B77433}"/>
            </a:ext>
          </a:extLst>
        </xdr:cNvPr>
        <xdr:cNvSpPr/>
      </xdr:nvSpPr>
      <xdr:spPr>
        <a:xfrm>
          <a:off x="2367076" y="585085"/>
          <a:ext cx="866775" cy="276225"/>
        </a:xfrm>
        <a:prstGeom prst="roundRect">
          <a:avLst>
            <a:gd name="adj" fmla="val 16667"/>
          </a:avLst>
        </a:prstGeom>
        <a:solidFill>
          <a:srgbClr val="EBF6FF"/>
        </a:solidFill>
        <a:ln>
          <a:solidFill>
            <a:srgbClr val="023F71"/>
          </a:solidFill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rgbClr val="023F71"/>
              </a:solidFill>
              <a:latin typeface="Calibri"/>
              <a:ea typeface="Calibri"/>
              <a:cs typeface="Calibri"/>
              <a:sym typeface="Calibri"/>
            </a:rPr>
            <a:t>Grupo A</a:t>
          </a:r>
          <a:endParaRPr sz="1400" b="1">
            <a:solidFill>
              <a:srgbClr val="023F71"/>
            </a:solidFill>
          </a:endParaRPr>
        </a:p>
      </xdr:txBody>
    </xdr:sp>
    <xdr:clientData fLocksWithSheet="0"/>
  </xdr:oneCellAnchor>
  <xdr:oneCellAnchor>
    <xdr:from>
      <xdr:col>7</xdr:col>
      <xdr:colOff>148909</xdr:colOff>
      <xdr:row>1</xdr:row>
      <xdr:rowOff>235835</xdr:rowOff>
    </xdr:from>
    <xdr:ext cx="867600" cy="276225"/>
    <xdr:sp macro="" textlink="">
      <xdr:nvSpPr>
        <xdr:cNvPr id="7" name="Shape 1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4922BA5-950B-4230-B29B-B73CAEE336B4}"/>
            </a:ext>
          </a:extLst>
        </xdr:cNvPr>
        <xdr:cNvSpPr/>
      </xdr:nvSpPr>
      <xdr:spPr>
        <a:xfrm>
          <a:off x="3577909" y="578735"/>
          <a:ext cx="867600" cy="276225"/>
        </a:xfrm>
        <a:prstGeom prst="roundRect">
          <a:avLst>
            <a:gd name="adj" fmla="val 16667"/>
          </a:avLst>
        </a:prstGeom>
        <a:solidFill>
          <a:srgbClr val="EBF6FF"/>
        </a:solidFill>
        <a:ln>
          <a:solidFill>
            <a:srgbClr val="023F71"/>
          </a:solidFill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rgbClr val="023F71"/>
              </a:solidFill>
              <a:latin typeface="Calibri"/>
              <a:ea typeface="Calibri"/>
              <a:cs typeface="Calibri"/>
              <a:sym typeface="Calibri"/>
            </a:rPr>
            <a:t>Grupo B</a:t>
          </a:r>
          <a:endParaRPr sz="1400" b="1">
            <a:solidFill>
              <a:srgbClr val="023F71"/>
            </a:solidFill>
          </a:endParaRPr>
        </a:p>
      </xdr:txBody>
    </xdr:sp>
    <xdr:clientData fLocksWithSheet="0"/>
  </xdr:oneCellAnchor>
  <xdr:oneCellAnchor>
    <xdr:from>
      <xdr:col>14</xdr:col>
      <xdr:colOff>180768</xdr:colOff>
      <xdr:row>3</xdr:row>
      <xdr:rowOff>19935</xdr:rowOff>
    </xdr:from>
    <xdr:ext cx="867600" cy="276225"/>
    <xdr:sp macro="" textlink="">
      <xdr:nvSpPr>
        <xdr:cNvPr id="8" name="Shape 15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89C53A0F-367A-46E0-8C7F-BB7D8A43D6F1}"/>
            </a:ext>
          </a:extLst>
        </xdr:cNvPr>
        <xdr:cNvSpPr/>
      </xdr:nvSpPr>
      <xdr:spPr>
        <a:xfrm>
          <a:off x="5976731" y="1048635"/>
          <a:ext cx="867600" cy="276225"/>
        </a:xfrm>
        <a:prstGeom prst="roundRect">
          <a:avLst>
            <a:gd name="adj" fmla="val 16667"/>
          </a:avLst>
        </a:prstGeom>
        <a:solidFill>
          <a:srgbClr val="EBF6FF"/>
        </a:solidFill>
        <a:ln>
          <a:solidFill>
            <a:srgbClr val="023F71"/>
          </a:solidFill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rgbClr val="023F71"/>
              </a:solidFill>
              <a:latin typeface="Calibri"/>
              <a:ea typeface="Calibri"/>
              <a:cs typeface="Calibri"/>
              <a:sym typeface="Calibri"/>
            </a:rPr>
            <a:t>Grupo H</a:t>
          </a:r>
          <a:endParaRPr sz="1200" b="1">
            <a:solidFill>
              <a:srgbClr val="023F71"/>
            </a:solidFill>
            <a:latin typeface="Calibri"/>
            <a:ea typeface="Calibri"/>
            <a:cs typeface="Calibri"/>
          </a:endParaRPr>
        </a:p>
      </xdr:txBody>
    </xdr:sp>
    <xdr:clientData fLocksWithSheet="0"/>
  </xdr:oneCellAnchor>
  <xdr:oneCellAnchor>
    <xdr:from>
      <xdr:col>11</xdr:col>
      <xdr:colOff>74011</xdr:colOff>
      <xdr:row>3</xdr:row>
      <xdr:rowOff>13585</xdr:rowOff>
    </xdr:from>
    <xdr:ext cx="867600" cy="276225"/>
    <xdr:sp macro="" textlink="">
      <xdr:nvSpPr>
        <xdr:cNvPr id="9" name="Shape 17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E0041FD2-9E75-4FB2-B875-445E5ADBA558}"/>
            </a:ext>
          </a:extLst>
        </xdr:cNvPr>
        <xdr:cNvSpPr/>
      </xdr:nvSpPr>
      <xdr:spPr>
        <a:xfrm>
          <a:off x="4784124" y="1042285"/>
          <a:ext cx="867600" cy="276225"/>
        </a:xfrm>
        <a:prstGeom prst="roundRect">
          <a:avLst>
            <a:gd name="adj" fmla="val 16667"/>
          </a:avLst>
        </a:prstGeom>
        <a:solidFill>
          <a:srgbClr val="EBF6FF"/>
        </a:solidFill>
        <a:ln>
          <a:solidFill>
            <a:srgbClr val="023F71"/>
          </a:solidFill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rgbClr val="023F71"/>
              </a:solidFill>
              <a:latin typeface="Calibri"/>
              <a:ea typeface="Calibri"/>
              <a:cs typeface="Calibri"/>
              <a:sym typeface="Calibri"/>
            </a:rPr>
            <a:t>Grupo G</a:t>
          </a:r>
          <a:endParaRPr sz="1200" b="1">
            <a:solidFill>
              <a:srgbClr val="023F71"/>
            </a:solidFill>
            <a:latin typeface="Calibri"/>
            <a:ea typeface="Calibri"/>
            <a:cs typeface="Calibri"/>
          </a:endParaRPr>
        </a:p>
      </xdr:txBody>
    </xdr:sp>
    <xdr:clientData fLocksWithSheet="0"/>
  </xdr:oneCellAnchor>
  <xdr:oneCellAnchor>
    <xdr:from>
      <xdr:col>6</xdr:col>
      <xdr:colOff>347095</xdr:colOff>
      <xdr:row>3</xdr:row>
      <xdr:rowOff>23110</xdr:rowOff>
    </xdr:from>
    <xdr:ext cx="866775" cy="276225"/>
    <xdr:sp macro="" textlink="">
      <xdr:nvSpPr>
        <xdr:cNvPr id="10" name="Shape 14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47B872F9-0279-4F4E-B902-91BEB485701D}"/>
            </a:ext>
          </a:extLst>
        </xdr:cNvPr>
        <xdr:cNvSpPr/>
      </xdr:nvSpPr>
      <xdr:spPr>
        <a:xfrm>
          <a:off x="2366395" y="1051810"/>
          <a:ext cx="866775" cy="276225"/>
        </a:xfrm>
        <a:prstGeom prst="roundRect">
          <a:avLst>
            <a:gd name="adj" fmla="val 16667"/>
          </a:avLst>
        </a:prstGeom>
        <a:solidFill>
          <a:srgbClr val="EBF6FF"/>
        </a:solidFill>
        <a:ln>
          <a:solidFill>
            <a:srgbClr val="023F71"/>
          </a:solidFill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rgbClr val="023F71"/>
              </a:solidFill>
              <a:latin typeface="Calibri"/>
              <a:ea typeface="Calibri"/>
              <a:cs typeface="Calibri"/>
              <a:sym typeface="Calibri"/>
            </a:rPr>
            <a:t>Grupo E</a:t>
          </a:r>
          <a:endParaRPr sz="1400" b="1">
            <a:solidFill>
              <a:srgbClr val="023F71"/>
            </a:solidFill>
          </a:endParaRPr>
        </a:p>
      </xdr:txBody>
    </xdr:sp>
    <xdr:clientData fLocksWithSheet="0"/>
  </xdr:oneCellAnchor>
  <xdr:oneCellAnchor>
    <xdr:from>
      <xdr:col>7</xdr:col>
      <xdr:colOff>148228</xdr:colOff>
      <xdr:row>3</xdr:row>
      <xdr:rowOff>16760</xdr:rowOff>
    </xdr:from>
    <xdr:ext cx="867600" cy="276225"/>
    <xdr:sp macro="" textlink="">
      <xdr:nvSpPr>
        <xdr:cNvPr id="11" name="Shape 16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4203BA1B-B20D-46A5-8B1C-CA97CC6B4253}"/>
            </a:ext>
          </a:extLst>
        </xdr:cNvPr>
        <xdr:cNvSpPr/>
      </xdr:nvSpPr>
      <xdr:spPr>
        <a:xfrm>
          <a:off x="3577228" y="1045460"/>
          <a:ext cx="867600" cy="276225"/>
        </a:xfrm>
        <a:prstGeom prst="roundRect">
          <a:avLst>
            <a:gd name="adj" fmla="val 16667"/>
          </a:avLst>
        </a:prstGeom>
        <a:solidFill>
          <a:srgbClr val="EBF6FF"/>
        </a:solidFill>
        <a:ln>
          <a:solidFill>
            <a:srgbClr val="023F71"/>
          </a:solidFill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rgbClr val="023F71"/>
              </a:solidFill>
              <a:latin typeface="Calibri"/>
              <a:ea typeface="Calibri"/>
              <a:cs typeface="Calibri"/>
              <a:sym typeface="Calibri"/>
            </a:rPr>
            <a:t>Grupo F</a:t>
          </a:r>
          <a:endParaRPr sz="1400" b="1">
            <a:solidFill>
              <a:srgbClr val="023F71"/>
            </a:solidFill>
          </a:endParaRPr>
        </a:p>
      </xdr:txBody>
    </xdr:sp>
    <xdr:clientData fLocksWithSheet="0"/>
  </xdr:oneCellAnchor>
  <xdr:oneCellAnchor>
    <xdr:from>
      <xdr:col>19</xdr:col>
      <xdr:colOff>47625</xdr:colOff>
      <xdr:row>1</xdr:row>
      <xdr:rowOff>123825</xdr:rowOff>
    </xdr:from>
    <xdr:ext cx="3538652" cy="968983"/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158490C2-9F8D-4F00-81BF-50F134F5046E}"/>
            </a:ext>
          </a:extLst>
        </xdr:cNvPr>
        <xdr:cNvSpPr/>
      </xdr:nvSpPr>
      <xdr:spPr>
        <a:xfrm>
          <a:off x="9167813" y="476250"/>
          <a:ext cx="3538652" cy="968983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s-ES" sz="2800" b="1" cap="none" spc="0">
              <a:ln w="9525">
                <a:solidFill>
                  <a:srgbClr val="023F71"/>
                </a:solidFill>
                <a:prstDash val="solid"/>
              </a:ln>
              <a:solidFill>
                <a:srgbClr val="023F7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FIFA CLUB</a:t>
          </a:r>
        </a:p>
        <a:p>
          <a:pPr algn="ctr"/>
          <a:r>
            <a:rPr lang="es-ES" sz="2800" b="1" cap="none" spc="0">
              <a:ln w="9525">
                <a:solidFill>
                  <a:srgbClr val="023F71"/>
                </a:solidFill>
                <a:prstDash val="solid"/>
              </a:ln>
              <a:solidFill>
                <a:srgbClr val="023F7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WORLD CUP 2025</a:t>
          </a:r>
        </a:p>
      </xdr:txBody>
    </xdr:sp>
    <xdr:clientData/>
  </xdr:oneCellAnchor>
  <xdr:twoCellAnchor editAs="oneCell">
    <xdr:from>
      <xdr:col>17</xdr:col>
      <xdr:colOff>364520</xdr:colOff>
      <xdr:row>1</xdr:row>
      <xdr:rowOff>71803</xdr:rowOff>
    </xdr:from>
    <xdr:to>
      <xdr:col>17</xdr:col>
      <xdr:colOff>791534</xdr:colOff>
      <xdr:row>5</xdr:row>
      <xdr:rowOff>74747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B21F59C7-A78E-4F1A-BC89-56786835BC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2620" y="424228"/>
          <a:ext cx="427014" cy="1050694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181449</xdr:colOff>
      <xdr:row>2</xdr:row>
      <xdr:rowOff>885</xdr:rowOff>
    </xdr:from>
    <xdr:ext cx="867600" cy="276225"/>
    <xdr:sp macro="" textlink="">
      <xdr:nvSpPr>
        <xdr:cNvPr id="2" name="Shape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59798A1-BD12-41B0-975D-8793FCE2CB2F}"/>
            </a:ext>
          </a:extLst>
        </xdr:cNvPr>
        <xdr:cNvSpPr/>
      </xdr:nvSpPr>
      <xdr:spPr>
        <a:xfrm>
          <a:off x="5977412" y="581910"/>
          <a:ext cx="867600" cy="276225"/>
        </a:xfrm>
        <a:prstGeom prst="roundRect">
          <a:avLst>
            <a:gd name="adj" fmla="val 16667"/>
          </a:avLst>
        </a:prstGeom>
        <a:solidFill>
          <a:srgbClr val="EBF6FF"/>
        </a:solidFill>
        <a:ln>
          <a:solidFill>
            <a:srgbClr val="023F71"/>
          </a:solidFill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rgbClr val="023F71"/>
              </a:solidFill>
              <a:latin typeface="Calibri"/>
              <a:ea typeface="Calibri"/>
              <a:cs typeface="Calibri"/>
              <a:sym typeface="Calibri"/>
            </a:rPr>
            <a:t>Grupo D</a:t>
          </a:r>
          <a:endParaRPr sz="1200" b="1">
            <a:solidFill>
              <a:srgbClr val="023F71"/>
            </a:solidFill>
            <a:latin typeface="Calibri"/>
            <a:ea typeface="Calibri"/>
            <a:cs typeface="Calibri"/>
          </a:endParaRPr>
        </a:p>
      </xdr:txBody>
    </xdr:sp>
    <xdr:clientData fLocksWithSheet="0"/>
  </xdr:oneCellAnchor>
  <xdr:oneCellAnchor>
    <xdr:from>
      <xdr:col>11</xdr:col>
      <xdr:colOff>74692</xdr:colOff>
      <xdr:row>1</xdr:row>
      <xdr:rowOff>232660</xdr:rowOff>
    </xdr:from>
    <xdr:ext cx="867600" cy="276225"/>
    <xdr:sp macro="" textlink="">
      <xdr:nvSpPr>
        <xdr:cNvPr id="3" name="Shape 1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AD1736D-013D-476E-8D3B-CC352F89E1AE}"/>
            </a:ext>
          </a:extLst>
        </xdr:cNvPr>
        <xdr:cNvSpPr/>
      </xdr:nvSpPr>
      <xdr:spPr>
        <a:xfrm>
          <a:off x="4784805" y="580322"/>
          <a:ext cx="867600" cy="276225"/>
        </a:xfrm>
        <a:prstGeom prst="roundRect">
          <a:avLst>
            <a:gd name="adj" fmla="val 16667"/>
          </a:avLst>
        </a:prstGeom>
        <a:solidFill>
          <a:srgbClr val="EBF6FF"/>
        </a:solidFill>
        <a:ln>
          <a:solidFill>
            <a:srgbClr val="023F71"/>
          </a:solidFill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rgbClr val="023F71"/>
              </a:solidFill>
              <a:latin typeface="Calibri"/>
              <a:ea typeface="Calibri"/>
              <a:cs typeface="Calibri"/>
              <a:sym typeface="Calibri"/>
            </a:rPr>
            <a:t>Grupo C</a:t>
          </a:r>
          <a:endParaRPr sz="1200" b="1">
            <a:solidFill>
              <a:srgbClr val="023F71"/>
            </a:solidFill>
            <a:latin typeface="Calibri"/>
            <a:ea typeface="Calibri"/>
            <a:cs typeface="Calibri"/>
          </a:endParaRPr>
        </a:p>
      </xdr:txBody>
    </xdr:sp>
    <xdr:clientData fLocksWithSheet="0"/>
  </xdr:oneCellAnchor>
  <xdr:twoCellAnchor editAs="oneCell">
    <xdr:from>
      <xdr:col>1</xdr:col>
      <xdr:colOff>176213</xdr:colOff>
      <xdr:row>1</xdr:row>
      <xdr:rowOff>123825</xdr:rowOff>
    </xdr:from>
    <xdr:to>
      <xdr:col>3</xdr:col>
      <xdr:colOff>395288</xdr:colOff>
      <xdr:row>5</xdr:row>
      <xdr:rowOff>97154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162243E8-E10C-49F9-9473-40D6A5DD50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duotone>
            <a:prstClr val="black"/>
            <a:schemeClr val="accent1">
              <a:tint val="45000"/>
              <a:satMod val="400000"/>
            </a:schemeClr>
          </a:duotone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saturation sat="276000"/>
                  </a14:imgEffect>
                  <a14:imgEffect>
                    <a14:brightnessContrast bright="-42000" contrast="18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3388" y="476250"/>
          <a:ext cx="1033463" cy="1023938"/>
        </a:xfrm>
        <a:prstGeom prst="rect">
          <a:avLst/>
        </a:prstGeom>
        <a:noFill/>
      </xdr:spPr>
    </xdr:pic>
    <xdr:clientData/>
  </xdr:twoCellAnchor>
  <xdr:oneCellAnchor>
    <xdr:from>
      <xdr:col>6</xdr:col>
      <xdr:colOff>347776</xdr:colOff>
      <xdr:row>2</xdr:row>
      <xdr:rowOff>4060</xdr:rowOff>
    </xdr:from>
    <xdr:ext cx="866775" cy="276225"/>
    <xdr:sp macro="" textlink="">
      <xdr:nvSpPr>
        <xdr:cNvPr id="6" name="Shape 1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945326BE-364F-4766-B75D-4ABFFE5367E0}"/>
            </a:ext>
          </a:extLst>
        </xdr:cNvPr>
        <xdr:cNvSpPr/>
      </xdr:nvSpPr>
      <xdr:spPr>
        <a:xfrm>
          <a:off x="2367076" y="585085"/>
          <a:ext cx="866775" cy="276225"/>
        </a:xfrm>
        <a:prstGeom prst="roundRect">
          <a:avLst>
            <a:gd name="adj" fmla="val 16667"/>
          </a:avLst>
        </a:prstGeom>
        <a:solidFill>
          <a:srgbClr val="EBF6FF"/>
        </a:solidFill>
        <a:ln>
          <a:solidFill>
            <a:srgbClr val="023F71"/>
          </a:solidFill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rgbClr val="023F71"/>
              </a:solidFill>
              <a:latin typeface="Calibri"/>
              <a:ea typeface="Calibri"/>
              <a:cs typeface="Calibri"/>
              <a:sym typeface="Calibri"/>
            </a:rPr>
            <a:t>Grupo A</a:t>
          </a:r>
          <a:endParaRPr sz="1400" b="1">
            <a:solidFill>
              <a:srgbClr val="023F71"/>
            </a:solidFill>
          </a:endParaRPr>
        </a:p>
      </xdr:txBody>
    </xdr:sp>
    <xdr:clientData fLocksWithSheet="0"/>
  </xdr:oneCellAnchor>
  <xdr:oneCellAnchor>
    <xdr:from>
      <xdr:col>7</xdr:col>
      <xdr:colOff>148909</xdr:colOff>
      <xdr:row>1</xdr:row>
      <xdr:rowOff>235835</xdr:rowOff>
    </xdr:from>
    <xdr:ext cx="867600" cy="276225"/>
    <xdr:sp macro="" textlink="">
      <xdr:nvSpPr>
        <xdr:cNvPr id="7" name="Shape 1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9EFDCBC-121C-4F03-9595-42610504420E}"/>
            </a:ext>
          </a:extLst>
        </xdr:cNvPr>
        <xdr:cNvSpPr/>
      </xdr:nvSpPr>
      <xdr:spPr>
        <a:xfrm>
          <a:off x="3577909" y="578735"/>
          <a:ext cx="867600" cy="276225"/>
        </a:xfrm>
        <a:prstGeom prst="roundRect">
          <a:avLst>
            <a:gd name="adj" fmla="val 16667"/>
          </a:avLst>
        </a:prstGeom>
        <a:solidFill>
          <a:srgbClr val="EBF6FF"/>
        </a:solidFill>
        <a:ln>
          <a:solidFill>
            <a:srgbClr val="023F71"/>
          </a:solidFill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rgbClr val="023F71"/>
              </a:solidFill>
              <a:latin typeface="Calibri"/>
              <a:ea typeface="Calibri"/>
              <a:cs typeface="Calibri"/>
              <a:sym typeface="Calibri"/>
            </a:rPr>
            <a:t>Grupo B</a:t>
          </a:r>
          <a:endParaRPr sz="1400" b="1">
            <a:solidFill>
              <a:srgbClr val="023F71"/>
            </a:solidFill>
          </a:endParaRPr>
        </a:p>
      </xdr:txBody>
    </xdr:sp>
    <xdr:clientData fLocksWithSheet="0"/>
  </xdr:oneCellAnchor>
  <xdr:oneCellAnchor>
    <xdr:from>
      <xdr:col>14</xdr:col>
      <xdr:colOff>180768</xdr:colOff>
      <xdr:row>3</xdr:row>
      <xdr:rowOff>19935</xdr:rowOff>
    </xdr:from>
    <xdr:ext cx="867600" cy="276225"/>
    <xdr:sp macro="" textlink="">
      <xdr:nvSpPr>
        <xdr:cNvPr id="8" name="Shape 15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237AD191-5759-4B34-8A3F-A07A8D4E66AA}"/>
            </a:ext>
          </a:extLst>
        </xdr:cNvPr>
        <xdr:cNvSpPr/>
      </xdr:nvSpPr>
      <xdr:spPr>
        <a:xfrm>
          <a:off x="5976731" y="1048635"/>
          <a:ext cx="867600" cy="276225"/>
        </a:xfrm>
        <a:prstGeom prst="roundRect">
          <a:avLst>
            <a:gd name="adj" fmla="val 16667"/>
          </a:avLst>
        </a:prstGeom>
        <a:solidFill>
          <a:srgbClr val="EBF6FF"/>
        </a:solidFill>
        <a:ln>
          <a:solidFill>
            <a:srgbClr val="023F71"/>
          </a:solidFill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rgbClr val="023F71"/>
              </a:solidFill>
              <a:latin typeface="Calibri"/>
              <a:ea typeface="Calibri"/>
              <a:cs typeface="Calibri"/>
              <a:sym typeface="Calibri"/>
            </a:rPr>
            <a:t>Grupo H</a:t>
          </a:r>
          <a:endParaRPr sz="1200" b="1">
            <a:solidFill>
              <a:srgbClr val="023F71"/>
            </a:solidFill>
            <a:latin typeface="Calibri"/>
            <a:ea typeface="Calibri"/>
            <a:cs typeface="Calibri"/>
          </a:endParaRPr>
        </a:p>
      </xdr:txBody>
    </xdr:sp>
    <xdr:clientData fLocksWithSheet="0"/>
  </xdr:oneCellAnchor>
  <xdr:oneCellAnchor>
    <xdr:from>
      <xdr:col>11</xdr:col>
      <xdr:colOff>74011</xdr:colOff>
      <xdr:row>3</xdr:row>
      <xdr:rowOff>13585</xdr:rowOff>
    </xdr:from>
    <xdr:ext cx="867600" cy="276225"/>
    <xdr:sp macro="" textlink="">
      <xdr:nvSpPr>
        <xdr:cNvPr id="9" name="Shape 17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1AA6EAD1-85AA-45C5-88F6-195D49A39B30}"/>
            </a:ext>
          </a:extLst>
        </xdr:cNvPr>
        <xdr:cNvSpPr/>
      </xdr:nvSpPr>
      <xdr:spPr>
        <a:xfrm>
          <a:off x="4784124" y="1042285"/>
          <a:ext cx="867600" cy="276225"/>
        </a:xfrm>
        <a:prstGeom prst="roundRect">
          <a:avLst>
            <a:gd name="adj" fmla="val 16667"/>
          </a:avLst>
        </a:prstGeom>
        <a:solidFill>
          <a:srgbClr val="EBF6FF"/>
        </a:solidFill>
        <a:ln>
          <a:solidFill>
            <a:srgbClr val="023F71"/>
          </a:solidFill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rgbClr val="023F71"/>
              </a:solidFill>
              <a:latin typeface="Calibri"/>
              <a:ea typeface="Calibri"/>
              <a:cs typeface="Calibri"/>
              <a:sym typeface="Calibri"/>
            </a:rPr>
            <a:t>Grupo G</a:t>
          </a:r>
          <a:endParaRPr sz="1200" b="1">
            <a:solidFill>
              <a:srgbClr val="023F71"/>
            </a:solidFill>
            <a:latin typeface="Calibri"/>
            <a:ea typeface="Calibri"/>
            <a:cs typeface="Calibri"/>
          </a:endParaRPr>
        </a:p>
      </xdr:txBody>
    </xdr:sp>
    <xdr:clientData fLocksWithSheet="0"/>
  </xdr:oneCellAnchor>
  <xdr:oneCellAnchor>
    <xdr:from>
      <xdr:col>6</xdr:col>
      <xdr:colOff>347095</xdr:colOff>
      <xdr:row>3</xdr:row>
      <xdr:rowOff>23110</xdr:rowOff>
    </xdr:from>
    <xdr:ext cx="866775" cy="276225"/>
    <xdr:sp macro="" textlink="">
      <xdr:nvSpPr>
        <xdr:cNvPr id="10" name="Shape 14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8AE035BF-B819-4527-90CC-336E110CD50E}"/>
            </a:ext>
          </a:extLst>
        </xdr:cNvPr>
        <xdr:cNvSpPr/>
      </xdr:nvSpPr>
      <xdr:spPr>
        <a:xfrm>
          <a:off x="2366395" y="1051810"/>
          <a:ext cx="866775" cy="276225"/>
        </a:xfrm>
        <a:prstGeom prst="roundRect">
          <a:avLst>
            <a:gd name="adj" fmla="val 16667"/>
          </a:avLst>
        </a:prstGeom>
        <a:solidFill>
          <a:srgbClr val="023F71"/>
        </a:solidFill>
        <a:ln>
          <a:solidFill>
            <a:srgbClr val="023F71"/>
          </a:solidFill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rgbClr val="EBF6FF"/>
              </a:solidFill>
              <a:latin typeface="Calibri"/>
              <a:ea typeface="Calibri"/>
              <a:cs typeface="Calibri"/>
              <a:sym typeface="Calibri"/>
            </a:rPr>
            <a:t>Grupo E</a:t>
          </a:r>
          <a:endParaRPr sz="1400" b="1">
            <a:solidFill>
              <a:srgbClr val="EBF6FF"/>
            </a:solidFill>
          </a:endParaRPr>
        </a:p>
      </xdr:txBody>
    </xdr:sp>
    <xdr:clientData fLocksWithSheet="0"/>
  </xdr:oneCellAnchor>
  <xdr:oneCellAnchor>
    <xdr:from>
      <xdr:col>7</xdr:col>
      <xdr:colOff>148228</xdr:colOff>
      <xdr:row>3</xdr:row>
      <xdr:rowOff>16760</xdr:rowOff>
    </xdr:from>
    <xdr:ext cx="867600" cy="276225"/>
    <xdr:sp macro="" textlink="">
      <xdr:nvSpPr>
        <xdr:cNvPr id="11" name="Shape 16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8610AA22-4C7D-41D5-988A-9A6C89173524}"/>
            </a:ext>
          </a:extLst>
        </xdr:cNvPr>
        <xdr:cNvSpPr/>
      </xdr:nvSpPr>
      <xdr:spPr>
        <a:xfrm>
          <a:off x="3577228" y="1045460"/>
          <a:ext cx="867600" cy="276225"/>
        </a:xfrm>
        <a:prstGeom prst="roundRect">
          <a:avLst>
            <a:gd name="adj" fmla="val 16667"/>
          </a:avLst>
        </a:prstGeom>
        <a:solidFill>
          <a:srgbClr val="EBF6FF"/>
        </a:solidFill>
        <a:ln>
          <a:solidFill>
            <a:srgbClr val="023F71"/>
          </a:solidFill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rgbClr val="023F71"/>
              </a:solidFill>
              <a:latin typeface="Calibri"/>
              <a:ea typeface="Calibri"/>
              <a:cs typeface="Calibri"/>
              <a:sym typeface="Calibri"/>
            </a:rPr>
            <a:t>Grupo F</a:t>
          </a:r>
          <a:endParaRPr sz="1400" b="1">
            <a:solidFill>
              <a:srgbClr val="023F71"/>
            </a:solidFill>
          </a:endParaRPr>
        </a:p>
      </xdr:txBody>
    </xdr:sp>
    <xdr:clientData fLocksWithSheet="0"/>
  </xdr:oneCellAnchor>
  <xdr:oneCellAnchor>
    <xdr:from>
      <xdr:col>19</xdr:col>
      <xdr:colOff>47625</xdr:colOff>
      <xdr:row>1</xdr:row>
      <xdr:rowOff>123825</xdr:rowOff>
    </xdr:from>
    <xdr:ext cx="3538652" cy="968983"/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F55234DA-DCAA-417D-8AEF-35E3F8FFB6FF}"/>
            </a:ext>
          </a:extLst>
        </xdr:cNvPr>
        <xdr:cNvSpPr/>
      </xdr:nvSpPr>
      <xdr:spPr>
        <a:xfrm>
          <a:off x="9167813" y="476250"/>
          <a:ext cx="3538652" cy="968983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s-ES" sz="2800" b="1" cap="none" spc="0">
              <a:ln w="9525">
                <a:solidFill>
                  <a:srgbClr val="023F71"/>
                </a:solidFill>
                <a:prstDash val="solid"/>
              </a:ln>
              <a:solidFill>
                <a:srgbClr val="023F7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FIFA CLUB</a:t>
          </a:r>
        </a:p>
        <a:p>
          <a:pPr algn="ctr"/>
          <a:r>
            <a:rPr lang="es-ES" sz="2800" b="1" cap="none" spc="0">
              <a:ln w="9525">
                <a:solidFill>
                  <a:srgbClr val="023F71"/>
                </a:solidFill>
                <a:prstDash val="solid"/>
              </a:ln>
              <a:solidFill>
                <a:srgbClr val="023F7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WORLD CUP 2025</a:t>
          </a:r>
        </a:p>
      </xdr:txBody>
    </xdr:sp>
    <xdr:clientData/>
  </xdr:oneCellAnchor>
  <xdr:twoCellAnchor editAs="oneCell">
    <xdr:from>
      <xdr:col>17</xdr:col>
      <xdr:colOff>364520</xdr:colOff>
      <xdr:row>1</xdr:row>
      <xdr:rowOff>71803</xdr:rowOff>
    </xdr:from>
    <xdr:to>
      <xdr:col>17</xdr:col>
      <xdr:colOff>791534</xdr:colOff>
      <xdr:row>5</xdr:row>
      <xdr:rowOff>74747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6F44B74C-DA1F-4847-B473-8985B75EAE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2620" y="424228"/>
          <a:ext cx="427014" cy="1050694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181449</xdr:colOff>
      <xdr:row>2</xdr:row>
      <xdr:rowOff>885</xdr:rowOff>
    </xdr:from>
    <xdr:ext cx="867600" cy="276225"/>
    <xdr:sp macro="" textlink="">
      <xdr:nvSpPr>
        <xdr:cNvPr id="2" name="Shape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18E58B0-D2CC-44E4-B56D-4F659B3B6A24}"/>
            </a:ext>
          </a:extLst>
        </xdr:cNvPr>
        <xdr:cNvSpPr/>
      </xdr:nvSpPr>
      <xdr:spPr>
        <a:xfrm>
          <a:off x="5977412" y="581910"/>
          <a:ext cx="867600" cy="276225"/>
        </a:xfrm>
        <a:prstGeom prst="roundRect">
          <a:avLst>
            <a:gd name="adj" fmla="val 16667"/>
          </a:avLst>
        </a:prstGeom>
        <a:solidFill>
          <a:srgbClr val="EBF6FF"/>
        </a:solidFill>
        <a:ln>
          <a:solidFill>
            <a:srgbClr val="023F71"/>
          </a:solidFill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rgbClr val="023F71"/>
              </a:solidFill>
              <a:latin typeface="Calibri"/>
              <a:ea typeface="Calibri"/>
              <a:cs typeface="Calibri"/>
              <a:sym typeface="Calibri"/>
            </a:rPr>
            <a:t>Grupo D</a:t>
          </a:r>
          <a:endParaRPr sz="1200" b="1">
            <a:solidFill>
              <a:srgbClr val="023F71"/>
            </a:solidFill>
            <a:latin typeface="Calibri"/>
            <a:ea typeface="Calibri"/>
            <a:cs typeface="Calibri"/>
          </a:endParaRPr>
        </a:p>
      </xdr:txBody>
    </xdr:sp>
    <xdr:clientData fLocksWithSheet="0"/>
  </xdr:oneCellAnchor>
  <xdr:oneCellAnchor>
    <xdr:from>
      <xdr:col>11</xdr:col>
      <xdr:colOff>74692</xdr:colOff>
      <xdr:row>1</xdr:row>
      <xdr:rowOff>232660</xdr:rowOff>
    </xdr:from>
    <xdr:ext cx="867600" cy="276225"/>
    <xdr:sp macro="" textlink="">
      <xdr:nvSpPr>
        <xdr:cNvPr id="3" name="Shape 1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F3F4F5D-94F9-44CC-8335-4DA79766B7E8}"/>
            </a:ext>
          </a:extLst>
        </xdr:cNvPr>
        <xdr:cNvSpPr/>
      </xdr:nvSpPr>
      <xdr:spPr>
        <a:xfrm>
          <a:off x="4784805" y="580322"/>
          <a:ext cx="867600" cy="276225"/>
        </a:xfrm>
        <a:prstGeom prst="roundRect">
          <a:avLst>
            <a:gd name="adj" fmla="val 16667"/>
          </a:avLst>
        </a:prstGeom>
        <a:solidFill>
          <a:srgbClr val="EBF6FF"/>
        </a:solidFill>
        <a:ln>
          <a:solidFill>
            <a:srgbClr val="023F71"/>
          </a:solidFill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rgbClr val="023F71"/>
              </a:solidFill>
              <a:latin typeface="Calibri"/>
              <a:ea typeface="Calibri"/>
              <a:cs typeface="Calibri"/>
              <a:sym typeface="Calibri"/>
            </a:rPr>
            <a:t>Grupo C</a:t>
          </a:r>
          <a:endParaRPr sz="1200" b="1">
            <a:solidFill>
              <a:srgbClr val="023F71"/>
            </a:solidFill>
            <a:latin typeface="Calibri"/>
            <a:ea typeface="Calibri"/>
            <a:cs typeface="Calibri"/>
          </a:endParaRPr>
        </a:p>
      </xdr:txBody>
    </xdr:sp>
    <xdr:clientData fLocksWithSheet="0"/>
  </xdr:oneCellAnchor>
  <xdr:twoCellAnchor editAs="oneCell">
    <xdr:from>
      <xdr:col>1</xdr:col>
      <xdr:colOff>176213</xdr:colOff>
      <xdr:row>1</xdr:row>
      <xdr:rowOff>123825</xdr:rowOff>
    </xdr:from>
    <xdr:to>
      <xdr:col>3</xdr:col>
      <xdr:colOff>395288</xdr:colOff>
      <xdr:row>5</xdr:row>
      <xdr:rowOff>97154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4FDC9623-25EF-4391-8FAE-840DAE75B6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duotone>
            <a:prstClr val="black"/>
            <a:schemeClr val="accent1">
              <a:tint val="45000"/>
              <a:satMod val="400000"/>
            </a:schemeClr>
          </a:duotone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saturation sat="276000"/>
                  </a14:imgEffect>
                  <a14:imgEffect>
                    <a14:brightnessContrast bright="-42000" contrast="18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3388" y="476250"/>
          <a:ext cx="1033463" cy="1023938"/>
        </a:xfrm>
        <a:prstGeom prst="rect">
          <a:avLst/>
        </a:prstGeom>
        <a:noFill/>
      </xdr:spPr>
    </xdr:pic>
    <xdr:clientData/>
  </xdr:twoCellAnchor>
  <xdr:oneCellAnchor>
    <xdr:from>
      <xdr:col>6</xdr:col>
      <xdr:colOff>347776</xdr:colOff>
      <xdr:row>2</xdr:row>
      <xdr:rowOff>4060</xdr:rowOff>
    </xdr:from>
    <xdr:ext cx="866775" cy="276225"/>
    <xdr:sp macro="" textlink="">
      <xdr:nvSpPr>
        <xdr:cNvPr id="6" name="Shape 1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376EE6B2-1F7F-400A-8635-2C54C11026D7}"/>
            </a:ext>
          </a:extLst>
        </xdr:cNvPr>
        <xdr:cNvSpPr/>
      </xdr:nvSpPr>
      <xdr:spPr>
        <a:xfrm>
          <a:off x="2367076" y="585085"/>
          <a:ext cx="866775" cy="276225"/>
        </a:xfrm>
        <a:prstGeom prst="roundRect">
          <a:avLst>
            <a:gd name="adj" fmla="val 16667"/>
          </a:avLst>
        </a:prstGeom>
        <a:solidFill>
          <a:srgbClr val="EBF6FF"/>
        </a:solidFill>
        <a:ln>
          <a:solidFill>
            <a:srgbClr val="023F71"/>
          </a:solidFill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rgbClr val="023F71"/>
              </a:solidFill>
              <a:latin typeface="Calibri"/>
              <a:ea typeface="Calibri"/>
              <a:cs typeface="Calibri"/>
              <a:sym typeface="Calibri"/>
            </a:rPr>
            <a:t>Grupo A</a:t>
          </a:r>
          <a:endParaRPr sz="1400" b="1">
            <a:solidFill>
              <a:srgbClr val="023F71"/>
            </a:solidFill>
          </a:endParaRPr>
        </a:p>
      </xdr:txBody>
    </xdr:sp>
    <xdr:clientData fLocksWithSheet="0"/>
  </xdr:oneCellAnchor>
  <xdr:oneCellAnchor>
    <xdr:from>
      <xdr:col>7</xdr:col>
      <xdr:colOff>148909</xdr:colOff>
      <xdr:row>1</xdr:row>
      <xdr:rowOff>235835</xdr:rowOff>
    </xdr:from>
    <xdr:ext cx="867600" cy="276225"/>
    <xdr:sp macro="" textlink="">
      <xdr:nvSpPr>
        <xdr:cNvPr id="7" name="Shape 1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E3422D22-8081-48AF-8A14-5152255D714C}"/>
            </a:ext>
          </a:extLst>
        </xdr:cNvPr>
        <xdr:cNvSpPr/>
      </xdr:nvSpPr>
      <xdr:spPr>
        <a:xfrm>
          <a:off x="3577909" y="578735"/>
          <a:ext cx="867600" cy="276225"/>
        </a:xfrm>
        <a:prstGeom prst="roundRect">
          <a:avLst>
            <a:gd name="adj" fmla="val 16667"/>
          </a:avLst>
        </a:prstGeom>
        <a:solidFill>
          <a:srgbClr val="EBF6FF"/>
        </a:solidFill>
        <a:ln>
          <a:solidFill>
            <a:srgbClr val="023F71"/>
          </a:solidFill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rgbClr val="023F71"/>
              </a:solidFill>
              <a:latin typeface="Calibri"/>
              <a:ea typeface="Calibri"/>
              <a:cs typeface="Calibri"/>
              <a:sym typeface="Calibri"/>
            </a:rPr>
            <a:t>Grupo B</a:t>
          </a:r>
          <a:endParaRPr sz="1400" b="1">
            <a:solidFill>
              <a:srgbClr val="023F71"/>
            </a:solidFill>
          </a:endParaRPr>
        </a:p>
      </xdr:txBody>
    </xdr:sp>
    <xdr:clientData fLocksWithSheet="0"/>
  </xdr:oneCellAnchor>
  <xdr:oneCellAnchor>
    <xdr:from>
      <xdr:col>14</xdr:col>
      <xdr:colOff>180768</xdr:colOff>
      <xdr:row>3</xdr:row>
      <xdr:rowOff>19935</xdr:rowOff>
    </xdr:from>
    <xdr:ext cx="867600" cy="276225"/>
    <xdr:sp macro="" textlink="">
      <xdr:nvSpPr>
        <xdr:cNvPr id="8" name="Shape 15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93384DE7-0E7A-486E-BF22-84EB82F19CEE}"/>
            </a:ext>
          </a:extLst>
        </xdr:cNvPr>
        <xdr:cNvSpPr/>
      </xdr:nvSpPr>
      <xdr:spPr>
        <a:xfrm>
          <a:off x="5976731" y="1048635"/>
          <a:ext cx="867600" cy="276225"/>
        </a:xfrm>
        <a:prstGeom prst="roundRect">
          <a:avLst>
            <a:gd name="adj" fmla="val 16667"/>
          </a:avLst>
        </a:prstGeom>
        <a:solidFill>
          <a:srgbClr val="EBF6FF"/>
        </a:solidFill>
        <a:ln>
          <a:solidFill>
            <a:srgbClr val="023F71"/>
          </a:solidFill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rgbClr val="023F71"/>
              </a:solidFill>
              <a:latin typeface="Calibri"/>
              <a:ea typeface="Calibri"/>
              <a:cs typeface="Calibri"/>
              <a:sym typeface="Calibri"/>
            </a:rPr>
            <a:t>Grupo H</a:t>
          </a:r>
          <a:endParaRPr sz="1200" b="1">
            <a:solidFill>
              <a:srgbClr val="023F71"/>
            </a:solidFill>
            <a:latin typeface="Calibri"/>
            <a:ea typeface="Calibri"/>
            <a:cs typeface="Calibri"/>
          </a:endParaRPr>
        </a:p>
      </xdr:txBody>
    </xdr:sp>
    <xdr:clientData fLocksWithSheet="0"/>
  </xdr:oneCellAnchor>
  <xdr:oneCellAnchor>
    <xdr:from>
      <xdr:col>11</xdr:col>
      <xdr:colOff>74011</xdr:colOff>
      <xdr:row>3</xdr:row>
      <xdr:rowOff>13585</xdr:rowOff>
    </xdr:from>
    <xdr:ext cx="867600" cy="276225"/>
    <xdr:sp macro="" textlink="">
      <xdr:nvSpPr>
        <xdr:cNvPr id="9" name="Shape 17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A22A96C6-A6C4-47B8-8FBE-CC54326DA04E}"/>
            </a:ext>
          </a:extLst>
        </xdr:cNvPr>
        <xdr:cNvSpPr/>
      </xdr:nvSpPr>
      <xdr:spPr>
        <a:xfrm>
          <a:off x="4784124" y="1042285"/>
          <a:ext cx="867600" cy="276225"/>
        </a:xfrm>
        <a:prstGeom prst="roundRect">
          <a:avLst>
            <a:gd name="adj" fmla="val 16667"/>
          </a:avLst>
        </a:prstGeom>
        <a:solidFill>
          <a:srgbClr val="EBF6FF"/>
        </a:solidFill>
        <a:ln>
          <a:solidFill>
            <a:srgbClr val="023F71"/>
          </a:solidFill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rgbClr val="023F71"/>
              </a:solidFill>
              <a:latin typeface="Calibri"/>
              <a:ea typeface="Calibri"/>
              <a:cs typeface="Calibri"/>
              <a:sym typeface="Calibri"/>
            </a:rPr>
            <a:t>Grupo G</a:t>
          </a:r>
          <a:endParaRPr sz="1200" b="1">
            <a:solidFill>
              <a:srgbClr val="023F71"/>
            </a:solidFill>
            <a:latin typeface="Calibri"/>
            <a:ea typeface="Calibri"/>
            <a:cs typeface="Calibri"/>
          </a:endParaRPr>
        </a:p>
      </xdr:txBody>
    </xdr:sp>
    <xdr:clientData fLocksWithSheet="0"/>
  </xdr:oneCellAnchor>
  <xdr:oneCellAnchor>
    <xdr:from>
      <xdr:col>6</xdr:col>
      <xdr:colOff>347095</xdr:colOff>
      <xdr:row>3</xdr:row>
      <xdr:rowOff>23110</xdr:rowOff>
    </xdr:from>
    <xdr:ext cx="866775" cy="276225"/>
    <xdr:sp macro="" textlink="">
      <xdr:nvSpPr>
        <xdr:cNvPr id="10" name="Shape 14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81732962-C6A2-477C-9BE6-DE5192B9523B}"/>
            </a:ext>
          </a:extLst>
        </xdr:cNvPr>
        <xdr:cNvSpPr/>
      </xdr:nvSpPr>
      <xdr:spPr>
        <a:xfrm>
          <a:off x="2366395" y="1051810"/>
          <a:ext cx="866775" cy="276225"/>
        </a:xfrm>
        <a:prstGeom prst="roundRect">
          <a:avLst>
            <a:gd name="adj" fmla="val 16667"/>
          </a:avLst>
        </a:prstGeom>
        <a:solidFill>
          <a:srgbClr val="EBF6FF"/>
        </a:solidFill>
        <a:ln>
          <a:solidFill>
            <a:srgbClr val="023F71"/>
          </a:solidFill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rgbClr val="023F71"/>
              </a:solidFill>
              <a:latin typeface="Calibri"/>
              <a:ea typeface="Calibri"/>
              <a:cs typeface="Calibri"/>
              <a:sym typeface="Calibri"/>
            </a:rPr>
            <a:t>Grupo E</a:t>
          </a:r>
          <a:endParaRPr sz="1400" b="1">
            <a:solidFill>
              <a:srgbClr val="023F71"/>
            </a:solidFill>
          </a:endParaRPr>
        </a:p>
      </xdr:txBody>
    </xdr:sp>
    <xdr:clientData fLocksWithSheet="0"/>
  </xdr:oneCellAnchor>
  <xdr:oneCellAnchor>
    <xdr:from>
      <xdr:col>7</xdr:col>
      <xdr:colOff>148228</xdr:colOff>
      <xdr:row>3</xdr:row>
      <xdr:rowOff>16760</xdr:rowOff>
    </xdr:from>
    <xdr:ext cx="867600" cy="276225"/>
    <xdr:sp macro="" textlink="">
      <xdr:nvSpPr>
        <xdr:cNvPr id="11" name="Shape 16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2FDD0816-5A67-4B1A-A58C-0F7ACD195821}"/>
            </a:ext>
          </a:extLst>
        </xdr:cNvPr>
        <xdr:cNvSpPr/>
      </xdr:nvSpPr>
      <xdr:spPr>
        <a:xfrm>
          <a:off x="3577228" y="1045460"/>
          <a:ext cx="867600" cy="276225"/>
        </a:xfrm>
        <a:prstGeom prst="roundRect">
          <a:avLst>
            <a:gd name="adj" fmla="val 16667"/>
          </a:avLst>
        </a:prstGeom>
        <a:solidFill>
          <a:srgbClr val="023F71"/>
        </a:solidFill>
        <a:ln>
          <a:solidFill>
            <a:srgbClr val="023F71"/>
          </a:solidFill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rgbClr val="EBF6FF"/>
              </a:solidFill>
              <a:latin typeface="Calibri"/>
              <a:ea typeface="Calibri"/>
              <a:cs typeface="Calibri"/>
              <a:sym typeface="Calibri"/>
            </a:rPr>
            <a:t>Grupo F</a:t>
          </a:r>
          <a:endParaRPr sz="1400" b="1">
            <a:solidFill>
              <a:srgbClr val="EBF6FF"/>
            </a:solidFill>
          </a:endParaRPr>
        </a:p>
      </xdr:txBody>
    </xdr:sp>
    <xdr:clientData fLocksWithSheet="0"/>
  </xdr:oneCellAnchor>
  <xdr:oneCellAnchor>
    <xdr:from>
      <xdr:col>19</xdr:col>
      <xdr:colOff>47625</xdr:colOff>
      <xdr:row>1</xdr:row>
      <xdr:rowOff>123825</xdr:rowOff>
    </xdr:from>
    <xdr:ext cx="3538652" cy="968983"/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1962BC83-AF9C-4718-8273-CF90C9A8B7C9}"/>
            </a:ext>
          </a:extLst>
        </xdr:cNvPr>
        <xdr:cNvSpPr/>
      </xdr:nvSpPr>
      <xdr:spPr>
        <a:xfrm>
          <a:off x="9167813" y="476250"/>
          <a:ext cx="3538652" cy="968983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s-ES" sz="2800" b="1" cap="none" spc="0">
              <a:ln w="9525">
                <a:solidFill>
                  <a:srgbClr val="023F71"/>
                </a:solidFill>
                <a:prstDash val="solid"/>
              </a:ln>
              <a:solidFill>
                <a:srgbClr val="023F7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FIFA CLUB</a:t>
          </a:r>
        </a:p>
        <a:p>
          <a:pPr algn="ctr"/>
          <a:r>
            <a:rPr lang="es-ES" sz="2800" b="1" cap="none" spc="0">
              <a:ln w="9525">
                <a:solidFill>
                  <a:srgbClr val="023F71"/>
                </a:solidFill>
                <a:prstDash val="solid"/>
              </a:ln>
              <a:solidFill>
                <a:srgbClr val="023F7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WORLD CUP 2025</a:t>
          </a:r>
        </a:p>
      </xdr:txBody>
    </xdr:sp>
    <xdr:clientData/>
  </xdr:oneCellAnchor>
  <xdr:twoCellAnchor editAs="oneCell">
    <xdr:from>
      <xdr:col>17</xdr:col>
      <xdr:colOff>364520</xdr:colOff>
      <xdr:row>1</xdr:row>
      <xdr:rowOff>71803</xdr:rowOff>
    </xdr:from>
    <xdr:to>
      <xdr:col>17</xdr:col>
      <xdr:colOff>791534</xdr:colOff>
      <xdr:row>5</xdr:row>
      <xdr:rowOff>74747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76CA7702-A6AF-4555-833B-42AD07957B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2620" y="424228"/>
          <a:ext cx="427014" cy="1050694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181449</xdr:colOff>
      <xdr:row>2</xdr:row>
      <xdr:rowOff>885</xdr:rowOff>
    </xdr:from>
    <xdr:ext cx="867600" cy="276225"/>
    <xdr:sp macro="" textlink="">
      <xdr:nvSpPr>
        <xdr:cNvPr id="2" name="Shape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F0A5955-42B6-421C-A749-7E2965B7C518}"/>
            </a:ext>
          </a:extLst>
        </xdr:cNvPr>
        <xdr:cNvSpPr/>
      </xdr:nvSpPr>
      <xdr:spPr>
        <a:xfrm>
          <a:off x="5977412" y="581910"/>
          <a:ext cx="867600" cy="276225"/>
        </a:xfrm>
        <a:prstGeom prst="roundRect">
          <a:avLst>
            <a:gd name="adj" fmla="val 16667"/>
          </a:avLst>
        </a:prstGeom>
        <a:solidFill>
          <a:srgbClr val="EBF6FF"/>
        </a:solidFill>
        <a:ln>
          <a:solidFill>
            <a:srgbClr val="023F71"/>
          </a:solidFill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rgbClr val="023F71"/>
              </a:solidFill>
              <a:latin typeface="Calibri"/>
              <a:ea typeface="Calibri"/>
              <a:cs typeface="Calibri"/>
              <a:sym typeface="Calibri"/>
            </a:rPr>
            <a:t>Grupo D</a:t>
          </a:r>
          <a:endParaRPr sz="1200" b="1">
            <a:solidFill>
              <a:srgbClr val="023F71"/>
            </a:solidFill>
            <a:latin typeface="Calibri"/>
            <a:ea typeface="Calibri"/>
            <a:cs typeface="Calibri"/>
          </a:endParaRPr>
        </a:p>
      </xdr:txBody>
    </xdr:sp>
    <xdr:clientData fLocksWithSheet="0"/>
  </xdr:oneCellAnchor>
  <xdr:oneCellAnchor>
    <xdr:from>
      <xdr:col>11</xdr:col>
      <xdr:colOff>74692</xdr:colOff>
      <xdr:row>1</xdr:row>
      <xdr:rowOff>232660</xdr:rowOff>
    </xdr:from>
    <xdr:ext cx="867600" cy="276225"/>
    <xdr:sp macro="" textlink="">
      <xdr:nvSpPr>
        <xdr:cNvPr id="3" name="Shape 1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F5BFBF0-6C7F-4F44-A7F9-541A22F4BC99}"/>
            </a:ext>
          </a:extLst>
        </xdr:cNvPr>
        <xdr:cNvSpPr/>
      </xdr:nvSpPr>
      <xdr:spPr>
        <a:xfrm>
          <a:off x="4784805" y="580322"/>
          <a:ext cx="867600" cy="276225"/>
        </a:xfrm>
        <a:prstGeom prst="roundRect">
          <a:avLst>
            <a:gd name="adj" fmla="val 16667"/>
          </a:avLst>
        </a:prstGeom>
        <a:solidFill>
          <a:srgbClr val="EBF6FF"/>
        </a:solidFill>
        <a:ln>
          <a:solidFill>
            <a:srgbClr val="023F71"/>
          </a:solidFill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rgbClr val="023F71"/>
              </a:solidFill>
              <a:latin typeface="Calibri"/>
              <a:ea typeface="Calibri"/>
              <a:cs typeface="Calibri"/>
              <a:sym typeface="Calibri"/>
            </a:rPr>
            <a:t>Grupo C</a:t>
          </a:r>
          <a:endParaRPr sz="1200" b="1">
            <a:solidFill>
              <a:srgbClr val="023F71"/>
            </a:solidFill>
            <a:latin typeface="Calibri"/>
            <a:ea typeface="Calibri"/>
            <a:cs typeface="Calibri"/>
          </a:endParaRPr>
        </a:p>
      </xdr:txBody>
    </xdr:sp>
    <xdr:clientData fLocksWithSheet="0"/>
  </xdr:oneCellAnchor>
  <xdr:twoCellAnchor editAs="oneCell">
    <xdr:from>
      <xdr:col>1</xdr:col>
      <xdr:colOff>176213</xdr:colOff>
      <xdr:row>1</xdr:row>
      <xdr:rowOff>123825</xdr:rowOff>
    </xdr:from>
    <xdr:to>
      <xdr:col>3</xdr:col>
      <xdr:colOff>395288</xdr:colOff>
      <xdr:row>5</xdr:row>
      <xdr:rowOff>97154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85DAB554-69CF-454F-B242-F4E629B7FC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duotone>
            <a:prstClr val="black"/>
            <a:schemeClr val="accent1">
              <a:tint val="45000"/>
              <a:satMod val="400000"/>
            </a:schemeClr>
          </a:duotone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saturation sat="276000"/>
                  </a14:imgEffect>
                  <a14:imgEffect>
                    <a14:brightnessContrast bright="-42000" contrast="18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3388" y="476250"/>
          <a:ext cx="1033463" cy="1023938"/>
        </a:xfrm>
        <a:prstGeom prst="rect">
          <a:avLst/>
        </a:prstGeom>
        <a:noFill/>
      </xdr:spPr>
    </xdr:pic>
    <xdr:clientData/>
  </xdr:twoCellAnchor>
  <xdr:oneCellAnchor>
    <xdr:from>
      <xdr:col>6</xdr:col>
      <xdr:colOff>347776</xdr:colOff>
      <xdr:row>2</xdr:row>
      <xdr:rowOff>4060</xdr:rowOff>
    </xdr:from>
    <xdr:ext cx="866775" cy="276225"/>
    <xdr:sp macro="" textlink="">
      <xdr:nvSpPr>
        <xdr:cNvPr id="6" name="Shape 1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B024F2EC-C677-4EBD-8021-9D5DE8C0CF40}"/>
            </a:ext>
          </a:extLst>
        </xdr:cNvPr>
        <xdr:cNvSpPr/>
      </xdr:nvSpPr>
      <xdr:spPr>
        <a:xfrm>
          <a:off x="2367076" y="585085"/>
          <a:ext cx="866775" cy="276225"/>
        </a:xfrm>
        <a:prstGeom prst="roundRect">
          <a:avLst>
            <a:gd name="adj" fmla="val 16667"/>
          </a:avLst>
        </a:prstGeom>
        <a:solidFill>
          <a:srgbClr val="EBF6FF"/>
        </a:solidFill>
        <a:ln>
          <a:solidFill>
            <a:srgbClr val="023F71"/>
          </a:solidFill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rgbClr val="023F71"/>
              </a:solidFill>
              <a:latin typeface="Calibri"/>
              <a:ea typeface="Calibri"/>
              <a:cs typeface="Calibri"/>
              <a:sym typeface="Calibri"/>
            </a:rPr>
            <a:t>Grupo A</a:t>
          </a:r>
          <a:endParaRPr sz="1400" b="1">
            <a:solidFill>
              <a:srgbClr val="023F71"/>
            </a:solidFill>
          </a:endParaRPr>
        </a:p>
      </xdr:txBody>
    </xdr:sp>
    <xdr:clientData fLocksWithSheet="0"/>
  </xdr:oneCellAnchor>
  <xdr:oneCellAnchor>
    <xdr:from>
      <xdr:col>7</xdr:col>
      <xdr:colOff>148909</xdr:colOff>
      <xdr:row>1</xdr:row>
      <xdr:rowOff>235835</xdr:rowOff>
    </xdr:from>
    <xdr:ext cx="867600" cy="276225"/>
    <xdr:sp macro="" textlink="">
      <xdr:nvSpPr>
        <xdr:cNvPr id="7" name="Shape 1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1B5836E6-61BA-45C9-ADAE-28E128626EC9}"/>
            </a:ext>
          </a:extLst>
        </xdr:cNvPr>
        <xdr:cNvSpPr/>
      </xdr:nvSpPr>
      <xdr:spPr>
        <a:xfrm>
          <a:off x="3577909" y="578735"/>
          <a:ext cx="867600" cy="276225"/>
        </a:xfrm>
        <a:prstGeom prst="roundRect">
          <a:avLst>
            <a:gd name="adj" fmla="val 16667"/>
          </a:avLst>
        </a:prstGeom>
        <a:solidFill>
          <a:srgbClr val="EBF6FF"/>
        </a:solidFill>
        <a:ln>
          <a:solidFill>
            <a:srgbClr val="023F71"/>
          </a:solidFill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rgbClr val="023F71"/>
              </a:solidFill>
              <a:latin typeface="Calibri"/>
              <a:ea typeface="Calibri"/>
              <a:cs typeface="Calibri"/>
              <a:sym typeface="Calibri"/>
            </a:rPr>
            <a:t>Grupo B</a:t>
          </a:r>
          <a:endParaRPr sz="1400" b="1">
            <a:solidFill>
              <a:srgbClr val="023F71"/>
            </a:solidFill>
          </a:endParaRPr>
        </a:p>
      </xdr:txBody>
    </xdr:sp>
    <xdr:clientData fLocksWithSheet="0"/>
  </xdr:oneCellAnchor>
  <xdr:oneCellAnchor>
    <xdr:from>
      <xdr:col>14</xdr:col>
      <xdr:colOff>180768</xdr:colOff>
      <xdr:row>3</xdr:row>
      <xdr:rowOff>19935</xdr:rowOff>
    </xdr:from>
    <xdr:ext cx="867600" cy="276225"/>
    <xdr:sp macro="" textlink="">
      <xdr:nvSpPr>
        <xdr:cNvPr id="8" name="Shape 15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9A0870F4-5098-487D-AF95-08E88801DF0D}"/>
            </a:ext>
          </a:extLst>
        </xdr:cNvPr>
        <xdr:cNvSpPr/>
      </xdr:nvSpPr>
      <xdr:spPr>
        <a:xfrm>
          <a:off x="5976731" y="1048635"/>
          <a:ext cx="867600" cy="276225"/>
        </a:xfrm>
        <a:prstGeom prst="roundRect">
          <a:avLst>
            <a:gd name="adj" fmla="val 16667"/>
          </a:avLst>
        </a:prstGeom>
        <a:solidFill>
          <a:srgbClr val="EBF6FF"/>
        </a:solidFill>
        <a:ln>
          <a:solidFill>
            <a:srgbClr val="023F71"/>
          </a:solidFill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rgbClr val="023F71"/>
              </a:solidFill>
              <a:latin typeface="Calibri"/>
              <a:ea typeface="Calibri"/>
              <a:cs typeface="Calibri"/>
              <a:sym typeface="Calibri"/>
            </a:rPr>
            <a:t>Grupo H</a:t>
          </a:r>
          <a:endParaRPr sz="1200" b="1">
            <a:solidFill>
              <a:srgbClr val="023F71"/>
            </a:solidFill>
            <a:latin typeface="Calibri"/>
            <a:ea typeface="Calibri"/>
            <a:cs typeface="Calibri"/>
          </a:endParaRPr>
        </a:p>
      </xdr:txBody>
    </xdr:sp>
    <xdr:clientData fLocksWithSheet="0"/>
  </xdr:oneCellAnchor>
  <xdr:oneCellAnchor>
    <xdr:from>
      <xdr:col>11</xdr:col>
      <xdr:colOff>74011</xdr:colOff>
      <xdr:row>3</xdr:row>
      <xdr:rowOff>13585</xdr:rowOff>
    </xdr:from>
    <xdr:ext cx="867600" cy="276225"/>
    <xdr:sp macro="" textlink="">
      <xdr:nvSpPr>
        <xdr:cNvPr id="9" name="Shape 17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E230163C-EA88-4F49-88D5-71156EC9E1FF}"/>
            </a:ext>
          </a:extLst>
        </xdr:cNvPr>
        <xdr:cNvSpPr/>
      </xdr:nvSpPr>
      <xdr:spPr>
        <a:xfrm>
          <a:off x="4784124" y="1042285"/>
          <a:ext cx="867600" cy="276225"/>
        </a:xfrm>
        <a:prstGeom prst="roundRect">
          <a:avLst>
            <a:gd name="adj" fmla="val 16667"/>
          </a:avLst>
        </a:prstGeom>
        <a:solidFill>
          <a:srgbClr val="023F71"/>
        </a:solidFill>
        <a:ln>
          <a:solidFill>
            <a:srgbClr val="023F71"/>
          </a:solidFill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rgbClr val="EBF6FF"/>
              </a:solidFill>
              <a:latin typeface="Calibri"/>
              <a:ea typeface="Calibri"/>
              <a:cs typeface="Calibri"/>
              <a:sym typeface="Calibri"/>
            </a:rPr>
            <a:t>Grupo G</a:t>
          </a:r>
          <a:endParaRPr sz="1200" b="1">
            <a:solidFill>
              <a:srgbClr val="EBF6FF"/>
            </a:solidFill>
            <a:latin typeface="Calibri"/>
            <a:ea typeface="Calibri"/>
            <a:cs typeface="Calibri"/>
          </a:endParaRPr>
        </a:p>
      </xdr:txBody>
    </xdr:sp>
    <xdr:clientData fLocksWithSheet="0"/>
  </xdr:oneCellAnchor>
  <xdr:oneCellAnchor>
    <xdr:from>
      <xdr:col>6</xdr:col>
      <xdr:colOff>347095</xdr:colOff>
      <xdr:row>3</xdr:row>
      <xdr:rowOff>23110</xdr:rowOff>
    </xdr:from>
    <xdr:ext cx="866775" cy="276225"/>
    <xdr:sp macro="" textlink="">
      <xdr:nvSpPr>
        <xdr:cNvPr id="10" name="Shape 14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E299D4AC-8304-4E1F-8527-228DE8C30E08}"/>
            </a:ext>
          </a:extLst>
        </xdr:cNvPr>
        <xdr:cNvSpPr/>
      </xdr:nvSpPr>
      <xdr:spPr>
        <a:xfrm>
          <a:off x="2366395" y="1051810"/>
          <a:ext cx="866775" cy="276225"/>
        </a:xfrm>
        <a:prstGeom prst="roundRect">
          <a:avLst>
            <a:gd name="adj" fmla="val 16667"/>
          </a:avLst>
        </a:prstGeom>
        <a:solidFill>
          <a:srgbClr val="EBF6FF"/>
        </a:solidFill>
        <a:ln>
          <a:solidFill>
            <a:srgbClr val="023F71"/>
          </a:solidFill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rgbClr val="023F71"/>
              </a:solidFill>
              <a:latin typeface="Calibri"/>
              <a:ea typeface="Calibri"/>
              <a:cs typeface="Calibri"/>
              <a:sym typeface="Calibri"/>
            </a:rPr>
            <a:t>Grupo E</a:t>
          </a:r>
          <a:endParaRPr sz="1400" b="1">
            <a:solidFill>
              <a:srgbClr val="023F71"/>
            </a:solidFill>
          </a:endParaRPr>
        </a:p>
      </xdr:txBody>
    </xdr:sp>
    <xdr:clientData fLocksWithSheet="0"/>
  </xdr:oneCellAnchor>
  <xdr:oneCellAnchor>
    <xdr:from>
      <xdr:col>7</xdr:col>
      <xdr:colOff>148228</xdr:colOff>
      <xdr:row>3</xdr:row>
      <xdr:rowOff>16760</xdr:rowOff>
    </xdr:from>
    <xdr:ext cx="867600" cy="276225"/>
    <xdr:sp macro="" textlink="">
      <xdr:nvSpPr>
        <xdr:cNvPr id="11" name="Shape 16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B922B4C4-E32B-4EEA-AB5B-087B49FD071D}"/>
            </a:ext>
          </a:extLst>
        </xdr:cNvPr>
        <xdr:cNvSpPr/>
      </xdr:nvSpPr>
      <xdr:spPr>
        <a:xfrm>
          <a:off x="3577228" y="1045460"/>
          <a:ext cx="867600" cy="276225"/>
        </a:xfrm>
        <a:prstGeom prst="roundRect">
          <a:avLst>
            <a:gd name="adj" fmla="val 16667"/>
          </a:avLst>
        </a:prstGeom>
        <a:solidFill>
          <a:srgbClr val="EBF6FF"/>
        </a:solidFill>
        <a:ln>
          <a:solidFill>
            <a:srgbClr val="023F71"/>
          </a:solidFill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rgbClr val="023F71"/>
              </a:solidFill>
              <a:latin typeface="Calibri"/>
              <a:ea typeface="Calibri"/>
              <a:cs typeface="Calibri"/>
              <a:sym typeface="Calibri"/>
            </a:rPr>
            <a:t>Grupo F</a:t>
          </a:r>
          <a:endParaRPr sz="1400" b="1">
            <a:solidFill>
              <a:srgbClr val="023F71"/>
            </a:solidFill>
          </a:endParaRPr>
        </a:p>
      </xdr:txBody>
    </xdr:sp>
    <xdr:clientData fLocksWithSheet="0"/>
  </xdr:oneCellAnchor>
  <xdr:oneCellAnchor>
    <xdr:from>
      <xdr:col>19</xdr:col>
      <xdr:colOff>47625</xdr:colOff>
      <xdr:row>1</xdr:row>
      <xdr:rowOff>123825</xdr:rowOff>
    </xdr:from>
    <xdr:ext cx="3538652" cy="968983"/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FAA9EF39-83F0-4CB5-B0EB-A8D71D7B0646}"/>
            </a:ext>
          </a:extLst>
        </xdr:cNvPr>
        <xdr:cNvSpPr/>
      </xdr:nvSpPr>
      <xdr:spPr>
        <a:xfrm>
          <a:off x="9167813" y="476250"/>
          <a:ext cx="3538652" cy="968983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s-ES" sz="2800" b="1" cap="none" spc="0">
              <a:ln w="9525">
                <a:solidFill>
                  <a:srgbClr val="023F71"/>
                </a:solidFill>
                <a:prstDash val="solid"/>
              </a:ln>
              <a:solidFill>
                <a:srgbClr val="023F7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FIFA CLUB</a:t>
          </a:r>
        </a:p>
        <a:p>
          <a:pPr algn="ctr"/>
          <a:r>
            <a:rPr lang="es-ES" sz="2800" b="1" cap="none" spc="0">
              <a:ln w="9525">
                <a:solidFill>
                  <a:srgbClr val="023F71"/>
                </a:solidFill>
                <a:prstDash val="solid"/>
              </a:ln>
              <a:solidFill>
                <a:srgbClr val="023F7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WORLD CUP 2025</a:t>
          </a:r>
        </a:p>
      </xdr:txBody>
    </xdr:sp>
    <xdr:clientData/>
  </xdr:oneCellAnchor>
  <xdr:twoCellAnchor editAs="oneCell">
    <xdr:from>
      <xdr:col>17</xdr:col>
      <xdr:colOff>364520</xdr:colOff>
      <xdr:row>1</xdr:row>
      <xdr:rowOff>71803</xdr:rowOff>
    </xdr:from>
    <xdr:to>
      <xdr:col>17</xdr:col>
      <xdr:colOff>791534</xdr:colOff>
      <xdr:row>5</xdr:row>
      <xdr:rowOff>74747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550AF6BA-1FD6-45CF-B139-EDE90DDC85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2620" y="424228"/>
          <a:ext cx="427014" cy="1050694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181449</xdr:colOff>
      <xdr:row>2</xdr:row>
      <xdr:rowOff>885</xdr:rowOff>
    </xdr:from>
    <xdr:ext cx="867600" cy="276225"/>
    <xdr:sp macro="" textlink="">
      <xdr:nvSpPr>
        <xdr:cNvPr id="2" name="Shape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A7DE7B8-93A2-417E-914D-83509CA2B85F}"/>
            </a:ext>
          </a:extLst>
        </xdr:cNvPr>
        <xdr:cNvSpPr/>
      </xdr:nvSpPr>
      <xdr:spPr>
        <a:xfrm>
          <a:off x="5977412" y="581910"/>
          <a:ext cx="867600" cy="276225"/>
        </a:xfrm>
        <a:prstGeom prst="roundRect">
          <a:avLst>
            <a:gd name="adj" fmla="val 16667"/>
          </a:avLst>
        </a:prstGeom>
        <a:solidFill>
          <a:srgbClr val="EBF6FF"/>
        </a:solidFill>
        <a:ln>
          <a:solidFill>
            <a:srgbClr val="023F71"/>
          </a:solidFill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rgbClr val="023F71"/>
              </a:solidFill>
              <a:latin typeface="Calibri"/>
              <a:ea typeface="Calibri"/>
              <a:cs typeface="Calibri"/>
              <a:sym typeface="Calibri"/>
            </a:rPr>
            <a:t>Grupo D</a:t>
          </a:r>
          <a:endParaRPr sz="1200" b="1">
            <a:solidFill>
              <a:srgbClr val="023F71"/>
            </a:solidFill>
            <a:latin typeface="Calibri"/>
            <a:ea typeface="Calibri"/>
            <a:cs typeface="Calibri"/>
          </a:endParaRPr>
        </a:p>
      </xdr:txBody>
    </xdr:sp>
    <xdr:clientData fLocksWithSheet="0"/>
  </xdr:oneCellAnchor>
  <xdr:oneCellAnchor>
    <xdr:from>
      <xdr:col>11</xdr:col>
      <xdr:colOff>74692</xdr:colOff>
      <xdr:row>1</xdr:row>
      <xdr:rowOff>232660</xdr:rowOff>
    </xdr:from>
    <xdr:ext cx="867600" cy="276225"/>
    <xdr:sp macro="" textlink="">
      <xdr:nvSpPr>
        <xdr:cNvPr id="3" name="Shape 1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68F1193-8E7F-40CA-B4F7-69215A8C28FE}"/>
            </a:ext>
          </a:extLst>
        </xdr:cNvPr>
        <xdr:cNvSpPr/>
      </xdr:nvSpPr>
      <xdr:spPr>
        <a:xfrm>
          <a:off x="4784805" y="580322"/>
          <a:ext cx="867600" cy="276225"/>
        </a:xfrm>
        <a:prstGeom prst="roundRect">
          <a:avLst>
            <a:gd name="adj" fmla="val 16667"/>
          </a:avLst>
        </a:prstGeom>
        <a:solidFill>
          <a:srgbClr val="EBF6FF"/>
        </a:solidFill>
        <a:ln>
          <a:solidFill>
            <a:srgbClr val="023F71"/>
          </a:solidFill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rgbClr val="023F71"/>
              </a:solidFill>
              <a:latin typeface="Calibri"/>
              <a:ea typeface="Calibri"/>
              <a:cs typeface="Calibri"/>
              <a:sym typeface="Calibri"/>
            </a:rPr>
            <a:t>Grupo C</a:t>
          </a:r>
          <a:endParaRPr sz="1200" b="1">
            <a:solidFill>
              <a:srgbClr val="023F71"/>
            </a:solidFill>
            <a:latin typeface="Calibri"/>
            <a:ea typeface="Calibri"/>
            <a:cs typeface="Calibri"/>
          </a:endParaRPr>
        </a:p>
      </xdr:txBody>
    </xdr:sp>
    <xdr:clientData fLocksWithSheet="0"/>
  </xdr:oneCellAnchor>
  <xdr:twoCellAnchor editAs="oneCell">
    <xdr:from>
      <xdr:col>1</xdr:col>
      <xdr:colOff>176213</xdr:colOff>
      <xdr:row>1</xdr:row>
      <xdr:rowOff>123825</xdr:rowOff>
    </xdr:from>
    <xdr:to>
      <xdr:col>3</xdr:col>
      <xdr:colOff>395288</xdr:colOff>
      <xdr:row>5</xdr:row>
      <xdr:rowOff>97154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CF45946-DBD1-44F7-AD74-2335475E47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duotone>
            <a:prstClr val="black"/>
            <a:schemeClr val="accent1">
              <a:tint val="45000"/>
              <a:satMod val="400000"/>
            </a:schemeClr>
          </a:duotone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saturation sat="276000"/>
                  </a14:imgEffect>
                  <a14:imgEffect>
                    <a14:brightnessContrast bright="-42000" contrast="18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3388" y="476250"/>
          <a:ext cx="1033463" cy="1023938"/>
        </a:xfrm>
        <a:prstGeom prst="rect">
          <a:avLst/>
        </a:prstGeom>
        <a:noFill/>
      </xdr:spPr>
    </xdr:pic>
    <xdr:clientData/>
  </xdr:twoCellAnchor>
  <xdr:oneCellAnchor>
    <xdr:from>
      <xdr:col>6</xdr:col>
      <xdr:colOff>347776</xdr:colOff>
      <xdr:row>2</xdr:row>
      <xdr:rowOff>4060</xdr:rowOff>
    </xdr:from>
    <xdr:ext cx="866775" cy="276225"/>
    <xdr:sp macro="" textlink="">
      <xdr:nvSpPr>
        <xdr:cNvPr id="6" name="Shape 1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AF2D2CCD-2AF8-4A95-ABE8-FAABA560DEBB}"/>
            </a:ext>
          </a:extLst>
        </xdr:cNvPr>
        <xdr:cNvSpPr/>
      </xdr:nvSpPr>
      <xdr:spPr>
        <a:xfrm>
          <a:off x="2367076" y="585085"/>
          <a:ext cx="866775" cy="276225"/>
        </a:xfrm>
        <a:prstGeom prst="roundRect">
          <a:avLst>
            <a:gd name="adj" fmla="val 16667"/>
          </a:avLst>
        </a:prstGeom>
        <a:solidFill>
          <a:srgbClr val="EBF6FF"/>
        </a:solidFill>
        <a:ln>
          <a:solidFill>
            <a:srgbClr val="023F71"/>
          </a:solidFill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rgbClr val="023F71"/>
              </a:solidFill>
              <a:latin typeface="Calibri"/>
              <a:ea typeface="Calibri"/>
              <a:cs typeface="Calibri"/>
              <a:sym typeface="Calibri"/>
            </a:rPr>
            <a:t>Grupo A</a:t>
          </a:r>
          <a:endParaRPr sz="1400" b="1">
            <a:solidFill>
              <a:srgbClr val="023F71"/>
            </a:solidFill>
          </a:endParaRPr>
        </a:p>
      </xdr:txBody>
    </xdr:sp>
    <xdr:clientData fLocksWithSheet="0"/>
  </xdr:oneCellAnchor>
  <xdr:oneCellAnchor>
    <xdr:from>
      <xdr:col>7</xdr:col>
      <xdr:colOff>148909</xdr:colOff>
      <xdr:row>1</xdr:row>
      <xdr:rowOff>235835</xdr:rowOff>
    </xdr:from>
    <xdr:ext cx="867600" cy="276225"/>
    <xdr:sp macro="" textlink="">
      <xdr:nvSpPr>
        <xdr:cNvPr id="7" name="Shape 1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A8ABB052-12CA-4B42-A561-6BACA1E3AA34}"/>
            </a:ext>
          </a:extLst>
        </xdr:cNvPr>
        <xdr:cNvSpPr/>
      </xdr:nvSpPr>
      <xdr:spPr>
        <a:xfrm>
          <a:off x="3577909" y="578735"/>
          <a:ext cx="867600" cy="276225"/>
        </a:xfrm>
        <a:prstGeom prst="roundRect">
          <a:avLst>
            <a:gd name="adj" fmla="val 16667"/>
          </a:avLst>
        </a:prstGeom>
        <a:solidFill>
          <a:srgbClr val="EBF6FF"/>
        </a:solidFill>
        <a:ln>
          <a:solidFill>
            <a:srgbClr val="023F71"/>
          </a:solidFill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rgbClr val="023F71"/>
              </a:solidFill>
              <a:latin typeface="Calibri"/>
              <a:ea typeface="Calibri"/>
              <a:cs typeface="Calibri"/>
              <a:sym typeface="Calibri"/>
            </a:rPr>
            <a:t>Grupo B</a:t>
          </a:r>
          <a:endParaRPr sz="1400" b="1">
            <a:solidFill>
              <a:srgbClr val="023F71"/>
            </a:solidFill>
          </a:endParaRPr>
        </a:p>
      </xdr:txBody>
    </xdr:sp>
    <xdr:clientData fLocksWithSheet="0"/>
  </xdr:oneCellAnchor>
  <xdr:oneCellAnchor>
    <xdr:from>
      <xdr:col>14</xdr:col>
      <xdr:colOff>180768</xdr:colOff>
      <xdr:row>3</xdr:row>
      <xdr:rowOff>19935</xdr:rowOff>
    </xdr:from>
    <xdr:ext cx="867600" cy="276225"/>
    <xdr:sp macro="" textlink="">
      <xdr:nvSpPr>
        <xdr:cNvPr id="8" name="Shape 15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15468864-C094-49AB-A160-8D8800C16E3B}"/>
            </a:ext>
          </a:extLst>
        </xdr:cNvPr>
        <xdr:cNvSpPr/>
      </xdr:nvSpPr>
      <xdr:spPr>
        <a:xfrm>
          <a:off x="5976731" y="1048635"/>
          <a:ext cx="867600" cy="276225"/>
        </a:xfrm>
        <a:prstGeom prst="roundRect">
          <a:avLst>
            <a:gd name="adj" fmla="val 16667"/>
          </a:avLst>
        </a:prstGeom>
        <a:solidFill>
          <a:srgbClr val="023F71"/>
        </a:solidFill>
        <a:ln>
          <a:solidFill>
            <a:srgbClr val="023F71"/>
          </a:solidFill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rgbClr val="EBF6FF"/>
              </a:solidFill>
              <a:latin typeface="Calibri"/>
              <a:ea typeface="Calibri"/>
              <a:cs typeface="Calibri"/>
              <a:sym typeface="Calibri"/>
            </a:rPr>
            <a:t>Grupo H</a:t>
          </a:r>
          <a:endParaRPr sz="1200" b="1">
            <a:solidFill>
              <a:srgbClr val="EBF6FF"/>
            </a:solidFill>
            <a:latin typeface="Calibri"/>
            <a:ea typeface="Calibri"/>
            <a:cs typeface="Calibri"/>
          </a:endParaRPr>
        </a:p>
      </xdr:txBody>
    </xdr:sp>
    <xdr:clientData fLocksWithSheet="0"/>
  </xdr:oneCellAnchor>
  <xdr:oneCellAnchor>
    <xdr:from>
      <xdr:col>11</xdr:col>
      <xdr:colOff>74011</xdr:colOff>
      <xdr:row>3</xdr:row>
      <xdr:rowOff>13585</xdr:rowOff>
    </xdr:from>
    <xdr:ext cx="867600" cy="276225"/>
    <xdr:sp macro="" textlink="">
      <xdr:nvSpPr>
        <xdr:cNvPr id="9" name="Shape 17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BD188ACE-ACA9-49BB-955C-CF7DF7B6CAD8}"/>
            </a:ext>
          </a:extLst>
        </xdr:cNvPr>
        <xdr:cNvSpPr/>
      </xdr:nvSpPr>
      <xdr:spPr>
        <a:xfrm>
          <a:off x="4784124" y="1042285"/>
          <a:ext cx="867600" cy="276225"/>
        </a:xfrm>
        <a:prstGeom prst="roundRect">
          <a:avLst>
            <a:gd name="adj" fmla="val 16667"/>
          </a:avLst>
        </a:prstGeom>
        <a:solidFill>
          <a:srgbClr val="EBF6FF"/>
        </a:solidFill>
        <a:ln>
          <a:solidFill>
            <a:srgbClr val="023F71"/>
          </a:solidFill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rgbClr val="023F71"/>
              </a:solidFill>
              <a:latin typeface="Calibri"/>
              <a:ea typeface="Calibri"/>
              <a:cs typeface="Calibri"/>
              <a:sym typeface="Calibri"/>
            </a:rPr>
            <a:t>Grupo G</a:t>
          </a:r>
          <a:endParaRPr sz="1200" b="1">
            <a:solidFill>
              <a:srgbClr val="023F71"/>
            </a:solidFill>
            <a:latin typeface="Calibri"/>
            <a:ea typeface="Calibri"/>
            <a:cs typeface="Calibri"/>
          </a:endParaRPr>
        </a:p>
      </xdr:txBody>
    </xdr:sp>
    <xdr:clientData fLocksWithSheet="0"/>
  </xdr:oneCellAnchor>
  <xdr:oneCellAnchor>
    <xdr:from>
      <xdr:col>6</xdr:col>
      <xdr:colOff>347095</xdr:colOff>
      <xdr:row>3</xdr:row>
      <xdr:rowOff>23110</xdr:rowOff>
    </xdr:from>
    <xdr:ext cx="866775" cy="276225"/>
    <xdr:sp macro="" textlink="">
      <xdr:nvSpPr>
        <xdr:cNvPr id="10" name="Shape 14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5D24778-E56A-4C77-A7A4-6204F8E19BBD}"/>
            </a:ext>
          </a:extLst>
        </xdr:cNvPr>
        <xdr:cNvSpPr/>
      </xdr:nvSpPr>
      <xdr:spPr>
        <a:xfrm>
          <a:off x="2366395" y="1051810"/>
          <a:ext cx="866775" cy="276225"/>
        </a:xfrm>
        <a:prstGeom prst="roundRect">
          <a:avLst>
            <a:gd name="adj" fmla="val 16667"/>
          </a:avLst>
        </a:prstGeom>
        <a:solidFill>
          <a:srgbClr val="EBF6FF"/>
        </a:solidFill>
        <a:ln>
          <a:solidFill>
            <a:srgbClr val="023F71"/>
          </a:solidFill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rgbClr val="023F71"/>
              </a:solidFill>
              <a:latin typeface="Calibri"/>
              <a:ea typeface="Calibri"/>
              <a:cs typeface="Calibri"/>
              <a:sym typeface="Calibri"/>
            </a:rPr>
            <a:t>Grupo E</a:t>
          </a:r>
          <a:endParaRPr sz="1400" b="1">
            <a:solidFill>
              <a:srgbClr val="023F71"/>
            </a:solidFill>
          </a:endParaRPr>
        </a:p>
      </xdr:txBody>
    </xdr:sp>
    <xdr:clientData fLocksWithSheet="0"/>
  </xdr:oneCellAnchor>
  <xdr:oneCellAnchor>
    <xdr:from>
      <xdr:col>7</xdr:col>
      <xdr:colOff>148228</xdr:colOff>
      <xdr:row>3</xdr:row>
      <xdr:rowOff>16760</xdr:rowOff>
    </xdr:from>
    <xdr:ext cx="867600" cy="276225"/>
    <xdr:sp macro="" textlink="">
      <xdr:nvSpPr>
        <xdr:cNvPr id="11" name="Shape 16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85C0CCF0-F465-44EB-9FB4-F920CF1E044D}"/>
            </a:ext>
          </a:extLst>
        </xdr:cNvPr>
        <xdr:cNvSpPr/>
      </xdr:nvSpPr>
      <xdr:spPr>
        <a:xfrm>
          <a:off x="3577228" y="1045460"/>
          <a:ext cx="867600" cy="276225"/>
        </a:xfrm>
        <a:prstGeom prst="roundRect">
          <a:avLst>
            <a:gd name="adj" fmla="val 16667"/>
          </a:avLst>
        </a:prstGeom>
        <a:solidFill>
          <a:srgbClr val="EBF6FF"/>
        </a:solidFill>
        <a:ln>
          <a:solidFill>
            <a:srgbClr val="023F71"/>
          </a:solidFill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rgbClr val="023F71"/>
              </a:solidFill>
              <a:latin typeface="Calibri"/>
              <a:ea typeface="Calibri"/>
              <a:cs typeface="Calibri"/>
              <a:sym typeface="Calibri"/>
            </a:rPr>
            <a:t>Grupo F</a:t>
          </a:r>
          <a:endParaRPr sz="1400" b="1">
            <a:solidFill>
              <a:srgbClr val="023F71"/>
            </a:solidFill>
          </a:endParaRPr>
        </a:p>
      </xdr:txBody>
    </xdr:sp>
    <xdr:clientData fLocksWithSheet="0"/>
  </xdr:oneCellAnchor>
  <xdr:oneCellAnchor>
    <xdr:from>
      <xdr:col>19</xdr:col>
      <xdr:colOff>47625</xdr:colOff>
      <xdr:row>1</xdr:row>
      <xdr:rowOff>123825</xdr:rowOff>
    </xdr:from>
    <xdr:ext cx="3538652" cy="968983"/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B06F620D-C832-4941-A448-35F88FDB5448}"/>
            </a:ext>
          </a:extLst>
        </xdr:cNvPr>
        <xdr:cNvSpPr/>
      </xdr:nvSpPr>
      <xdr:spPr>
        <a:xfrm>
          <a:off x="9167813" y="476250"/>
          <a:ext cx="3538652" cy="968983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s-ES" sz="2800" b="1" cap="none" spc="0">
              <a:ln w="9525">
                <a:solidFill>
                  <a:srgbClr val="023F71"/>
                </a:solidFill>
                <a:prstDash val="solid"/>
              </a:ln>
              <a:solidFill>
                <a:srgbClr val="023F7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FIFA CLUB</a:t>
          </a:r>
        </a:p>
        <a:p>
          <a:pPr algn="ctr"/>
          <a:r>
            <a:rPr lang="es-ES" sz="2800" b="1" cap="none" spc="0">
              <a:ln w="9525">
                <a:solidFill>
                  <a:srgbClr val="023F71"/>
                </a:solidFill>
                <a:prstDash val="solid"/>
              </a:ln>
              <a:solidFill>
                <a:srgbClr val="023F7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WORLD CUP 2025</a:t>
          </a:r>
        </a:p>
      </xdr:txBody>
    </xdr:sp>
    <xdr:clientData/>
  </xdr:oneCellAnchor>
  <xdr:twoCellAnchor editAs="oneCell">
    <xdr:from>
      <xdr:col>17</xdr:col>
      <xdr:colOff>364520</xdr:colOff>
      <xdr:row>1</xdr:row>
      <xdr:rowOff>71803</xdr:rowOff>
    </xdr:from>
    <xdr:to>
      <xdr:col>17</xdr:col>
      <xdr:colOff>791534</xdr:colOff>
      <xdr:row>5</xdr:row>
      <xdr:rowOff>74747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004B2FF0-D353-454A-992D-BA2C87E5BE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2620" y="424228"/>
          <a:ext cx="427014" cy="1050694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32</xdr:col>
      <xdr:colOff>789215</xdr:colOff>
      <xdr:row>2</xdr:row>
      <xdr:rowOff>68035</xdr:rowOff>
    </xdr:from>
    <xdr:to>
      <xdr:col>33</xdr:col>
      <xdr:colOff>506891</xdr:colOff>
      <xdr:row>7</xdr:row>
      <xdr:rowOff>112954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9C7D14A-6C2A-40D5-ABCB-38DFE9FC70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182240" y="258535"/>
          <a:ext cx="677796" cy="997419"/>
        </a:xfrm>
        <a:prstGeom prst="rect">
          <a:avLst/>
        </a:prstGeom>
      </xdr:spPr>
    </xdr:pic>
    <xdr:clientData/>
  </xdr:twoCellAnchor>
  <xdr:twoCellAnchor editAs="oneCell">
    <xdr:from>
      <xdr:col>34</xdr:col>
      <xdr:colOff>110379</xdr:colOff>
      <xdr:row>32</xdr:row>
      <xdr:rowOff>0</xdr:rowOff>
    </xdr:from>
    <xdr:to>
      <xdr:col>37</xdr:col>
      <xdr:colOff>475210</xdr:colOff>
      <xdr:row>41</xdr:row>
      <xdr:rowOff>127269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2C67E6D-66D7-499C-BB62-3589A74A42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427454" y="3516750"/>
          <a:ext cx="3250906" cy="1840817"/>
        </a:xfrm>
        <a:prstGeom prst="rect">
          <a:avLst/>
        </a:prstGeom>
      </xdr:spPr>
    </xdr:pic>
    <xdr:clientData/>
  </xdr:twoCellAnchor>
  <xdr:twoCellAnchor editAs="oneCell">
    <xdr:from>
      <xdr:col>33</xdr:col>
      <xdr:colOff>236893</xdr:colOff>
      <xdr:row>32</xdr:row>
      <xdr:rowOff>0</xdr:rowOff>
    </xdr:from>
    <xdr:to>
      <xdr:col>34</xdr:col>
      <xdr:colOff>641201</xdr:colOff>
      <xdr:row>41</xdr:row>
      <xdr:rowOff>98860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6BB0FC3-E1E9-4A31-8593-2B9C7DD763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1591943" y="3657600"/>
          <a:ext cx="1364428" cy="1814313"/>
        </a:xfrm>
        <a:prstGeom prst="rect">
          <a:avLst/>
        </a:prstGeom>
      </xdr:spPr>
    </xdr:pic>
    <xdr:clientData/>
  </xdr:twoCellAnchor>
  <xdr:twoCellAnchor editAs="oneCell">
    <xdr:from>
      <xdr:col>34</xdr:col>
      <xdr:colOff>866775</xdr:colOff>
      <xdr:row>11</xdr:row>
      <xdr:rowOff>0</xdr:rowOff>
    </xdr:from>
    <xdr:to>
      <xdr:col>35</xdr:col>
      <xdr:colOff>760881</xdr:colOff>
      <xdr:row>15</xdr:row>
      <xdr:rowOff>560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6349C7F0-F6BE-410E-B164-D34BF62E2E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183850" y="1943100"/>
          <a:ext cx="856131" cy="848285"/>
        </a:xfrm>
        <a:prstGeom prst="rect">
          <a:avLst/>
        </a:prstGeom>
      </xdr:spPr>
    </xdr:pic>
    <xdr:clientData/>
  </xdr:twoCellAnchor>
  <xdr:oneCellAnchor>
    <xdr:from>
      <xdr:col>34</xdr:col>
      <xdr:colOff>866775</xdr:colOff>
      <xdr:row>23</xdr:row>
      <xdr:rowOff>0</xdr:rowOff>
    </xdr:from>
    <xdr:ext cx="856131" cy="848285"/>
    <xdr:pic>
      <xdr:nvPicPr>
        <xdr:cNvPr id="8" name="Imagen 7">
          <a:extLst>
            <a:ext uri="{FF2B5EF4-FFF2-40B4-BE49-F238E27FC236}">
              <a16:creationId xmlns:a16="http://schemas.microsoft.com/office/drawing/2014/main" id="{D2C35797-8918-43C6-A9BD-80DDA8C858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183850" y="2295525"/>
          <a:ext cx="856131" cy="848285"/>
        </a:xfrm>
        <a:prstGeom prst="rect">
          <a:avLst/>
        </a:prstGeom>
      </xdr:spPr>
    </xdr:pic>
    <xdr:clientData/>
  </xdr:oneCellAnchor>
  <xdr:twoCellAnchor editAs="oneCell">
    <xdr:from>
      <xdr:col>3</xdr:col>
      <xdr:colOff>47625</xdr:colOff>
      <xdr:row>1</xdr:row>
      <xdr:rowOff>104775</xdr:rowOff>
    </xdr:from>
    <xdr:to>
      <xdr:col>4</xdr:col>
      <xdr:colOff>362472</xdr:colOff>
      <xdr:row>6</xdr:row>
      <xdr:rowOff>38100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B902CF7D-6D25-43D0-A2EA-8541FEA331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duotone>
            <a:prstClr val="black"/>
            <a:schemeClr val="accent1">
              <a:tint val="45000"/>
              <a:satMod val="400000"/>
            </a:schemeClr>
          </a:duotone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saturation sat="276000"/>
                  </a14:imgEffect>
                  <a14:imgEffect>
                    <a14:brightnessContrast bright="-42000" contrast="18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6775" y="457200"/>
          <a:ext cx="829197" cy="885825"/>
        </a:xfrm>
        <a:prstGeom prst="rect">
          <a:avLst/>
        </a:prstGeom>
        <a:noFill/>
      </xdr:spPr>
    </xdr:pic>
    <xdr:clientData/>
  </xdr:twoCellAnchor>
  <xdr:twoCellAnchor editAs="oneCell">
    <xdr:from>
      <xdr:col>20</xdr:col>
      <xdr:colOff>514350</xdr:colOff>
      <xdr:row>1</xdr:row>
      <xdr:rowOff>38100</xdr:rowOff>
    </xdr:from>
    <xdr:to>
      <xdr:col>20</xdr:col>
      <xdr:colOff>935650</xdr:colOff>
      <xdr:row>6</xdr:row>
      <xdr:rowOff>152488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C8092745-F350-4033-BEF4-478C112287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34575" y="390525"/>
          <a:ext cx="421300" cy="1066888"/>
        </a:xfrm>
        <a:prstGeom prst="rect">
          <a:avLst/>
        </a:prstGeom>
      </xdr:spPr>
    </xdr:pic>
    <xdr:clientData/>
  </xdr:twoCellAnchor>
  <xdr:oneCellAnchor>
    <xdr:from>
      <xdr:col>4</xdr:col>
      <xdr:colOff>447674</xdr:colOff>
      <xdr:row>1</xdr:row>
      <xdr:rowOff>66675</xdr:rowOff>
    </xdr:from>
    <xdr:ext cx="5553075" cy="968983"/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A63D0F90-CFEC-40D2-9FD7-37D8A011A7FE}"/>
            </a:ext>
          </a:extLst>
        </xdr:cNvPr>
        <xdr:cNvSpPr/>
      </xdr:nvSpPr>
      <xdr:spPr>
        <a:xfrm>
          <a:off x="1781174" y="419100"/>
          <a:ext cx="5553075" cy="968983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s-ES" sz="2800" b="1" cap="none" spc="0">
              <a:ln w="9525">
                <a:solidFill>
                  <a:srgbClr val="023F71"/>
                </a:solidFill>
                <a:prstDash val="solid"/>
              </a:ln>
              <a:solidFill>
                <a:srgbClr val="023F7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FIFA CLUB</a:t>
          </a:r>
        </a:p>
        <a:p>
          <a:pPr algn="ctr"/>
          <a:r>
            <a:rPr lang="es-ES" sz="2800" b="1" cap="none" spc="0">
              <a:ln w="9525">
                <a:solidFill>
                  <a:srgbClr val="023F71"/>
                </a:solidFill>
                <a:prstDash val="solid"/>
              </a:ln>
              <a:solidFill>
                <a:srgbClr val="023F7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WORLD CUP 2025</a:t>
          </a:r>
        </a:p>
      </xdr:txBody>
    </xdr:sp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32</xdr:col>
      <xdr:colOff>789215</xdr:colOff>
      <xdr:row>2</xdr:row>
      <xdr:rowOff>68035</xdr:rowOff>
    </xdr:from>
    <xdr:to>
      <xdr:col>33</xdr:col>
      <xdr:colOff>506891</xdr:colOff>
      <xdr:row>7</xdr:row>
      <xdr:rowOff>112954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4A2CE80-D40B-4DEF-9BB4-396EA5EF41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429890" y="610960"/>
          <a:ext cx="677796" cy="997419"/>
        </a:xfrm>
        <a:prstGeom prst="rect">
          <a:avLst/>
        </a:prstGeom>
      </xdr:spPr>
    </xdr:pic>
    <xdr:clientData/>
  </xdr:twoCellAnchor>
  <xdr:twoCellAnchor editAs="oneCell">
    <xdr:from>
      <xdr:col>34</xdr:col>
      <xdr:colOff>110379</xdr:colOff>
      <xdr:row>20</xdr:row>
      <xdr:rowOff>0</xdr:rowOff>
    </xdr:from>
    <xdr:to>
      <xdr:col>37</xdr:col>
      <xdr:colOff>475210</xdr:colOff>
      <xdr:row>29</xdr:row>
      <xdr:rowOff>127269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BD6CC69-C5E2-4598-8B09-46B90303A3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675104" y="6981825"/>
          <a:ext cx="3250906" cy="1840817"/>
        </a:xfrm>
        <a:prstGeom prst="rect">
          <a:avLst/>
        </a:prstGeom>
      </xdr:spPr>
    </xdr:pic>
    <xdr:clientData/>
  </xdr:twoCellAnchor>
  <xdr:twoCellAnchor editAs="oneCell">
    <xdr:from>
      <xdr:col>33</xdr:col>
      <xdr:colOff>236893</xdr:colOff>
      <xdr:row>20</xdr:row>
      <xdr:rowOff>0</xdr:rowOff>
    </xdr:from>
    <xdr:to>
      <xdr:col>34</xdr:col>
      <xdr:colOff>641201</xdr:colOff>
      <xdr:row>29</xdr:row>
      <xdr:rowOff>98860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70EA47D-D094-4E99-8E46-6A829CC73E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1839593" y="6981825"/>
          <a:ext cx="1364428" cy="1814313"/>
        </a:xfrm>
        <a:prstGeom prst="rect">
          <a:avLst/>
        </a:prstGeom>
      </xdr:spPr>
    </xdr:pic>
    <xdr:clientData/>
  </xdr:twoCellAnchor>
  <xdr:twoCellAnchor editAs="oneCell">
    <xdr:from>
      <xdr:col>34</xdr:col>
      <xdr:colOff>866775</xdr:colOff>
      <xdr:row>11</xdr:row>
      <xdr:rowOff>0</xdr:rowOff>
    </xdr:from>
    <xdr:to>
      <xdr:col>35</xdr:col>
      <xdr:colOff>760881</xdr:colOff>
      <xdr:row>15</xdr:row>
      <xdr:rowOff>560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CB9F339-10C9-4FA1-AFDF-96A6883D1A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31500" y="2381250"/>
          <a:ext cx="856131" cy="848285"/>
        </a:xfrm>
        <a:prstGeom prst="rect">
          <a:avLst/>
        </a:prstGeom>
      </xdr:spPr>
    </xdr:pic>
    <xdr:clientData/>
  </xdr:twoCellAnchor>
  <xdr:oneCellAnchor>
    <xdr:from>
      <xdr:col>34</xdr:col>
      <xdr:colOff>866775</xdr:colOff>
      <xdr:row>20</xdr:row>
      <xdr:rowOff>0</xdr:rowOff>
    </xdr:from>
    <xdr:ext cx="856131" cy="848285"/>
    <xdr:pic>
      <xdr:nvPicPr>
        <xdr:cNvPr id="6" name="Imagen 5">
          <a:extLst>
            <a:ext uri="{FF2B5EF4-FFF2-40B4-BE49-F238E27FC236}">
              <a16:creationId xmlns:a16="http://schemas.microsoft.com/office/drawing/2014/main" id="{D5DAF28F-53F5-49C8-B6A8-002BB1AE48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31500" y="5010150"/>
          <a:ext cx="856131" cy="848285"/>
        </a:xfrm>
        <a:prstGeom prst="rect">
          <a:avLst/>
        </a:prstGeom>
      </xdr:spPr>
    </xdr:pic>
    <xdr:clientData/>
  </xdr:oneCellAnchor>
  <xdr:twoCellAnchor editAs="oneCell">
    <xdr:from>
      <xdr:col>3</xdr:col>
      <xdr:colOff>47625</xdr:colOff>
      <xdr:row>1</xdr:row>
      <xdr:rowOff>104775</xdr:rowOff>
    </xdr:from>
    <xdr:to>
      <xdr:col>4</xdr:col>
      <xdr:colOff>362472</xdr:colOff>
      <xdr:row>6</xdr:row>
      <xdr:rowOff>38100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56B16A4F-3BA1-4688-AEEB-3AA650D3C1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duotone>
            <a:prstClr val="black"/>
            <a:schemeClr val="accent1">
              <a:tint val="45000"/>
              <a:satMod val="400000"/>
            </a:schemeClr>
          </a:duotone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saturation sat="276000"/>
                  </a14:imgEffect>
                  <a14:imgEffect>
                    <a14:brightnessContrast bright="-42000" contrast="18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6775" y="457200"/>
          <a:ext cx="829197" cy="885825"/>
        </a:xfrm>
        <a:prstGeom prst="rect">
          <a:avLst/>
        </a:prstGeom>
        <a:noFill/>
      </xdr:spPr>
    </xdr:pic>
    <xdr:clientData/>
  </xdr:twoCellAnchor>
  <xdr:twoCellAnchor editAs="oneCell">
    <xdr:from>
      <xdr:col>20</xdr:col>
      <xdr:colOff>514350</xdr:colOff>
      <xdr:row>1</xdr:row>
      <xdr:rowOff>38100</xdr:rowOff>
    </xdr:from>
    <xdr:to>
      <xdr:col>20</xdr:col>
      <xdr:colOff>935650</xdr:colOff>
      <xdr:row>6</xdr:row>
      <xdr:rowOff>152488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7A0A968A-6DDD-4B6A-81A7-5158D0C932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82225" y="390525"/>
          <a:ext cx="421300" cy="1066888"/>
        </a:xfrm>
        <a:prstGeom prst="rect">
          <a:avLst/>
        </a:prstGeom>
      </xdr:spPr>
    </xdr:pic>
    <xdr:clientData/>
  </xdr:twoCellAnchor>
  <xdr:oneCellAnchor>
    <xdr:from>
      <xdr:col>4</xdr:col>
      <xdr:colOff>447674</xdr:colOff>
      <xdr:row>1</xdr:row>
      <xdr:rowOff>66675</xdr:rowOff>
    </xdr:from>
    <xdr:ext cx="5553075" cy="968983"/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7C3A56B0-3D70-476B-88E4-C816A0999271}"/>
            </a:ext>
          </a:extLst>
        </xdr:cNvPr>
        <xdr:cNvSpPr/>
      </xdr:nvSpPr>
      <xdr:spPr>
        <a:xfrm>
          <a:off x="1781174" y="419100"/>
          <a:ext cx="5553075" cy="968983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s-ES" sz="2800" b="1" cap="none" spc="0">
              <a:ln w="9525">
                <a:solidFill>
                  <a:srgbClr val="023F71"/>
                </a:solidFill>
                <a:prstDash val="solid"/>
              </a:ln>
              <a:solidFill>
                <a:srgbClr val="023F7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FIFA CLUB</a:t>
          </a:r>
        </a:p>
        <a:p>
          <a:pPr algn="ctr"/>
          <a:r>
            <a:rPr lang="es-ES" sz="2800" b="1" cap="none" spc="0">
              <a:ln w="9525">
                <a:solidFill>
                  <a:srgbClr val="023F71"/>
                </a:solidFill>
                <a:prstDash val="solid"/>
              </a:ln>
              <a:solidFill>
                <a:srgbClr val="023F7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WORLD CUP 2025</a:t>
          </a:r>
        </a:p>
      </xdr:txBody>
    </xdr:sp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32</xdr:col>
      <xdr:colOff>789215</xdr:colOff>
      <xdr:row>2</xdr:row>
      <xdr:rowOff>68035</xdr:rowOff>
    </xdr:from>
    <xdr:to>
      <xdr:col>33</xdr:col>
      <xdr:colOff>506891</xdr:colOff>
      <xdr:row>7</xdr:row>
      <xdr:rowOff>112954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0157330-AF6C-49D5-9D38-7608BDEBAF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677540" y="610960"/>
          <a:ext cx="677796" cy="997419"/>
        </a:xfrm>
        <a:prstGeom prst="rect">
          <a:avLst/>
        </a:prstGeom>
      </xdr:spPr>
    </xdr:pic>
    <xdr:clientData/>
  </xdr:twoCellAnchor>
  <xdr:twoCellAnchor editAs="oneCell">
    <xdr:from>
      <xdr:col>34</xdr:col>
      <xdr:colOff>110379</xdr:colOff>
      <xdr:row>14</xdr:row>
      <xdr:rowOff>0</xdr:rowOff>
    </xdr:from>
    <xdr:to>
      <xdr:col>37</xdr:col>
      <xdr:colOff>475210</xdr:colOff>
      <xdr:row>23</xdr:row>
      <xdr:rowOff>127269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DCA3B66-205F-436F-9D6E-58682EC9F2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922754" y="4352925"/>
          <a:ext cx="3250906" cy="1840817"/>
        </a:xfrm>
        <a:prstGeom prst="rect">
          <a:avLst/>
        </a:prstGeom>
      </xdr:spPr>
    </xdr:pic>
    <xdr:clientData/>
  </xdr:twoCellAnchor>
  <xdr:twoCellAnchor editAs="oneCell">
    <xdr:from>
      <xdr:col>33</xdr:col>
      <xdr:colOff>236893</xdr:colOff>
      <xdr:row>14</xdr:row>
      <xdr:rowOff>0</xdr:rowOff>
    </xdr:from>
    <xdr:to>
      <xdr:col>34</xdr:col>
      <xdr:colOff>641201</xdr:colOff>
      <xdr:row>23</xdr:row>
      <xdr:rowOff>98860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9D5C8FBA-14C0-48BB-B960-C973547906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2087243" y="4352925"/>
          <a:ext cx="1364428" cy="1814313"/>
        </a:xfrm>
        <a:prstGeom prst="rect">
          <a:avLst/>
        </a:prstGeom>
      </xdr:spPr>
    </xdr:pic>
    <xdr:clientData/>
  </xdr:twoCellAnchor>
  <xdr:twoCellAnchor editAs="oneCell">
    <xdr:from>
      <xdr:col>34</xdr:col>
      <xdr:colOff>866775</xdr:colOff>
      <xdr:row>11</xdr:row>
      <xdr:rowOff>0</xdr:rowOff>
    </xdr:from>
    <xdr:to>
      <xdr:col>35</xdr:col>
      <xdr:colOff>760881</xdr:colOff>
      <xdr:row>15</xdr:row>
      <xdr:rowOff>560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B72ECAB7-5589-4545-8B04-F64C2E6668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679150" y="2381250"/>
          <a:ext cx="856131" cy="848285"/>
        </a:xfrm>
        <a:prstGeom prst="rect">
          <a:avLst/>
        </a:prstGeom>
      </xdr:spPr>
    </xdr:pic>
    <xdr:clientData/>
  </xdr:twoCellAnchor>
  <xdr:oneCellAnchor>
    <xdr:from>
      <xdr:col>34</xdr:col>
      <xdr:colOff>866775</xdr:colOff>
      <xdr:row>14</xdr:row>
      <xdr:rowOff>0</xdr:rowOff>
    </xdr:from>
    <xdr:ext cx="856131" cy="848285"/>
    <xdr:pic>
      <xdr:nvPicPr>
        <xdr:cNvPr id="6" name="Imagen 5">
          <a:extLst>
            <a:ext uri="{FF2B5EF4-FFF2-40B4-BE49-F238E27FC236}">
              <a16:creationId xmlns:a16="http://schemas.microsoft.com/office/drawing/2014/main" id="{789FBF28-A0E4-4D55-BA61-FFEBCE338B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679150" y="4352925"/>
          <a:ext cx="856131" cy="848285"/>
        </a:xfrm>
        <a:prstGeom prst="rect">
          <a:avLst/>
        </a:prstGeom>
      </xdr:spPr>
    </xdr:pic>
    <xdr:clientData/>
  </xdr:oneCellAnchor>
  <xdr:twoCellAnchor editAs="oneCell">
    <xdr:from>
      <xdr:col>3</xdr:col>
      <xdr:colOff>47625</xdr:colOff>
      <xdr:row>1</xdr:row>
      <xdr:rowOff>104775</xdr:rowOff>
    </xdr:from>
    <xdr:to>
      <xdr:col>4</xdr:col>
      <xdr:colOff>362472</xdr:colOff>
      <xdr:row>6</xdr:row>
      <xdr:rowOff>38100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CCFCA998-4210-4966-A009-6F0D8F7F23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duotone>
            <a:prstClr val="black"/>
            <a:schemeClr val="accent1">
              <a:tint val="45000"/>
              <a:satMod val="400000"/>
            </a:schemeClr>
          </a:duotone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saturation sat="276000"/>
                  </a14:imgEffect>
                  <a14:imgEffect>
                    <a14:brightnessContrast bright="-42000" contrast="18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6775" y="457200"/>
          <a:ext cx="829197" cy="885825"/>
        </a:xfrm>
        <a:prstGeom prst="rect">
          <a:avLst/>
        </a:prstGeom>
        <a:noFill/>
      </xdr:spPr>
    </xdr:pic>
    <xdr:clientData/>
  </xdr:twoCellAnchor>
  <xdr:twoCellAnchor editAs="oneCell">
    <xdr:from>
      <xdr:col>20</xdr:col>
      <xdr:colOff>514350</xdr:colOff>
      <xdr:row>1</xdr:row>
      <xdr:rowOff>38100</xdr:rowOff>
    </xdr:from>
    <xdr:to>
      <xdr:col>20</xdr:col>
      <xdr:colOff>935650</xdr:colOff>
      <xdr:row>6</xdr:row>
      <xdr:rowOff>152488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9AFB3CEE-35C8-46D7-912F-2597724472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29875" y="390525"/>
          <a:ext cx="421300" cy="1066888"/>
        </a:xfrm>
        <a:prstGeom prst="rect">
          <a:avLst/>
        </a:prstGeom>
      </xdr:spPr>
    </xdr:pic>
    <xdr:clientData/>
  </xdr:twoCellAnchor>
  <xdr:oneCellAnchor>
    <xdr:from>
      <xdr:col>4</xdr:col>
      <xdr:colOff>447674</xdr:colOff>
      <xdr:row>1</xdr:row>
      <xdr:rowOff>66675</xdr:rowOff>
    </xdr:from>
    <xdr:ext cx="5553075" cy="968983"/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7F503C2D-012D-467E-B3E5-53044B15277D}"/>
            </a:ext>
          </a:extLst>
        </xdr:cNvPr>
        <xdr:cNvSpPr/>
      </xdr:nvSpPr>
      <xdr:spPr>
        <a:xfrm>
          <a:off x="1781174" y="419100"/>
          <a:ext cx="5553075" cy="968983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s-ES" sz="2800" b="1" cap="none" spc="0">
              <a:ln w="9525">
                <a:solidFill>
                  <a:srgbClr val="023F71"/>
                </a:solidFill>
                <a:prstDash val="solid"/>
              </a:ln>
              <a:solidFill>
                <a:srgbClr val="023F7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FIFA CLUB</a:t>
          </a:r>
        </a:p>
        <a:p>
          <a:pPr algn="ctr"/>
          <a:r>
            <a:rPr lang="es-ES" sz="2800" b="1" cap="none" spc="0">
              <a:ln w="9525">
                <a:solidFill>
                  <a:srgbClr val="023F71"/>
                </a:solidFill>
                <a:prstDash val="solid"/>
              </a:ln>
              <a:solidFill>
                <a:srgbClr val="023F7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WORLD CUP 2025</a:t>
          </a:r>
        </a:p>
      </xdr:txBody>
    </xdr:sp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32</xdr:col>
      <xdr:colOff>789215</xdr:colOff>
      <xdr:row>2</xdr:row>
      <xdr:rowOff>68035</xdr:rowOff>
    </xdr:from>
    <xdr:to>
      <xdr:col>33</xdr:col>
      <xdr:colOff>506891</xdr:colOff>
      <xdr:row>7</xdr:row>
      <xdr:rowOff>112954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DFB020B-EA4C-4CBD-B2B6-E67797C188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677540" y="610960"/>
          <a:ext cx="677796" cy="997419"/>
        </a:xfrm>
        <a:prstGeom prst="rect">
          <a:avLst/>
        </a:prstGeom>
      </xdr:spPr>
    </xdr:pic>
    <xdr:clientData/>
  </xdr:twoCellAnchor>
  <xdr:twoCellAnchor editAs="oneCell">
    <xdr:from>
      <xdr:col>34</xdr:col>
      <xdr:colOff>110379</xdr:colOff>
      <xdr:row>11</xdr:row>
      <xdr:rowOff>0</xdr:rowOff>
    </xdr:from>
    <xdr:to>
      <xdr:col>37</xdr:col>
      <xdr:colOff>475210</xdr:colOff>
      <xdr:row>20</xdr:row>
      <xdr:rowOff>127269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91561C3-2722-4D6E-BE5D-98595E97E1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922754" y="3038475"/>
          <a:ext cx="3250906" cy="1840817"/>
        </a:xfrm>
        <a:prstGeom prst="rect">
          <a:avLst/>
        </a:prstGeom>
      </xdr:spPr>
    </xdr:pic>
    <xdr:clientData/>
  </xdr:twoCellAnchor>
  <xdr:twoCellAnchor editAs="oneCell">
    <xdr:from>
      <xdr:col>33</xdr:col>
      <xdr:colOff>236893</xdr:colOff>
      <xdr:row>11</xdr:row>
      <xdr:rowOff>0</xdr:rowOff>
    </xdr:from>
    <xdr:to>
      <xdr:col>34</xdr:col>
      <xdr:colOff>641201</xdr:colOff>
      <xdr:row>20</xdr:row>
      <xdr:rowOff>98860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C11235B-C452-4C1D-B53B-8FB376E341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2087243" y="3038475"/>
          <a:ext cx="1364428" cy="1814313"/>
        </a:xfrm>
        <a:prstGeom prst="rect">
          <a:avLst/>
        </a:prstGeom>
      </xdr:spPr>
    </xdr:pic>
    <xdr:clientData/>
  </xdr:twoCellAnchor>
  <xdr:twoCellAnchor editAs="oneCell">
    <xdr:from>
      <xdr:col>34</xdr:col>
      <xdr:colOff>866775</xdr:colOff>
      <xdr:row>11</xdr:row>
      <xdr:rowOff>0</xdr:rowOff>
    </xdr:from>
    <xdr:to>
      <xdr:col>35</xdr:col>
      <xdr:colOff>760881</xdr:colOff>
      <xdr:row>15</xdr:row>
      <xdr:rowOff>88190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24577BAD-F6B6-4844-9E75-E56D621CF1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679150" y="2381250"/>
          <a:ext cx="856131" cy="848285"/>
        </a:xfrm>
        <a:prstGeom prst="rect">
          <a:avLst/>
        </a:prstGeom>
      </xdr:spPr>
    </xdr:pic>
    <xdr:clientData/>
  </xdr:twoCellAnchor>
  <xdr:oneCellAnchor>
    <xdr:from>
      <xdr:col>34</xdr:col>
      <xdr:colOff>866775</xdr:colOff>
      <xdr:row>11</xdr:row>
      <xdr:rowOff>0</xdr:rowOff>
    </xdr:from>
    <xdr:ext cx="856131" cy="848285"/>
    <xdr:pic>
      <xdr:nvPicPr>
        <xdr:cNvPr id="6" name="Imagen 5">
          <a:extLst>
            <a:ext uri="{FF2B5EF4-FFF2-40B4-BE49-F238E27FC236}">
              <a16:creationId xmlns:a16="http://schemas.microsoft.com/office/drawing/2014/main" id="{3EFFADCF-5B2A-4097-BF76-2124E8245C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679150" y="3038475"/>
          <a:ext cx="856131" cy="848285"/>
        </a:xfrm>
        <a:prstGeom prst="rect">
          <a:avLst/>
        </a:prstGeom>
      </xdr:spPr>
    </xdr:pic>
    <xdr:clientData/>
  </xdr:oneCellAnchor>
  <xdr:twoCellAnchor editAs="oneCell">
    <xdr:from>
      <xdr:col>3</xdr:col>
      <xdr:colOff>47625</xdr:colOff>
      <xdr:row>1</xdr:row>
      <xdr:rowOff>104775</xdr:rowOff>
    </xdr:from>
    <xdr:to>
      <xdr:col>4</xdr:col>
      <xdr:colOff>362472</xdr:colOff>
      <xdr:row>6</xdr:row>
      <xdr:rowOff>38100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AD189F0-F237-4DB6-928A-18151F9A39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duotone>
            <a:prstClr val="black"/>
            <a:schemeClr val="accent1">
              <a:tint val="45000"/>
              <a:satMod val="400000"/>
            </a:schemeClr>
          </a:duotone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saturation sat="276000"/>
                  </a14:imgEffect>
                  <a14:imgEffect>
                    <a14:brightnessContrast bright="-42000" contrast="18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6775" y="457200"/>
          <a:ext cx="829197" cy="885825"/>
        </a:xfrm>
        <a:prstGeom prst="rect">
          <a:avLst/>
        </a:prstGeom>
        <a:noFill/>
      </xdr:spPr>
    </xdr:pic>
    <xdr:clientData/>
  </xdr:twoCellAnchor>
  <xdr:twoCellAnchor editAs="oneCell">
    <xdr:from>
      <xdr:col>18</xdr:col>
      <xdr:colOff>468630</xdr:colOff>
      <xdr:row>1</xdr:row>
      <xdr:rowOff>24765</xdr:rowOff>
    </xdr:from>
    <xdr:to>
      <xdr:col>18</xdr:col>
      <xdr:colOff>1009945</xdr:colOff>
      <xdr:row>6</xdr:row>
      <xdr:rowOff>141058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6A4948CE-202F-4AA1-8A2F-F935072717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54390" y="375285"/>
          <a:ext cx="541315" cy="1068793"/>
        </a:xfrm>
        <a:prstGeom prst="rect">
          <a:avLst/>
        </a:prstGeom>
      </xdr:spPr>
    </xdr:pic>
    <xdr:clientData/>
  </xdr:twoCellAnchor>
  <xdr:oneCellAnchor>
    <xdr:from>
      <xdr:col>4</xdr:col>
      <xdr:colOff>447674</xdr:colOff>
      <xdr:row>1</xdr:row>
      <xdr:rowOff>66675</xdr:rowOff>
    </xdr:from>
    <xdr:ext cx="5553075" cy="968983"/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D9DDC296-3D94-4036-B433-6B73E7855CA0}"/>
            </a:ext>
          </a:extLst>
        </xdr:cNvPr>
        <xdr:cNvSpPr/>
      </xdr:nvSpPr>
      <xdr:spPr>
        <a:xfrm>
          <a:off x="1781174" y="419100"/>
          <a:ext cx="5553075" cy="968983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s-ES" sz="2800" b="1" cap="none" spc="0">
              <a:ln w="9525">
                <a:solidFill>
                  <a:srgbClr val="023F71"/>
                </a:solidFill>
                <a:prstDash val="solid"/>
              </a:ln>
              <a:solidFill>
                <a:srgbClr val="023F7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FIFA CLUB</a:t>
          </a:r>
        </a:p>
        <a:p>
          <a:pPr algn="ctr"/>
          <a:r>
            <a:rPr lang="es-ES" sz="2800" b="1" cap="none" spc="0">
              <a:ln w="9525">
                <a:solidFill>
                  <a:srgbClr val="023F71"/>
                </a:solidFill>
                <a:prstDash val="solid"/>
              </a:ln>
              <a:solidFill>
                <a:srgbClr val="023F7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WORLD CUP 2025</a:t>
          </a:r>
        </a:p>
      </xdr:txBody>
    </xdr:sp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225743</xdr:colOff>
      <xdr:row>2</xdr:row>
      <xdr:rowOff>23813</xdr:rowOff>
    </xdr:from>
    <xdr:to>
      <xdr:col>18</xdr:col>
      <xdr:colOff>444172</xdr:colOff>
      <xdr:row>3</xdr:row>
      <xdr:rowOff>72390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C6FF95E-E51D-479B-A97A-E4358CCBA5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35703" y="561023"/>
          <a:ext cx="218429" cy="540067"/>
        </a:xfrm>
        <a:prstGeom prst="rect">
          <a:avLst/>
        </a:prstGeom>
      </xdr:spPr>
    </xdr:pic>
    <xdr:clientData/>
  </xdr:twoCellAnchor>
  <xdr:twoCellAnchor editAs="oneCell">
    <xdr:from>
      <xdr:col>3</xdr:col>
      <xdr:colOff>104775</xdr:colOff>
      <xdr:row>2</xdr:row>
      <xdr:rowOff>100013</xdr:rowOff>
    </xdr:from>
    <xdr:to>
      <xdr:col>3</xdr:col>
      <xdr:colOff>777127</xdr:colOff>
      <xdr:row>3</xdr:row>
      <xdr:rowOff>275776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8C2833E-7171-49D5-9982-27DB6DCDB8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1545" y="637223"/>
          <a:ext cx="672352" cy="667253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364191</xdr:colOff>
      <xdr:row>4</xdr:row>
      <xdr:rowOff>67235</xdr:rowOff>
    </xdr:from>
    <xdr:to>
      <xdr:col>2</xdr:col>
      <xdr:colOff>785491</xdr:colOff>
      <xdr:row>7</xdr:row>
      <xdr:rowOff>117749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F23310C-54C7-4DCC-AEE6-D6F8D05650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9662" y="638735"/>
          <a:ext cx="421300" cy="1047838"/>
        </a:xfrm>
        <a:prstGeom prst="rect">
          <a:avLst/>
        </a:prstGeom>
      </xdr:spPr>
    </xdr:pic>
    <xdr:clientData/>
  </xdr:twoCellAnchor>
  <xdr:twoCellAnchor editAs="oneCell">
    <xdr:from>
      <xdr:col>50</xdr:col>
      <xdr:colOff>95249</xdr:colOff>
      <xdr:row>4</xdr:row>
      <xdr:rowOff>112060</xdr:rowOff>
    </xdr:from>
    <xdr:to>
      <xdr:col>50</xdr:col>
      <xdr:colOff>767601</xdr:colOff>
      <xdr:row>6</xdr:row>
      <xdr:rowOff>39220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5AFEC384-0078-BF83-60AD-7DE0830896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2617" y="683560"/>
          <a:ext cx="672352" cy="672352"/>
        </a:xfrm>
        <a:prstGeom prst="rect">
          <a:avLst/>
        </a:prstGeom>
      </xdr:spPr>
    </xdr:pic>
    <xdr:clientData/>
  </xdr:twoCellAnchor>
</xdr:wsDr>
</file>

<file path=xl/richData/_rels/rdRichValueWebImage.xml.rels><?xml version="1.0" encoding="UTF-8" standalone="yes"?>
<Relationships xmlns="http://schemas.openxmlformats.org/package/2006/relationships"><Relationship Id="rId26" Type="http://schemas.openxmlformats.org/officeDocument/2006/relationships/image" Target="../media/image13.png"/><Relationship Id="rId21" Type="http://schemas.openxmlformats.org/officeDocument/2006/relationships/hyperlink" Target="https://upload.wikimedia.org/wikipedia/commons/thumb/5/5c/Flag_of_Portugal.svg/800px-Flag_of_Portugal.svg.png" TargetMode="External"/><Relationship Id="rId42" Type="http://schemas.openxmlformats.org/officeDocument/2006/relationships/image" Target="../media/image21.png"/><Relationship Id="rId47" Type="http://schemas.openxmlformats.org/officeDocument/2006/relationships/hyperlink" Target="https://a.espncdn.com/combiner/i?img=/i/teamlogos/soccer/500/1929.png" TargetMode="External"/><Relationship Id="rId63" Type="http://schemas.openxmlformats.org/officeDocument/2006/relationships/hyperlink" Target="https://www.grafimetal.com/wp-content/uploads/2015/11/bandera-japan1.jpg" TargetMode="External"/><Relationship Id="rId68" Type="http://schemas.openxmlformats.org/officeDocument/2006/relationships/image" Target="../media/image34.png"/><Relationship Id="rId84" Type="http://schemas.openxmlformats.org/officeDocument/2006/relationships/image" Target="../media/image42.png"/><Relationship Id="rId89" Type="http://schemas.openxmlformats.org/officeDocument/2006/relationships/hyperlink" Target="https://static.vecteezy.com/system/resources/previews/006/601/706/non_2x/united-arab-emirates-flag-with-waving-effect-official-proportion-vector.jpg" TargetMode="External"/><Relationship Id="rId16" Type="http://schemas.openxmlformats.org/officeDocument/2006/relationships/image" Target="../media/image8.png"/><Relationship Id="rId11" Type="http://schemas.openxmlformats.org/officeDocument/2006/relationships/hyperlink" Target="https://www.zerozero.pt/img/logos/equipas/2413_imgbank_1733410424.png" TargetMode="External"/><Relationship Id="rId32" Type="http://schemas.openxmlformats.org/officeDocument/2006/relationships/image" Target="../media/image16.png"/><Relationship Id="rId37" Type="http://schemas.openxmlformats.org/officeDocument/2006/relationships/hyperlink" Target="https://upload.wikimedia.org/wikipedia/commons/thumb/1/1b/FC_Bayern_M%C3%BCnchen_logo_%282017%29.svg/1200px-FC_Bayern_M%C3%BCnchen_logo_%282017%29.svg.png" TargetMode="External"/><Relationship Id="rId53" Type="http://schemas.openxmlformats.org/officeDocument/2006/relationships/hyperlink" Target="https://upload.wikimedia.org/wikipedia/commons/thumb/2/2e/Flamengo_braz_logo.svg/1200px-Flamengo_braz_logo.svg.png" TargetMode="External"/><Relationship Id="rId58" Type="http://schemas.openxmlformats.org/officeDocument/2006/relationships/image" Target="../media/image29.png"/><Relationship Id="rId74" Type="http://schemas.openxmlformats.org/officeDocument/2006/relationships/image" Target="../media/image37.png"/><Relationship Id="rId79" Type="http://schemas.openxmlformats.org/officeDocument/2006/relationships/hyperlink" Target="https://upload.wikimedia.org/wikipedia/en/thumb/c/c6/Mamelodi_Sundowns_F.C.svg/1200px-Mamelodi_Sundowns_F.C.svg.png" TargetMode="External"/><Relationship Id="rId102" Type="http://schemas.openxmlformats.org/officeDocument/2006/relationships/image" Target="../media/image51.png"/><Relationship Id="rId5" Type="http://schemas.openxmlformats.org/officeDocument/2006/relationships/hyperlink" Target="https://upload.wikimedia.org/wikipedia/en/thumb/c/c1/Club_Am%C3%A9rica_crest.svg/1200px-Club_Am%C3%A9rica_crest.svg.png" TargetMode="External"/><Relationship Id="rId90" Type="http://schemas.openxmlformats.org/officeDocument/2006/relationships/image" Target="../media/image45.jpg"/><Relationship Id="rId95" Type="http://schemas.openxmlformats.org/officeDocument/2006/relationships/hyperlink" Target="https://upload.wikimedia.org/wikipedia/en/thumb/5/56/Real_Madrid_CF.svg/1200px-Real_Madrid_CF.svg.png" TargetMode="External"/><Relationship Id="rId22" Type="http://schemas.openxmlformats.org/officeDocument/2006/relationships/image" Target="../media/image11.png"/><Relationship Id="rId27" Type="http://schemas.openxmlformats.org/officeDocument/2006/relationships/hyperlink" Target="https://static.wikia.nocookie.net/futbol/images/a/a2/Atletico_Madrid_logo.svg.png/revision/latest?cb=20250317111446" TargetMode="External"/><Relationship Id="rId43" Type="http://schemas.openxmlformats.org/officeDocument/2006/relationships/hyperlink" Target="https://img.freepik.com/vector-gratis/ilustracion-bandera-argentina_53876-27120.jpg" TargetMode="External"/><Relationship Id="rId48" Type="http://schemas.openxmlformats.org/officeDocument/2006/relationships/image" Target="../media/image24.png"/><Relationship Id="rId64" Type="http://schemas.openxmlformats.org/officeDocument/2006/relationships/image" Target="../media/image32.jpg"/><Relationship Id="rId69" Type="http://schemas.openxmlformats.org/officeDocument/2006/relationships/hyperlink" Target="https://upload.wikimedia.org/wikipedia/commons/thumb/0/03/Flag_of_Italy.svg/1200px-Flag_of_Italy.svg.png" TargetMode="External"/><Relationship Id="rId80" Type="http://schemas.openxmlformats.org/officeDocument/2006/relationships/image" Target="../media/image40.png"/><Relationship Id="rId85" Type="http://schemas.openxmlformats.org/officeDocument/2006/relationships/hyperlink" Target="https://static.wikia.nocookie.net/logopedia/images/d/da/Logo-wac-2019.png/revision/latest?cb=20190823134518" TargetMode="External"/><Relationship Id="rId12" Type="http://schemas.openxmlformats.org/officeDocument/2006/relationships/image" Target="../media/image6.png"/><Relationship Id="rId17" Type="http://schemas.openxmlformats.org/officeDocument/2006/relationships/hyperlink" Target="https://upload.wikimedia.org/wikipedia/commons/thumb/0/05/Flag_of_Brazil.svg/640px-Flag_of_Brazil.svg.png" TargetMode="External"/><Relationship Id="rId33" Type="http://schemas.openxmlformats.org/officeDocument/2006/relationships/hyperlink" Target="https://www.futbox.com/img/v1/e91/14c/de3/49c/a9e2fe7e59fe8b80fcb2_zoom.png" TargetMode="External"/><Relationship Id="rId38" Type="http://schemas.openxmlformats.org/officeDocument/2006/relationships/image" Target="../media/image19.png"/><Relationship Id="rId59" Type="http://schemas.openxmlformats.org/officeDocument/2006/relationships/hyperlink" Target="https://upload.wikimedia.org/wikipedia/commons/thumb/a/ac/Escudo_del_C_A_River_Plate.svg/800px-Escudo_del_C_A_River_Plate.svg.png" TargetMode="External"/><Relationship Id="rId103" Type="http://schemas.openxmlformats.org/officeDocument/2006/relationships/hyperlink" Target="https://upload.wikimedia.org/wikipedia/en/thumb/7/77/FC_Red_Bull_Salzburg_logo.svg/1200px-FC_Red_Bull_Salzburg_logo.svg.png" TargetMode="External"/><Relationship Id="rId20" Type="http://schemas.openxmlformats.org/officeDocument/2006/relationships/image" Target="../media/image10.png"/><Relationship Id="rId41" Type="http://schemas.openxmlformats.org/officeDocument/2006/relationships/hyperlink" Target="https://upload.wikimedia.org/wikipedia/commons/thumb/3/3e/Flag_of_New_Zealand.svg/960px-Flag_of_New_Zealand.svg.png" TargetMode="External"/><Relationship Id="rId54" Type="http://schemas.openxmlformats.org/officeDocument/2006/relationships/image" Target="../media/image27.png"/><Relationship Id="rId62" Type="http://schemas.openxmlformats.org/officeDocument/2006/relationships/image" Target="../media/image31.png"/><Relationship Id="rId70" Type="http://schemas.openxmlformats.org/officeDocument/2006/relationships/image" Target="../media/image35.png"/><Relationship Id="rId75" Type="http://schemas.openxmlformats.org/officeDocument/2006/relationships/hyperlink" Target="https://upload.wikimedia.org/wikipedia/commons/thumb/0/09/Flag_of_South_Korea.svg/800px-Flag_of_South_Korea.svg.png" TargetMode="External"/><Relationship Id="rId83" Type="http://schemas.openxmlformats.org/officeDocument/2006/relationships/hyperlink" Target="https://upload.wikimedia.org/wikipedia/en/thumb/e/eb/Manchester_City_FC_badge.svg/1200px-Manchester_City_FC_badge.svg.png" TargetMode="External"/><Relationship Id="rId88" Type="http://schemas.openxmlformats.org/officeDocument/2006/relationships/image" Target="../media/image44.png"/><Relationship Id="rId91" Type="http://schemas.openxmlformats.org/officeDocument/2006/relationships/hyperlink" Target="https://upload.wikimedia.org/wikipedia/en/6/62/Al_Ain_FC_logo_2024.png" TargetMode="External"/><Relationship Id="rId96" Type="http://schemas.openxmlformats.org/officeDocument/2006/relationships/image" Target="../media/image48.png"/><Relationship Id="rId1" Type="http://schemas.openxmlformats.org/officeDocument/2006/relationships/hyperlink" Target="https://upload.wikimedia.org/wikipedia/commons/thumb/a/a4/Flag_of_the_United_States.svg/1200px-Flag_of_the_United_States.svg.png" TargetMode="External"/><Relationship Id="rId6" Type="http://schemas.openxmlformats.org/officeDocument/2006/relationships/image" Target="../media/image3.png"/><Relationship Id="rId15" Type="http://schemas.openxmlformats.org/officeDocument/2006/relationships/hyperlink" Target="https://upload.wikimedia.org/wikipedia/commons/thumb/1/10/Palmeiras_logo.svg/160px-Palmeiras_logo.svg.png" TargetMode="External"/><Relationship Id="rId23" Type="http://schemas.openxmlformats.org/officeDocument/2006/relationships/hyperlink" Target="https://upload.wikimedia.org/wikipedia/commons/thumb/c/c3/Flag_of_France.svg/330px-Flag_of_France.svg.png" TargetMode="External"/><Relationship Id="rId28" Type="http://schemas.openxmlformats.org/officeDocument/2006/relationships/image" Target="../media/image14.png"/><Relationship Id="rId36" Type="http://schemas.openxmlformats.org/officeDocument/2006/relationships/image" Target="../media/image18.png"/><Relationship Id="rId49" Type="http://schemas.openxmlformats.org/officeDocument/2006/relationships/hyperlink" Target="https://upload.wikimedia.org/wikipedia/commons/thumb/b/be/Flag_of_England.svg/1200px-Flag_of_England.svg.png" TargetMode="External"/><Relationship Id="rId57" Type="http://schemas.openxmlformats.org/officeDocument/2006/relationships/hyperlink" Target="https://upload.wikimedia.org/wikipedia/commons/thumb/c/ce/Flag_of_Tunisia.svg/960px-Flag_of_Tunisia.svg.png" TargetMode="External"/><Relationship Id="rId106" Type="http://schemas.openxmlformats.org/officeDocument/2006/relationships/image" Target="../media/image53.png"/><Relationship Id="rId10" Type="http://schemas.openxmlformats.org/officeDocument/2006/relationships/image" Target="../media/image5.png"/><Relationship Id="rId31" Type="http://schemas.openxmlformats.org/officeDocument/2006/relationships/hyperlink" Target="https://upload.wikimedia.org/wikipedia/commons/thumb/5/52/Botafogo_de_Futebol_e_Regatas_logo.svg/1200px-Botafogo_de_Futebol_e_Regatas_logo.svg.png" TargetMode="External"/><Relationship Id="rId44" Type="http://schemas.openxmlformats.org/officeDocument/2006/relationships/image" Target="../media/image22.jpg"/><Relationship Id="rId52" Type="http://schemas.openxmlformats.org/officeDocument/2006/relationships/image" Target="../media/image26.png"/><Relationship Id="rId60" Type="http://schemas.openxmlformats.org/officeDocument/2006/relationships/image" Target="../media/image30.png"/><Relationship Id="rId65" Type="http://schemas.openxmlformats.org/officeDocument/2006/relationships/hyperlink" Target="https://upload.wikimedia.org/wikipedia/commons/a/a2/CF_Monterrey_A11.PNG" TargetMode="External"/><Relationship Id="rId73" Type="http://schemas.openxmlformats.org/officeDocument/2006/relationships/hyperlink" Target="https://upload.wikimedia.org/wikipedia/commons/thumb/6/67/Borussia_Dortmund_logo.svg/160px-Borussia_Dortmund_logo.svg.png" TargetMode="External"/><Relationship Id="rId78" Type="http://schemas.openxmlformats.org/officeDocument/2006/relationships/image" Target="../media/image39.png"/><Relationship Id="rId81" Type="http://schemas.openxmlformats.org/officeDocument/2006/relationships/hyperlink" Target="https://upload.wikimedia.org/wikipedia/commons/thumb/a/af/Flag_of_South_Africa.svg/1200px-Flag_of_South_Africa.svg.png" TargetMode="External"/><Relationship Id="rId86" Type="http://schemas.openxmlformats.org/officeDocument/2006/relationships/image" Target="../media/image43.png"/><Relationship Id="rId94" Type="http://schemas.openxmlformats.org/officeDocument/2006/relationships/image" Target="../media/image47.png"/><Relationship Id="rId99" Type="http://schemas.openxmlformats.org/officeDocument/2006/relationships/hyperlink" Target="https://upload.wikimedia.org/wikipedia/commons/thumb/0/0d/Flag_of_Saudi_Arabia.svg/1200px-Flag_of_Saudi_Arabia.svg.png" TargetMode="External"/><Relationship Id="rId101" Type="http://schemas.openxmlformats.org/officeDocument/2006/relationships/hyperlink" Target="https://static.wikia.nocookie.net/futbol/images/f/f4/PachucaEscudo.png/revision/latest?cb=20151115001145" TargetMode="External"/><Relationship Id="rId4" Type="http://schemas.openxmlformats.org/officeDocument/2006/relationships/image" Target="../media/image2.png"/><Relationship Id="rId9" Type="http://schemas.openxmlformats.org/officeDocument/2006/relationships/hyperlink" Target="https://upload.wikimedia.org/wikipedia/commons/thumb/f/fe/Flag_of_Egypt.svg/1200px-Flag_of_Egypt.svg.png" TargetMode="External"/><Relationship Id="rId13" Type="http://schemas.openxmlformats.org/officeDocument/2006/relationships/hyperlink" Target="https://a.espncdn.com/guid/68c59d9b-7197-356f-8418-52c0d216852c/logos/primary_logo_on_primary_color.png" TargetMode="External"/><Relationship Id="rId18" Type="http://schemas.openxmlformats.org/officeDocument/2006/relationships/image" Target="../media/image9.png"/><Relationship Id="rId39" Type="http://schemas.openxmlformats.org/officeDocument/2006/relationships/hyperlink" Target="https://a.espncdn.com/combiner/i?img=/i/teamlogos/soccer/500/7279.png" TargetMode="External"/><Relationship Id="rId34" Type="http://schemas.openxmlformats.org/officeDocument/2006/relationships/image" Target="../media/image17.png"/><Relationship Id="rId50" Type="http://schemas.openxmlformats.org/officeDocument/2006/relationships/image" Target="../media/image25.png"/><Relationship Id="rId55" Type="http://schemas.openxmlformats.org/officeDocument/2006/relationships/hyperlink" Target="https://a.espncdn.com/i/teamlogos/soccer/500/8377.png" TargetMode="External"/><Relationship Id="rId76" Type="http://schemas.openxmlformats.org/officeDocument/2006/relationships/image" Target="../media/image38.png"/><Relationship Id="rId97" Type="http://schemas.openxmlformats.org/officeDocument/2006/relationships/hyperlink" Target="https://upload.wikimedia.org/wikipedia/commons/thumb/5/57/Al-Hilal_SFC_logo.svg/1039px-Al-Hilal_SFC_logo.svg.png" TargetMode="External"/><Relationship Id="rId104" Type="http://schemas.openxmlformats.org/officeDocument/2006/relationships/image" Target="../media/image52.png"/><Relationship Id="rId7" Type="http://schemas.openxmlformats.org/officeDocument/2006/relationships/hyperlink" Target="https://upload.wikimedia.org/wikipedia/commons/thumb/f/fc/Flag_of_Mexico.svg/1280px-Flag_of_Mexico.svg.png" TargetMode="External"/><Relationship Id="rId71" Type="http://schemas.openxmlformats.org/officeDocument/2006/relationships/hyperlink" Target="https://upload.wikimedia.org/wikipedia/commons/a/ad/Fluminense_FC_escudo.png" TargetMode="External"/><Relationship Id="rId92" Type="http://schemas.openxmlformats.org/officeDocument/2006/relationships/image" Target="../media/image46.png"/><Relationship Id="rId2" Type="http://schemas.openxmlformats.org/officeDocument/2006/relationships/image" Target="../media/image1.png"/><Relationship Id="rId29" Type="http://schemas.openxmlformats.org/officeDocument/2006/relationships/hyperlink" Target="https://upload.wikimedia.org/wikipedia/commons/thumb/8/89/Bandera_de_Espa%C3%B1a.svg/2560px-Bandera_de_Espa%C3%B1a.svg.png" TargetMode="External"/><Relationship Id="rId24" Type="http://schemas.openxmlformats.org/officeDocument/2006/relationships/image" Target="../media/image12.png"/><Relationship Id="rId40" Type="http://schemas.openxmlformats.org/officeDocument/2006/relationships/image" Target="../media/image20.png"/><Relationship Id="rId45" Type="http://schemas.openxmlformats.org/officeDocument/2006/relationships/hyperlink" Target="https://upload.wikimedia.org/wikipedia/commons/thumb/4/41/CABJ70.png/1200px-CABJ70.png" TargetMode="External"/><Relationship Id="rId66" Type="http://schemas.openxmlformats.org/officeDocument/2006/relationships/image" Target="../media/image33.PNG"/><Relationship Id="rId87" Type="http://schemas.openxmlformats.org/officeDocument/2006/relationships/hyperlink" Target="https://upload.wikimedia.org/wikipedia/commons/thumb/2/2c/Flag_of_Morocco.svg/330px-Flag_of_Morocco.svg.png" TargetMode="External"/><Relationship Id="rId61" Type="http://schemas.openxmlformats.org/officeDocument/2006/relationships/hyperlink" Target="https://a.espncdn.com/combiner/i?img=/i/teamlogos/soccer/500/3385.png" TargetMode="External"/><Relationship Id="rId82" Type="http://schemas.openxmlformats.org/officeDocument/2006/relationships/image" Target="../media/image41.png"/><Relationship Id="rId19" Type="http://schemas.openxmlformats.org/officeDocument/2006/relationships/hyperlink" Target="https://upload.wikimedia.org/wikipedia/sco/thumb/f/f1/FC_Porto.svg/1200px-FC_Porto.svg.png" TargetMode="External"/><Relationship Id="rId14" Type="http://schemas.openxmlformats.org/officeDocument/2006/relationships/image" Target="../media/image7.png"/><Relationship Id="rId30" Type="http://schemas.openxmlformats.org/officeDocument/2006/relationships/image" Target="../media/image15.png"/><Relationship Id="rId35" Type="http://schemas.openxmlformats.org/officeDocument/2006/relationships/hyperlink" Target="https://upload.wikimedia.org/wikipedia/commons/thumb/b/ba/Flag_of_Germany.svg/200px-Flag_of_Germany.svg.png" TargetMode="External"/><Relationship Id="rId56" Type="http://schemas.openxmlformats.org/officeDocument/2006/relationships/image" Target="../media/image28.png"/><Relationship Id="rId77" Type="http://schemas.openxmlformats.org/officeDocument/2006/relationships/hyperlink" Target="https://upload.wikimedia.org/wikipedia/en/thumb/b/b5/Ulsan_Hyundai_FC.svg/1200px-Ulsan_Hyundai_FC.svg.png" TargetMode="External"/><Relationship Id="rId100" Type="http://schemas.openxmlformats.org/officeDocument/2006/relationships/image" Target="../media/image50.png"/><Relationship Id="rId105" Type="http://schemas.openxmlformats.org/officeDocument/2006/relationships/hyperlink" Target="https://upload.wikimedia.org/wikipedia/commons/thumb/4/41/Flag_of_Austria.svg/1200px-Flag_of_Austria.svg.png" TargetMode="External"/><Relationship Id="rId8" Type="http://schemas.openxmlformats.org/officeDocument/2006/relationships/image" Target="../media/image4.png"/><Relationship Id="rId51" Type="http://schemas.openxmlformats.org/officeDocument/2006/relationships/hyperlink" Target="https://upload.wikimedia.org/wikipedia/en/thumb/c/cc/Chelsea_FC.svg/800px-Chelsea_FC.svg.png" TargetMode="External"/><Relationship Id="rId72" Type="http://schemas.openxmlformats.org/officeDocument/2006/relationships/image" Target="../media/image36.png"/><Relationship Id="rId93" Type="http://schemas.openxmlformats.org/officeDocument/2006/relationships/hyperlink" Target="https://static.wikia.nocookie.net/futbol/images/2/23/Escudo_Juventus.png/revision/latest?cb=20180802104126" TargetMode="External"/><Relationship Id="rId98" Type="http://schemas.openxmlformats.org/officeDocument/2006/relationships/image" Target="../media/image49.png"/><Relationship Id="rId3" Type="http://schemas.openxmlformats.org/officeDocument/2006/relationships/hyperlink" Target="https://upload.wikimedia.org/wikipedia/commons/thumb/8/86/Los_Angeles_Football_Club.svg/140px-Los_Angeles_Football_Club.svg.png" TargetMode="External"/><Relationship Id="rId25" Type="http://schemas.openxmlformats.org/officeDocument/2006/relationships/hyperlink" Target="https://upload.wikimedia.org/wikipedia/en/thumb/a/a7/Paris_Saint-Germain_F.C..svg/1200px-Paris_Saint-Germain_F.C..svg.png" TargetMode="External"/><Relationship Id="rId46" Type="http://schemas.openxmlformats.org/officeDocument/2006/relationships/image" Target="../media/image23.png"/><Relationship Id="rId67" Type="http://schemas.openxmlformats.org/officeDocument/2006/relationships/hyperlink" Target="https://upload.wikimedia.org/wikipedia/commons/thumb/0/05/FC_Internazionale_Milano_2021.svg/160px-FC_Internazionale_Milano_2021.svg.png" TargetMode="Externa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  <types>
    <type name="_webimage">
      <keyFlags>
        <key name="WebImageIdentifier">
          <flag name="ShowInCardView" value="0"/>
        </key>
      </keyFlags>
    </type>
  </types>
</rvTypesInfo>
</file>

<file path=xl/richData/rdRichValueWebImage.xml><?xml version="1.0" encoding="utf-8"?>
<webImagesSrd xmlns="http://schemas.microsoft.com/office/spreadsheetml/2020/richdatawebimage" xmlns:r="http://schemas.openxmlformats.org/officeDocument/2006/relationships">
  <webImageSrd>
    <address r:id="rId1"/>
    <blip r:id="rId2"/>
  </webImageSrd>
  <webImageSrd>
    <address r:id="rId3"/>
    <blip r:id="rId4"/>
  </webImageSrd>
  <webImageSrd>
    <address r:id="rId5"/>
    <blip r:id="rId6"/>
  </webImageSrd>
  <webImageSrd>
    <address r:id="rId7"/>
    <blip r:id="rId8"/>
  </webImageSrd>
  <webImageSrd>
    <address r:id="rId9"/>
    <blip r:id="rId10"/>
  </webImageSrd>
  <webImageSrd>
    <address r:id="rId11"/>
    <blip r:id="rId12"/>
  </webImageSrd>
  <webImageSrd>
    <address r:id="rId13"/>
    <blip r:id="rId14"/>
  </webImageSrd>
  <webImageSrd>
    <address r:id="rId15"/>
    <blip r:id="rId16"/>
  </webImageSrd>
  <webImageSrd>
    <address r:id="rId17"/>
    <blip r:id="rId18"/>
  </webImageSrd>
  <webImageSrd>
    <address r:id="rId19"/>
    <blip r:id="rId20"/>
  </webImageSrd>
  <webImageSrd>
    <address r:id="rId21"/>
    <blip r:id="rId22"/>
  </webImageSrd>
  <webImageSrd>
    <address r:id="rId23"/>
    <blip r:id="rId24"/>
  </webImageSrd>
  <webImageSrd>
    <address r:id="rId25"/>
    <blip r:id="rId26"/>
  </webImageSrd>
  <webImageSrd>
    <address r:id="rId27"/>
    <blip r:id="rId28"/>
  </webImageSrd>
  <webImageSrd>
    <address r:id="rId29"/>
    <blip r:id="rId30"/>
  </webImageSrd>
  <webImageSrd>
    <address r:id="rId31"/>
    <blip r:id="rId32"/>
  </webImageSrd>
  <webImageSrd>
    <address r:id="rId33"/>
    <blip r:id="rId34"/>
  </webImageSrd>
  <webImageSrd>
    <address r:id="rId35"/>
    <blip r:id="rId36"/>
  </webImageSrd>
  <webImageSrd>
    <address r:id="rId37"/>
    <blip r:id="rId38"/>
  </webImageSrd>
  <webImageSrd>
    <address r:id="rId39"/>
    <blip r:id="rId40"/>
  </webImageSrd>
  <webImageSrd>
    <address r:id="rId41"/>
    <blip r:id="rId42"/>
  </webImageSrd>
  <webImageSrd>
    <address r:id="rId43"/>
    <blip r:id="rId44"/>
  </webImageSrd>
  <webImageSrd>
    <address r:id="rId45"/>
    <blip r:id="rId46"/>
  </webImageSrd>
  <webImageSrd>
    <address r:id="rId47"/>
    <blip r:id="rId48"/>
  </webImageSrd>
  <webImageSrd>
    <address r:id="rId49"/>
    <blip r:id="rId50"/>
  </webImageSrd>
  <webImageSrd>
    <address r:id="rId51"/>
    <blip r:id="rId52"/>
  </webImageSrd>
  <webImageSrd>
    <address r:id="rId53"/>
    <blip r:id="rId54"/>
  </webImageSrd>
  <webImageSrd>
    <address r:id="rId55"/>
    <blip r:id="rId56"/>
  </webImageSrd>
  <webImageSrd>
    <address r:id="rId57"/>
    <blip r:id="rId58"/>
  </webImageSrd>
  <webImageSrd>
    <address r:id="rId59"/>
    <blip r:id="rId60"/>
  </webImageSrd>
  <webImageSrd>
    <address r:id="rId61"/>
    <blip r:id="rId62"/>
  </webImageSrd>
  <webImageSrd>
    <address r:id="rId63"/>
    <blip r:id="rId64"/>
  </webImageSrd>
  <webImageSrd>
    <address r:id="rId65"/>
    <blip r:id="rId66"/>
  </webImageSrd>
  <webImageSrd>
    <address r:id="rId67"/>
    <blip r:id="rId68"/>
  </webImageSrd>
  <webImageSrd>
    <address r:id="rId69"/>
    <blip r:id="rId70"/>
  </webImageSrd>
  <webImageSrd>
    <address r:id="rId71"/>
    <blip r:id="rId72"/>
  </webImageSrd>
  <webImageSrd>
    <address r:id="rId73"/>
    <blip r:id="rId74"/>
  </webImageSrd>
  <webImageSrd>
    <address r:id="rId75"/>
    <blip r:id="rId76"/>
  </webImageSrd>
  <webImageSrd>
    <address r:id="rId77"/>
    <blip r:id="rId78"/>
  </webImageSrd>
  <webImageSrd>
    <address r:id="rId79"/>
    <blip r:id="rId80"/>
  </webImageSrd>
  <webImageSrd>
    <address r:id="rId81"/>
    <blip r:id="rId82"/>
  </webImageSrd>
  <webImageSrd>
    <address r:id="rId83"/>
    <blip r:id="rId84"/>
  </webImageSrd>
  <webImageSrd>
    <address r:id="rId85"/>
    <blip r:id="rId86"/>
  </webImageSrd>
  <webImageSrd>
    <address r:id="rId87"/>
    <blip r:id="rId88"/>
  </webImageSrd>
  <webImageSrd>
    <address r:id="rId89"/>
    <blip r:id="rId90"/>
  </webImageSrd>
  <webImageSrd>
    <address r:id="rId91"/>
    <blip r:id="rId92"/>
  </webImageSrd>
  <webImageSrd>
    <address r:id="rId93"/>
    <blip r:id="rId94"/>
  </webImageSrd>
  <webImageSrd>
    <address r:id="rId95"/>
    <blip r:id="rId96"/>
  </webImageSrd>
  <webImageSrd>
    <address r:id="rId97"/>
    <blip r:id="rId98"/>
  </webImageSrd>
  <webImageSrd>
    <address r:id="rId99"/>
    <blip r:id="rId100"/>
  </webImageSrd>
  <webImageSrd>
    <address r:id="rId101"/>
    <blip r:id="rId102"/>
  </webImageSrd>
  <webImageSrd>
    <address r:id="rId103"/>
    <blip r:id="rId104"/>
  </webImageSrd>
  <webImageSrd>
    <address r:id="rId105"/>
    <blip r:id="rId106"/>
  </webImageSrd>
</webImagesSrd>
</file>

<file path=xl/richData/rdrichvalue.xml><?xml version="1.0" encoding="utf-8"?>
<rvData xmlns="http://schemas.microsoft.com/office/spreadsheetml/2017/richdata" count="106">
  <rv s="0">
    <v>0</v>
    <v>5</v>
    <v>0</v>
    <v>0</v>
  </rv>
  <rv s="0">
    <v>1</v>
    <v>1</v>
    <v>0</v>
    <v>0</v>
  </rv>
  <rv s="0">
    <v>2</v>
    <v>1</v>
    <v>0</v>
    <v>0</v>
  </rv>
  <rv s="0">
    <v>3</v>
    <v>5</v>
    <v>0</v>
    <v>0</v>
  </rv>
  <rv s="0">
    <v>4</v>
    <v>5</v>
    <v>0</v>
    <v>0</v>
  </rv>
  <rv s="0">
    <v>5</v>
    <v>1</v>
    <v>0</v>
    <v>0</v>
  </rv>
  <rv s="0">
    <v>6</v>
    <v>1</v>
    <v>0</v>
    <v>0</v>
  </rv>
  <rv s="0">
    <v>7</v>
    <v>1</v>
    <v>0</v>
    <v>0</v>
  </rv>
  <rv s="0">
    <v>8</v>
    <v>5</v>
    <v>0</v>
    <v>0</v>
  </rv>
  <rv s="0">
    <v>9</v>
    <v>1</v>
    <v>0</v>
    <v>0</v>
  </rv>
  <rv s="0">
    <v>10</v>
    <v>5</v>
    <v>0</v>
    <v>0</v>
  </rv>
  <rv s="0">
    <v>11</v>
    <v>5</v>
    <v>0</v>
    <v>0</v>
  </rv>
  <rv s="0">
    <v>12</v>
    <v>1</v>
    <v>0</v>
    <v>0</v>
  </rv>
  <rv s="0">
    <v>13</v>
    <v>1</v>
    <v>0</v>
    <v>0</v>
  </rv>
  <rv s="0">
    <v>14</v>
    <v>5</v>
    <v>0</v>
    <v>0</v>
  </rv>
  <rv s="0">
    <v>15</v>
    <v>1</v>
    <v>0</v>
    <v>0</v>
  </rv>
  <rv s="0">
    <v>16</v>
    <v>1</v>
    <v>0</v>
    <v>0</v>
  </rv>
  <rv s="0">
    <v>17</v>
    <v>5</v>
    <v>0</v>
    <v>0</v>
  </rv>
  <rv s="0">
    <v>18</v>
    <v>1</v>
    <v>0</v>
    <v>0</v>
  </rv>
  <rv s="0">
    <v>19</v>
    <v>1</v>
    <v>0</v>
    <v>0</v>
  </rv>
  <rv s="0">
    <v>20</v>
    <v>5</v>
    <v>0</v>
    <v>0</v>
  </rv>
  <rv s="0">
    <v>21</v>
    <v>5</v>
    <v>0</v>
    <v>0</v>
  </rv>
  <rv s="0">
    <v>22</v>
    <v>1</v>
    <v>0</v>
    <v>0</v>
  </rv>
  <rv s="0">
    <v>23</v>
    <v>1</v>
    <v>0</v>
    <v>0</v>
  </rv>
  <rv s="0">
    <v>24</v>
    <v>5</v>
    <v>0</v>
    <v>0</v>
  </rv>
  <rv s="0">
    <v>25</v>
    <v>1</v>
    <v>0</v>
    <v>0</v>
  </rv>
  <rv s="0">
    <v>26</v>
    <v>1</v>
    <v>0</v>
    <v>0</v>
  </rv>
  <rv s="0">
    <v>27</v>
    <v>1</v>
    <v>0</v>
    <v>0</v>
  </rv>
  <rv s="0">
    <v>28</v>
    <v>5</v>
    <v>0</v>
    <v>0</v>
  </rv>
  <rv s="0">
    <v>29</v>
    <v>1</v>
    <v>0</v>
    <v>0</v>
  </rv>
  <rv s="0">
    <v>30</v>
    <v>1</v>
    <v>0</v>
    <v>0</v>
  </rv>
  <rv s="0">
    <v>31</v>
    <v>5</v>
    <v>0</v>
    <v>0</v>
  </rv>
  <rv s="0">
    <v>32</v>
    <v>1</v>
    <v>0</v>
    <v>0</v>
  </rv>
  <rv s="0">
    <v>33</v>
    <v>1</v>
    <v>0</v>
    <v>0</v>
  </rv>
  <rv s="0">
    <v>34</v>
    <v>5</v>
    <v>0</v>
    <v>0</v>
  </rv>
  <rv s="0">
    <v>35</v>
    <v>1</v>
    <v>0</v>
    <v>0</v>
  </rv>
  <rv s="0">
    <v>36</v>
    <v>1</v>
    <v>0</v>
    <v>0</v>
  </rv>
  <rv s="0">
    <v>37</v>
    <v>5</v>
    <v>0</v>
    <v>0</v>
  </rv>
  <rv s="0">
    <v>38</v>
    <v>1</v>
    <v>0</v>
    <v>0</v>
  </rv>
  <rv s="0">
    <v>39</v>
    <v>1</v>
    <v>0</v>
    <v>0</v>
  </rv>
  <rv s="0">
    <v>40</v>
    <v>5</v>
    <v>0</v>
    <v>0</v>
  </rv>
  <rv s="0">
    <v>41</v>
    <v>1</v>
    <v>0</v>
    <v>0</v>
  </rv>
  <rv s="0">
    <v>42</v>
    <v>1</v>
    <v>0</v>
    <v>0</v>
  </rv>
  <rv s="0">
    <v>43</v>
    <v>5</v>
    <v>0</v>
    <v>0</v>
  </rv>
  <rv s="0">
    <v>44</v>
    <v>5</v>
    <v>0</v>
    <v>0</v>
  </rv>
  <rv s="0">
    <v>45</v>
    <v>1</v>
    <v>0</v>
    <v>0</v>
  </rv>
  <rv s="0">
    <v>46</v>
    <v>1</v>
    <v>0</v>
    <v>0</v>
  </rv>
  <rv s="0">
    <v>47</v>
    <v>1</v>
    <v>0</v>
    <v>0</v>
  </rv>
  <rv s="0">
    <v>48</v>
    <v>1</v>
    <v>0</v>
    <v>0</v>
  </rv>
  <rv s="0">
    <v>49</v>
    <v>5</v>
    <v>0</v>
    <v>0</v>
  </rv>
  <rv s="0">
    <v>50</v>
    <v>1</v>
    <v>0</v>
    <v>0</v>
  </rv>
  <rv s="0">
    <v>51</v>
    <v>1</v>
    <v>0</v>
    <v>0</v>
  </rv>
  <rv s="0">
    <v>52</v>
    <v>5</v>
    <v>0</v>
    <v>0</v>
  </rv>
  <rv s="0">
    <v>5</v>
    <v>5</v>
    <v>0</v>
    <v>0</v>
  </rv>
  <rv s="0">
    <v>4</v>
    <v>1</v>
    <v>0</v>
    <v>0</v>
  </rv>
  <rv s="0">
    <v>42</v>
    <v>5</v>
    <v>0</v>
    <v>0</v>
  </rv>
  <rv s="0">
    <v>43</v>
    <v>1</v>
    <v>0</v>
    <v>0</v>
  </rv>
  <rv s="0">
    <v>27</v>
    <v>5</v>
    <v>0</v>
    <v>0</v>
  </rv>
  <rv s="0">
    <v>28</v>
    <v>1</v>
    <v>0</v>
    <v>0</v>
  </rv>
  <rv s="0">
    <v>39</v>
    <v>5</v>
    <v>0</v>
    <v>0</v>
  </rv>
  <rv s="0">
    <v>40</v>
    <v>1</v>
    <v>0</v>
    <v>0</v>
  </rv>
  <rv s="0">
    <v>7</v>
    <v>5</v>
    <v>0</v>
    <v>0</v>
  </rv>
  <rv s="0">
    <v>8</v>
    <v>1</v>
    <v>0</v>
    <v>0</v>
  </rv>
  <rv s="0">
    <v>26</v>
    <v>5</v>
    <v>0</v>
    <v>0</v>
  </rv>
  <rv s="0">
    <v>35</v>
    <v>5</v>
    <v>0</v>
    <v>0</v>
  </rv>
  <rv s="0">
    <v>15</v>
    <v>5</v>
    <v>0</v>
    <v>0</v>
  </rv>
  <rv s="0">
    <v>29</v>
    <v>5</v>
    <v>0</v>
    <v>0</v>
  </rv>
  <rv s="0">
    <v>21</v>
    <v>1</v>
    <v>0</v>
    <v>0</v>
  </rv>
  <rv s="0">
    <v>22</v>
    <v>5</v>
    <v>0</v>
    <v>0</v>
  </rv>
  <rv s="0">
    <v>48</v>
    <v>5</v>
    <v>0</v>
    <v>0</v>
  </rv>
  <rv s="0">
    <v>49</v>
    <v>1</v>
    <v>0</v>
    <v>0</v>
  </rv>
  <rv s="0">
    <v>30</v>
    <v>5</v>
    <v>0</v>
    <v>0</v>
  </rv>
  <rv s="0">
    <v>31</v>
    <v>1</v>
    <v>0</v>
    <v>0</v>
  </rv>
  <rv s="0">
    <v>45</v>
    <v>5</v>
    <v>0</v>
    <v>0</v>
  </rv>
  <rv s="0">
    <v>44</v>
    <v>1</v>
    <v>0</v>
    <v>0</v>
  </rv>
  <rv s="0">
    <v>38</v>
    <v>5</v>
    <v>0</v>
    <v>0</v>
  </rv>
  <rv s="0">
    <v>37</v>
    <v>1</v>
    <v>0</v>
    <v>0</v>
  </rv>
  <rv s="0">
    <v>25</v>
    <v>5</v>
    <v>0</v>
    <v>0</v>
  </rv>
  <rv s="0">
    <v>24</v>
    <v>1</v>
    <v>0</v>
    <v>0</v>
  </rv>
  <rv s="0">
    <v>47</v>
    <v>5</v>
    <v>0</v>
    <v>0</v>
  </rv>
  <rv s="0">
    <v>14</v>
    <v>1</v>
    <v>0</v>
    <v>0</v>
  </rv>
  <rv s="0">
    <v>41</v>
    <v>5</v>
    <v>0</v>
    <v>0</v>
  </rv>
  <rv s="0">
    <v>18</v>
    <v>5</v>
    <v>0</v>
    <v>0</v>
  </rv>
  <rv s="0">
    <v>17</v>
    <v>1</v>
    <v>0</v>
    <v>0</v>
  </rv>
  <rv s="0">
    <v>12</v>
    <v>5</v>
    <v>0</v>
    <v>0</v>
  </rv>
  <rv s="0">
    <v>11</v>
    <v>1</v>
    <v>0</v>
    <v>0</v>
  </rv>
  <rv s="0">
    <v>36</v>
    <v>5</v>
    <v>0</v>
    <v>0</v>
  </rv>
  <rv s="0">
    <v>33</v>
    <v>5</v>
    <v>0</v>
    <v>0</v>
  </rv>
  <rv s="0">
    <v>34</v>
    <v>1</v>
    <v>0</v>
    <v>0</v>
  </rv>
  <rv s="0">
    <v>9</v>
    <v>5</v>
    <v>0</v>
    <v>0</v>
  </rv>
  <rv s="0">
    <v>10</v>
    <v>1</v>
    <v>0</v>
    <v>0</v>
  </rv>
  <rv s="0">
    <v>13</v>
    <v>5</v>
    <v>0</v>
    <v>0</v>
  </rv>
  <rv s="0">
    <v>23</v>
    <v>5</v>
    <v>0</v>
    <v>0</v>
  </rv>
  <rv s="0">
    <v>46</v>
    <v>5</v>
    <v>0</v>
    <v>0</v>
  </rv>
  <rv s="0">
    <v>51</v>
    <v>5</v>
    <v>0</v>
    <v>0</v>
  </rv>
  <rv s="0">
    <v>52</v>
    <v>1</v>
    <v>0</v>
    <v>0</v>
  </rv>
  <rv s="0">
    <v>32</v>
    <v>5</v>
    <v>0</v>
    <v>0</v>
  </rv>
  <rv s="0">
    <v>3</v>
    <v>1</v>
    <v>0</v>
    <v>0</v>
  </rv>
  <rv s="0">
    <v>16</v>
    <v>5</v>
    <v>0</v>
    <v>0</v>
  </rv>
  <rv s="0">
    <v>0</v>
    <v>1</v>
    <v>0</v>
    <v>0</v>
  </rv>
  <rv s="0">
    <v>50</v>
    <v>5</v>
    <v>0</v>
    <v>0</v>
  </rv>
  <rv s="0">
    <v>19</v>
    <v>5</v>
    <v>0</v>
    <v>0</v>
  </rv>
  <rv s="0">
    <v>20</v>
    <v>1</v>
    <v>0</v>
    <v>0</v>
  </rv>
  <rv s="0">
    <v>6</v>
    <v>5</v>
    <v>0</v>
    <v>0</v>
  </rv>
  <rv s="0">
    <v>1</v>
    <v>5</v>
    <v>0</v>
    <v>0</v>
  </rv>
  <rv s="0">
    <v>2</v>
    <v>5</v>
    <v>0</v>
    <v>0</v>
  </rv>
</rvData>
</file>

<file path=xl/richData/rdrichvaluestructure.xml><?xml version="1.0" encoding="utf-8"?>
<rvStructures xmlns="http://schemas.microsoft.com/office/spreadsheetml/2017/richdata" count="1">
  <s t="_webimage">
    <k n="WebImageIdentifier" t="i"/>
    <k n="CalcOrigin" t="i"/>
    <k n="ComputedImage" t="b"/>
    <k n="ImageSizing" t="i"/>
  </s>
</rvStructure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youtube.com/c/aprendizdeexcel" TargetMode="External"/><Relationship Id="rId2" Type="http://schemas.openxmlformats.org/officeDocument/2006/relationships/hyperlink" Target="https://www.youtube.com/c/aprendizdeexcel" TargetMode="External"/><Relationship Id="rId1" Type="http://schemas.openxmlformats.org/officeDocument/2006/relationships/hyperlink" Target="https://youtu.be/xU6qnSBBQuA" TargetMode="External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robstanlubo@gmail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youtu.be/hY0en4f_h2Q" TargetMode="External"/><Relationship Id="rId2" Type="http://schemas.openxmlformats.org/officeDocument/2006/relationships/hyperlink" Target="https://www.youtube.com/c/aprendizdeexcel" TargetMode="External"/><Relationship Id="rId1" Type="http://schemas.openxmlformats.org/officeDocument/2006/relationships/hyperlink" Target="https://www.youtube.com/c/aprendizdeexcel" TargetMode="External"/><Relationship Id="rId6" Type="http://schemas.openxmlformats.org/officeDocument/2006/relationships/drawing" Target="../drawings/drawing3.xml"/><Relationship Id="rId5" Type="http://schemas.openxmlformats.org/officeDocument/2006/relationships/printerSettings" Target="../printerSettings/printerSettings3.bin"/><Relationship Id="rId4" Type="http://schemas.openxmlformats.org/officeDocument/2006/relationships/hyperlink" Target="https://youtu.be/xU6qnSBBQuA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youtu.be/hY0en4f_h2Q" TargetMode="External"/><Relationship Id="rId2" Type="http://schemas.openxmlformats.org/officeDocument/2006/relationships/hyperlink" Target="https://www.youtube.com/c/aprendizdeexcel" TargetMode="External"/><Relationship Id="rId1" Type="http://schemas.openxmlformats.org/officeDocument/2006/relationships/hyperlink" Target="https://www.youtube.com/c/aprendizdeexcel" TargetMode="External"/><Relationship Id="rId6" Type="http://schemas.openxmlformats.org/officeDocument/2006/relationships/drawing" Target="../drawings/drawing4.xml"/><Relationship Id="rId5" Type="http://schemas.openxmlformats.org/officeDocument/2006/relationships/printerSettings" Target="../printerSettings/printerSettings4.bin"/><Relationship Id="rId4" Type="http://schemas.openxmlformats.org/officeDocument/2006/relationships/hyperlink" Target="https://youtu.be/xU6qnSBBQuA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youtu.be/hY0en4f_h2Q" TargetMode="External"/><Relationship Id="rId2" Type="http://schemas.openxmlformats.org/officeDocument/2006/relationships/hyperlink" Target="https://www.youtube.com/c/aprendizdeexcel" TargetMode="External"/><Relationship Id="rId1" Type="http://schemas.openxmlformats.org/officeDocument/2006/relationships/hyperlink" Target="https://www.youtube.com/c/aprendizdeexcel" TargetMode="External"/><Relationship Id="rId6" Type="http://schemas.openxmlformats.org/officeDocument/2006/relationships/drawing" Target="../drawings/drawing5.xml"/><Relationship Id="rId5" Type="http://schemas.openxmlformats.org/officeDocument/2006/relationships/printerSettings" Target="../printerSettings/printerSettings5.bin"/><Relationship Id="rId4" Type="http://schemas.openxmlformats.org/officeDocument/2006/relationships/hyperlink" Target="https://youtu.be/xU6qnSBBQuA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youtu.be/hY0en4f_h2Q" TargetMode="External"/><Relationship Id="rId2" Type="http://schemas.openxmlformats.org/officeDocument/2006/relationships/hyperlink" Target="https://www.youtube.com/c/aprendizdeexcel" TargetMode="External"/><Relationship Id="rId1" Type="http://schemas.openxmlformats.org/officeDocument/2006/relationships/hyperlink" Target="https://www.youtube.com/c/aprendizdeexcel" TargetMode="External"/><Relationship Id="rId6" Type="http://schemas.openxmlformats.org/officeDocument/2006/relationships/drawing" Target="../drawings/drawing6.xml"/><Relationship Id="rId5" Type="http://schemas.openxmlformats.org/officeDocument/2006/relationships/printerSettings" Target="../printerSettings/printerSettings6.bin"/><Relationship Id="rId4" Type="http://schemas.openxmlformats.org/officeDocument/2006/relationships/hyperlink" Target="https://youtu.be/xU6qnSBBQuA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https://youtu.be/hY0en4f_h2Q" TargetMode="External"/><Relationship Id="rId2" Type="http://schemas.openxmlformats.org/officeDocument/2006/relationships/hyperlink" Target="https://www.youtube.com/c/aprendizdeexcel" TargetMode="External"/><Relationship Id="rId1" Type="http://schemas.openxmlformats.org/officeDocument/2006/relationships/hyperlink" Target="https://www.youtube.com/c/aprendizdeexcel" TargetMode="External"/><Relationship Id="rId6" Type="http://schemas.openxmlformats.org/officeDocument/2006/relationships/drawing" Target="../drawings/drawing7.xml"/><Relationship Id="rId5" Type="http://schemas.openxmlformats.org/officeDocument/2006/relationships/printerSettings" Target="../printerSettings/printerSettings7.bin"/><Relationship Id="rId4" Type="http://schemas.openxmlformats.org/officeDocument/2006/relationships/hyperlink" Target="https://youtu.be/xU6qnSBBQuA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s://youtu.be/hY0en4f_h2Q" TargetMode="External"/><Relationship Id="rId2" Type="http://schemas.openxmlformats.org/officeDocument/2006/relationships/hyperlink" Target="https://www.youtube.com/c/aprendizdeexcel" TargetMode="External"/><Relationship Id="rId1" Type="http://schemas.openxmlformats.org/officeDocument/2006/relationships/hyperlink" Target="https://www.youtube.com/c/aprendizdeexcel" TargetMode="External"/><Relationship Id="rId6" Type="http://schemas.openxmlformats.org/officeDocument/2006/relationships/drawing" Target="../drawings/drawing8.xml"/><Relationship Id="rId5" Type="http://schemas.openxmlformats.org/officeDocument/2006/relationships/printerSettings" Target="../printerSettings/printerSettings8.bin"/><Relationship Id="rId4" Type="http://schemas.openxmlformats.org/officeDocument/2006/relationships/hyperlink" Target="https://youtu.be/xU6qnSBBQuA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https://youtu.be/hY0en4f_h2Q" TargetMode="External"/><Relationship Id="rId2" Type="http://schemas.openxmlformats.org/officeDocument/2006/relationships/hyperlink" Target="https://www.youtube.com/c/aprendizdeexcel" TargetMode="External"/><Relationship Id="rId1" Type="http://schemas.openxmlformats.org/officeDocument/2006/relationships/hyperlink" Target="https://www.youtube.com/c/aprendizdeexcel" TargetMode="External"/><Relationship Id="rId6" Type="http://schemas.openxmlformats.org/officeDocument/2006/relationships/drawing" Target="../drawings/drawing9.xml"/><Relationship Id="rId5" Type="http://schemas.openxmlformats.org/officeDocument/2006/relationships/printerSettings" Target="../printerSettings/printerSettings9.bin"/><Relationship Id="rId4" Type="http://schemas.openxmlformats.org/officeDocument/2006/relationships/hyperlink" Target="https://youtu.be/xU6qnSBBQuA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hyperlink" Target="https://youtu.be/hY0en4f_h2Q" TargetMode="External"/><Relationship Id="rId2" Type="http://schemas.openxmlformats.org/officeDocument/2006/relationships/hyperlink" Target="https://www.youtube.com/c/aprendizdeexcel" TargetMode="External"/><Relationship Id="rId1" Type="http://schemas.openxmlformats.org/officeDocument/2006/relationships/hyperlink" Target="https://www.youtube.com/c/aprendizdeexcel" TargetMode="External"/><Relationship Id="rId6" Type="http://schemas.openxmlformats.org/officeDocument/2006/relationships/drawing" Target="../drawings/drawing10.xml"/><Relationship Id="rId5" Type="http://schemas.openxmlformats.org/officeDocument/2006/relationships/printerSettings" Target="../printerSettings/printerSettings10.bin"/><Relationship Id="rId4" Type="http://schemas.openxmlformats.org/officeDocument/2006/relationships/hyperlink" Target="https://youtu.be/xU6qnSBBQuA" TargetMode="External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1.xml"/><Relationship Id="rId3" Type="http://schemas.openxmlformats.org/officeDocument/2006/relationships/hyperlink" Target="https://youtu.be/QE5L2yVHpa0" TargetMode="External"/><Relationship Id="rId7" Type="http://schemas.openxmlformats.org/officeDocument/2006/relationships/printerSettings" Target="../printerSettings/printerSettings11.bin"/><Relationship Id="rId2" Type="http://schemas.openxmlformats.org/officeDocument/2006/relationships/hyperlink" Target="https://www.youtube.com/c/aprendizdeexcel" TargetMode="External"/><Relationship Id="rId1" Type="http://schemas.openxmlformats.org/officeDocument/2006/relationships/hyperlink" Target="https://www.youtube.com/c/aprendizdeexcel" TargetMode="External"/><Relationship Id="rId6" Type="http://schemas.openxmlformats.org/officeDocument/2006/relationships/hyperlink" Target="https://www.youtube.com/c/aprendizdeexcel" TargetMode="External"/><Relationship Id="rId5" Type="http://schemas.openxmlformats.org/officeDocument/2006/relationships/hyperlink" Target="https://www.youtube.com/c/aprendizdeexcel" TargetMode="External"/><Relationship Id="rId4" Type="http://schemas.openxmlformats.org/officeDocument/2006/relationships/hyperlink" Target="https://youtu.be/xU6qnSBBQuA" TargetMode="Externa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youtube.com/c/aprendizdeexcel" TargetMode="External"/><Relationship Id="rId2" Type="http://schemas.openxmlformats.org/officeDocument/2006/relationships/hyperlink" Target="https://www.youtube.com/c/aprendizdeexcel" TargetMode="External"/><Relationship Id="rId1" Type="http://schemas.openxmlformats.org/officeDocument/2006/relationships/hyperlink" Target="https://youtu.be/xU6qnSBBQuA" TargetMode="External"/><Relationship Id="rId5" Type="http://schemas.openxmlformats.org/officeDocument/2006/relationships/drawing" Target="../drawings/drawing12.xml"/><Relationship Id="rId4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youtube.com/c/aprendizdeexcel" TargetMode="External"/><Relationship Id="rId2" Type="http://schemas.openxmlformats.org/officeDocument/2006/relationships/hyperlink" Target="https://www.youtube.com/c/aprendizdeexcel" TargetMode="External"/><Relationship Id="rId1" Type="http://schemas.openxmlformats.org/officeDocument/2006/relationships/hyperlink" Target="https://youtu.be/xU6qnSBBQuA" TargetMode="External"/><Relationship Id="rId5" Type="http://schemas.openxmlformats.org/officeDocument/2006/relationships/drawing" Target="../drawings/drawing13.xml"/><Relationship Id="rId4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youtube.com/c/aprendizdeexcel" TargetMode="External"/><Relationship Id="rId2" Type="http://schemas.openxmlformats.org/officeDocument/2006/relationships/hyperlink" Target="https://www.youtube.com/c/aprendizdeexcel" TargetMode="External"/><Relationship Id="rId1" Type="http://schemas.openxmlformats.org/officeDocument/2006/relationships/hyperlink" Target="https://youtu.be/xU6qnSBBQuA" TargetMode="External"/><Relationship Id="rId5" Type="http://schemas.openxmlformats.org/officeDocument/2006/relationships/drawing" Target="../drawings/drawing14.xml"/><Relationship Id="rId4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youtube.com/c/aprendizdeexcel" TargetMode="External"/><Relationship Id="rId2" Type="http://schemas.openxmlformats.org/officeDocument/2006/relationships/hyperlink" Target="https://www.youtube.com/c/aprendizdeexcel" TargetMode="External"/><Relationship Id="rId1" Type="http://schemas.openxmlformats.org/officeDocument/2006/relationships/hyperlink" Target="https://youtu.be/xU6qnSBBQuA" TargetMode="External"/><Relationship Id="rId5" Type="http://schemas.openxmlformats.org/officeDocument/2006/relationships/drawing" Target="../drawings/drawing15.xml"/><Relationship Id="rId4" Type="http://schemas.openxmlformats.org/officeDocument/2006/relationships/printerSettings" Target="../printerSettings/printerSettings16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youtube.com/c/aprendizdeexcel" TargetMode="External"/><Relationship Id="rId2" Type="http://schemas.openxmlformats.org/officeDocument/2006/relationships/hyperlink" Target="https://www.youtube.com/c/aprendizdeexcel" TargetMode="External"/><Relationship Id="rId1" Type="http://schemas.openxmlformats.org/officeDocument/2006/relationships/hyperlink" Target="https://youtu.be/xU6qnSBBQuA" TargetMode="External"/><Relationship Id="rId5" Type="http://schemas.openxmlformats.org/officeDocument/2006/relationships/drawing" Target="../drawings/drawing16.xml"/><Relationship Id="rId4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DE1B8-A243-44C0-B4B0-5970FA24A769}">
  <sheetPr codeName="Hoja1"/>
  <dimension ref="A1:S40"/>
  <sheetViews>
    <sheetView showGridLines="0" topLeftCell="A13" zoomScaleNormal="100" workbookViewId="0">
      <selection activeCell="E40" sqref="E40:F40"/>
    </sheetView>
  </sheetViews>
  <sheetFormatPr baseColWidth="10" defaultRowHeight="15" x14ac:dyDescent="0.25"/>
  <cols>
    <col min="1" max="1" width="3.5703125" customWidth="1"/>
    <col min="2" max="2" width="45" customWidth="1"/>
    <col min="3" max="3" width="8.5703125" customWidth="1"/>
    <col min="4" max="4" width="10.85546875" customWidth="1"/>
    <col min="5" max="5" width="4.28515625" customWidth="1"/>
    <col min="6" max="6" width="8.5703125" customWidth="1"/>
    <col min="7" max="7" width="23.5703125" customWidth="1"/>
    <col min="8" max="8" width="8.5703125" customWidth="1"/>
    <col min="9" max="9" width="20" customWidth="1"/>
    <col min="10" max="10" width="8.7109375" customWidth="1"/>
    <col min="11" max="11" width="12" customWidth="1"/>
  </cols>
  <sheetData>
    <row r="1" spans="1:19" s="153" customFormat="1" ht="27.75" customHeight="1" x14ac:dyDescent="0.25">
      <c r="A1" s="210" t="s">
        <v>314</v>
      </c>
      <c r="B1" s="211"/>
      <c r="C1" s="211"/>
      <c r="D1" s="211"/>
      <c r="E1" s="211"/>
      <c r="F1" s="211"/>
      <c r="G1" s="211"/>
      <c r="H1" s="211"/>
      <c r="I1" s="211"/>
      <c r="J1" s="211"/>
      <c r="K1" s="211"/>
      <c r="L1" s="211"/>
      <c r="M1" s="211"/>
      <c r="N1" s="211"/>
      <c r="O1" s="211"/>
      <c r="P1" s="211"/>
      <c r="Q1" s="211"/>
      <c r="R1" s="211"/>
      <c r="S1" s="211"/>
    </row>
    <row r="3" spans="1:19" ht="43.5" customHeight="1" x14ac:dyDescent="0.25">
      <c r="B3" s="286" t="s">
        <v>347</v>
      </c>
      <c r="C3" s="286"/>
      <c r="D3" s="286"/>
      <c r="E3" s="286"/>
      <c r="F3" s="286"/>
      <c r="G3" s="286"/>
    </row>
    <row r="4" spans="1:19" ht="15.75" thickBot="1" x14ac:dyDescent="0.3"/>
    <row r="5" spans="1:19" ht="15.75" thickBot="1" x14ac:dyDescent="0.3">
      <c r="B5" s="153"/>
      <c r="C5" s="217" t="s">
        <v>62</v>
      </c>
      <c r="D5" s="218" t="s">
        <v>63</v>
      </c>
      <c r="G5" s="287" t="s">
        <v>64</v>
      </c>
      <c r="H5" s="288"/>
      <c r="I5" s="288"/>
      <c r="J5" s="288"/>
      <c r="K5" s="288"/>
      <c r="L5" s="289"/>
    </row>
    <row r="6" spans="1:19" x14ac:dyDescent="0.25">
      <c r="B6" s="53" t="s">
        <v>65</v>
      </c>
      <c r="C6" s="54">
        <v>3</v>
      </c>
      <c r="D6" s="54">
        <f>C6*6*8</f>
        <v>144</v>
      </c>
      <c r="E6" s="81"/>
      <c r="G6" s="212" t="s">
        <v>66</v>
      </c>
      <c r="H6" s="213"/>
      <c r="I6" s="212" t="s">
        <v>67</v>
      </c>
      <c r="J6" s="213"/>
      <c r="K6" s="212" t="s">
        <v>68</v>
      </c>
      <c r="L6" s="213"/>
      <c r="M6" s="52"/>
    </row>
    <row r="7" spans="1:19" x14ac:dyDescent="0.25">
      <c r="B7" s="55" t="s">
        <v>69</v>
      </c>
      <c r="C7" s="56">
        <v>0</v>
      </c>
      <c r="D7" s="56">
        <f>C7*2*6*8</f>
        <v>0</v>
      </c>
      <c r="E7" s="81"/>
      <c r="G7" s="214" t="s">
        <v>70</v>
      </c>
      <c r="H7" s="57">
        <v>1</v>
      </c>
      <c r="I7" s="214" t="s">
        <v>70</v>
      </c>
      <c r="J7" s="57">
        <v>1</v>
      </c>
      <c r="K7" s="214" t="s">
        <v>70</v>
      </c>
      <c r="L7" s="57">
        <v>1</v>
      </c>
    </row>
    <row r="8" spans="1:19" ht="15.75" thickBot="1" x14ac:dyDescent="0.3">
      <c r="B8" s="58" t="s">
        <v>71</v>
      </c>
      <c r="C8" s="59">
        <v>5</v>
      </c>
      <c r="D8" s="59">
        <f>C8*6*8</f>
        <v>240</v>
      </c>
      <c r="E8" s="81"/>
      <c r="G8" s="214" t="s">
        <v>72</v>
      </c>
      <c r="H8" s="57">
        <v>0</v>
      </c>
      <c r="I8" s="214" t="s">
        <v>72</v>
      </c>
      <c r="J8" s="57">
        <v>0</v>
      </c>
      <c r="K8" s="214" t="s">
        <v>72</v>
      </c>
      <c r="L8" s="57">
        <v>0</v>
      </c>
    </row>
    <row r="9" spans="1:19" x14ac:dyDescent="0.25">
      <c r="B9" s="250" t="s">
        <v>325</v>
      </c>
      <c r="C9" s="54">
        <v>9</v>
      </c>
      <c r="D9" s="54">
        <f>C9*8</f>
        <v>72</v>
      </c>
      <c r="E9" s="81"/>
      <c r="G9" s="214" t="s">
        <v>73</v>
      </c>
      <c r="H9" s="57">
        <v>0</v>
      </c>
      <c r="I9" s="214" t="s">
        <v>73</v>
      </c>
      <c r="J9" s="57">
        <v>0</v>
      </c>
      <c r="K9" s="214" t="s">
        <v>73</v>
      </c>
      <c r="L9" s="57">
        <v>0</v>
      </c>
    </row>
    <row r="10" spans="1:19" x14ac:dyDescent="0.25">
      <c r="B10" s="251" t="s">
        <v>326</v>
      </c>
      <c r="C10" s="56">
        <v>0</v>
      </c>
      <c r="D10" s="56">
        <f>C10*2*8</f>
        <v>0</v>
      </c>
      <c r="E10" s="81"/>
      <c r="G10" s="214" t="s">
        <v>74</v>
      </c>
      <c r="H10" s="57">
        <v>0</v>
      </c>
      <c r="I10" s="214" t="s">
        <v>74</v>
      </c>
      <c r="J10" s="57">
        <v>0</v>
      </c>
      <c r="K10" s="214" t="s">
        <v>74</v>
      </c>
      <c r="L10" s="57">
        <v>0</v>
      </c>
    </row>
    <row r="11" spans="1:19" ht="15.75" thickBot="1" x14ac:dyDescent="0.3">
      <c r="B11" s="252" t="s">
        <v>327</v>
      </c>
      <c r="C11" s="59">
        <v>15</v>
      </c>
      <c r="D11" s="59">
        <f>C11*8</f>
        <v>120</v>
      </c>
      <c r="E11" s="81"/>
      <c r="G11" s="214" t="s">
        <v>75</v>
      </c>
      <c r="H11" s="57">
        <v>0</v>
      </c>
      <c r="I11" s="214" t="s">
        <v>75</v>
      </c>
      <c r="J11" s="57">
        <v>0</v>
      </c>
      <c r="K11" s="214" t="s">
        <v>75</v>
      </c>
      <c r="L11" s="57">
        <v>0</v>
      </c>
    </row>
    <row r="12" spans="1:19" x14ac:dyDescent="0.25">
      <c r="B12" s="60" t="s">
        <v>76</v>
      </c>
      <c r="C12" s="54">
        <v>9</v>
      </c>
      <c r="D12" s="54">
        <f>C12*4</f>
        <v>36</v>
      </c>
      <c r="E12" s="81"/>
      <c r="G12" s="214" t="s">
        <v>77</v>
      </c>
      <c r="H12" s="57">
        <v>0</v>
      </c>
      <c r="I12" s="214" t="s">
        <v>77</v>
      </c>
      <c r="J12" s="57">
        <v>0</v>
      </c>
      <c r="K12" s="214" t="s">
        <v>77</v>
      </c>
      <c r="L12" s="57">
        <v>0.02</v>
      </c>
    </row>
    <row r="13" spans="1:19" ht="15.75" thickBot="1" x14ac:dyDescent="0.3">
      <c r="B13" s="61" t="s">
        <v>78</v>
      </c>
      <c r="C13" s="56">
        <v>0</v>
      </c>
      <c r="D13" s="56">
        <f>C13*2*4</f>
        <v>0</v>
      </c>
      <c r="E13" s="81"/>
      <c r="G13" s="215" t="s">
        <v>79</v>
      </c>
      <c r="H13" s="62">
        <v>0</v>
      </c>
      <c r="I13" s="215"/>
      <c r="J13" s="62"/>
      <c r="K13" s="215"/>
      <c r="L13" s="63"/>
    </row>
    <row r="14" spans="1:19" ht="15.75" thickBot="1" x14ac:dyDescent="0.3">
      <c r="B14" s="64" t="s">
        <v>80</v>
      </c>
      <c r="C14" s="59">
        <f>+C11</f>
        <v>15</v>
      </c>
      <c r="D14" s="59">
        <f>C14*4</f>
        <v>60</v>
      </c>
      <c r="E14" s="81"/>
      <c r="G14" s="214" t="s">
        <v>91</v>
      </c>
      <c r="H14" s="216">
        <f>SUM(H7:H12)+H13*8</f>
        <v>1</v>
      </c>
      <c r="I14" s="214" t="s">
        <v>91</v>
      </c>
      <c r="J14" s="216">
        <f>SUM(J7:J12)</f>
        <v>1</v>
      </c>
      <c r="K14" s="214" t="s">
        <v>91</v>
      </c>
      <c r="L14" s="216">
        <f>SUM(L7:L12)</f>
        <v>1.02</v>
      </c>
    </row>
    <row r="15" spans="1:19" x14ac:dyDescent="0.25">
      <c r="B15" s="65" t="s">
        <v>81</v>
      </c>
      <c r="C15" s="54">
        <v>9</v>
      </c>
      <c r="D15" s="54">
        <f>C15*2</f>
        <v>18</v>
      </c>
      <c r="E15" s="81"/>
    </row>
    <row r="16" spans="1:19" x14ac:dyDescent="0.25">
      <c r="B16" s="66" t="s">
        <v>82</v>
      </c>
      <c r="C16" s="56">
        <v>0</v>
      </c>
      <c r="D16" s="56">
        <f>C16*2*2</f>
        <v>0</v>
      </c>
      <c r="E16" s="81"/>
    </row>
    <row r="17" spans="2:9" ht="15.75" thickBot="1" x14ac:dyDescent="0.3">
      <c r="B17" s="67" t="s">
        <v>83</v>
      </c>
      <c r="C17" s="59">
        <v>15</v>
      </c>
      <c r="D17" s="59">
        <f>C17*2</f>
        <v>30</v>
      </c>
      <c r="E17" s="81"/>
    </row>
    <row r="18" spans="2:9" ht="15.75" thickBot="1" x14ac:dyDescent="0.3">
      <c r="B18" s="68" t="s">
        <v>328</v>
      </c>
      <c r="C18" s="54">
        <v>9</v>
      </c>
      <c r="D18" s="54">
        <f>C18</f>
        <v>9</v>
      </c>
      <c r="E18" s="81"/>
    </row>
    <row r="19" spans="2:9" ht="14.25" customHeight="1" x14ac:dyDescent="0.25">
      <c r="B19" s="69" t="s">
        <v>329</v>
      </c>
      <c r="C19" s="56">
        <v>0</v>
      </c>
      <c r="D19" s="56">
        <f>C19*2</f>
        <v>0</v>
      </c>
      <c r="E19" s="81"/>
      <c r="I19" s="294" t="s">
        <v>134</v>
      </c>
    </row>
    <row r="20" spans="2:9" ht="15.75" thickBot="1" x14ac:dyDescent="0.3">
      <c r="B20" s="70" t="s">
        <v>330</v>
      </c>
      <c r="C20" s="59">
        <v>15</v>
      </c>
      <c r="D20" s="59">
        <f>C20</f>
        <v>15</v>
      </c>
      <c r="E20" s="81"/>
      <c r="I20" s="295"/>
    </row>
    <row r="21" spans="2:9" x14ac:dyDescent="0.25">
      <c r="B21" s="142" t="s">
        <v>98</v>
      </c>
      <c r="C21" s="71">
        <v>15</v>
      </c>
      <c r="D21" s="54">
        <f>+C21*8</f>
        <v>120</v>
      </c>
      <c r="E21" s="81"/>
      <c r="I21" s="296" t="s">
        <v>135</v>
      </c>
    </row>
    <row r="22" spans="2:9" ht="15.75" thickBot="1" x14ac:dyDescent="0.3">
      <c r="B22" s="143" t="s">
        <v>331</v>
      </c>
      <c r="C22" s="72">
        <v>20</v>
      </c>
      <c r="D22" s="56">
        <f>+C22*8</f>
        <v>160</v>
      </c>
      <c r="E22" s="81"/>
      <c r="I22" s="297"/>
    </row>
    <row r="23" spans="2:9" x14ac:dyDescent="0.25">
      <c r="B23" s="143" t="s">
        <v>84</v>
      </c>
      <c r="C23" s="72">
        <v>25</v>
      </c>
      <c r="D23" s="56">
        <f>+C23*8</f>
        <v>200</v>
      </c>
      <c r="E23" s="81"/>
    </row>
    <row r="24" spans="2:9" x14ac:dyDescent="0.25">
      <c r="B24" s="143" t="s">
        <v>85</v>
      </c>
      <c r="C24" s="72">
        <v>30</v>
      </c>
      <c r="D24" s="56">
        <f>+C24*4</f>
        <v>120</v>
      </c>
      <c r="E24" s="81"/>
    </row>
    <row r="25" spans="2:9" x14ac:dyDescent="0.25">
      <c r="B25" s="143" t="s">
        <v>86</v>
      </c>
      <c r="C25" s="72">
        <v>35</v>
      </c>
      <c r="D25" s="56">
        <f>+C25*2</f>
        <v>70</v>
      </c>
      <c r="E25" s="81"/>
    </row>
    <row r="26" spans="2:9" ht="15.75" thickBot="1" x14ac:dyDescent="0.3">
      <c r="B26" s="144" t="s">
        <v>87</v>
      </c>
      <c r="C26" s="73">
        <v>50</v>
      </c>
      <c r="D26" s="59">
        <f t="shared" ref="D26" si="0">+C26</f>
        <v>50</v>
      </c>
    </row>
    <row r="27" spans="2:9" ht="15.75" thickBot="1" x14ac:dyDescent="0.3"/>
    <row r="28" spans="2:9" ht="15.75" thickBot="1" x14ac:dyDescent="0.3">
      <c r="B28" s="219" t="s">
        <v>88</v>
      </c>
      <c r="C28" s="290" t="s">
        <v>348</v>
      </c>
      <c r="D28" s="291"/>
      <c r="E28" s="291"/>
      <c r="F28" s="291"/>
      <c r="G28" s="292"/>
    </row>
    <row r="29" spans="2:9" ht="15.75" thickBot="1" x14ac:dyDescent="0.3">
      <c r="B29" s="74"/>
    </row>
    <row r="30" spans="2:9" ht="15.75" thickBot="1" x14ac:dyDescent="0.3">
      <c r="B30" s="219" t="s">
        <v>89</v>
      </c>
      <c r="C30" s="293" t="s">
        <v>349</v>
      </c>
      <c r="D30" s="291"/>
      <c r="E30" s="291"/>
      <c r="F30" s="291"/>
      <c r="G30" s="292"/>
    </row>
    <row r="31" spans="2:9" ht="15.75" thickBot="1" x14ac:dyDescent="0.3"/>
    <row r="32" spans="2:9" ht="15.75" thickBot="1" x14ac:dyDescent="0.3">
      <c r="B32" s="219" t="s">
        <v>90</v>
      </c>
      <c r="C32" s="284">
        <v>4126737263</v>
      </c>
      <c r="D32" s="285"/>
      <c r="F32" s="219" t="s">
        <v>119</v>
      </c>
      <c r="G32" s="137">
        <v>2</v>
      </c>
    </row>
    <row r="34" spans="1:19" x14ac:dyDescent="0.25">
      <c r="C34" s="217" t="s">
        <v>62</v>
      </c>
      <c r="D34" s="218" t="s">
        <v>63</v>
      </c>
    </row>
    <row r="35" spans="1:19" x14ac:dyDescent="0.25">
      <c r="B35" s="278" t="s">
        <v>341</v>
      </c>
      <c r="C35" s="111">
        <v>15</v>
      </c>
      <c r="D35" s="111">
        <v>15</v>
      </c>
      <c r="E35" s="282" t="s">
        <v>350</v>
      </c>
      <c r="F35" s="283"/>
    </row>
    <row r="36" spans="1:19" x14ac:dyDescent="0.25">
      <c r="B36" s="278" t="s">
        <v>342</v>
      </c>
      <c r="C36" s="111">
        <v>15</v>
      </c>
      <c r="D36" s="111">
        <v>15</v>
      </c>
      <c r="E36" s="282" t="s">
        <v>351</v>
      </c>
      <c r="F36" s="283"/>
    </row>
    <row r="37" spans="1:19" x14ac:dyDescent="0.25">
      <c r="B37" s="278" t="s">
        <v>343</v>
      </c>
      <c r="C37" s="111">
        <v>15</v>
      </c>
      <c r="D37" s="111">
        <v>15</v>
      </c>
      <c r="E37" s="282" t="s">
        <v>352</v>
      </c>
      <c r="F37" s="283"/>
    </row>
    <row r="38" spans="1:19" x14ac:dyDescent="0.25">
      <c r="A38" s="279"/>
      <c r="B38" s="280" t="s">
        <v>344</v>
      </c>
      <c r="C38" s="281">
        <v>15</v>
      </c>
      <c r="D38" s="281">
        <v>15</v>
      </c>
      <c r="E38" s="298" t="s">
        <v>353</v>
      </c>
      <c r="F38" s="299"/>
      <c r="G38" s="279"/>
      <c r="H38" s="279"/>
      <c r="I38" s="279"/>
      <c r="J38" s="279"/>
      <c r="K38" s="279"/>
      <c r="L38" s="279"/>
      <c r="M38" s="279"/>
      <c r="N38" s="279"/>
      <c r="O38" s="279"/>
      <c r="P38" s="279"/>
      <c r="Q38" s="279"/>
      <c r="R38" s="279"/>
      <c r="S38" s="279"/>
    </row>
    <row r="39" spans="1:19" x14ac:dyDescent="0.25">
      <c r="B39" s="278" t="s">
        <v>346</v>
      </c>
      <c r="C39" s="111">
        <v>15</v>
      </c>
      <c r="D39" s="111">
        <v>15</v>
      </c>
      <c r="E39" s="282" t="s">
        <v>354</v>
      </c>
      <c r="F39" s="283"/>
    </row>
    <row r="40" spans="1:19" x14ac:dyDescent="0.25">
      <c r="B40" s="278" t="s">
        <v>345</v>
      </c>
      <c r="C40" s="111">
        <v>15</v>
      </c>
      <c r="D40" s="111">
        <v>15</v>
      </c>
      <c r="E40" s="282" t="s">
        <v>355</v>
      </c>
      <c r="F40" s="283"/>
    </row>
  </sheetData>
  <mergeCells count="13">
    <mergeCell ref="E40:F40"/>
    <mergeCell ref="E39:F39"/>
    <mergeCell ref="E38:F38"/>
    <mergeCell ref="E37:F37"/>
    <mergeCell ref="E36:F36"/>
    <mergeCell ref="E35:F35"/>
    <mergeCell ref="C32:D32"/>
    <mergeCell ref="B3:G3"/>
    <mergeCell ref="G5:L5"/>
    <mergeCell ref="C28:G28"/>
    <mergeCell ref="C30:G30"/>
    <mergeCell ref="I19:I20"/>
    <mergeCell ref="I21:I22"/>
  </mergeCells>
  <conditionalFormatting sqref="I19:I22">
    <cfRule type="expression" dxfId="284" priority="1">
      <formula>$L22&lt;&gt;""</formula>
    </cfRule>
    <cfRule type="expression" dxfId="283" priority="2">
      <formula>AND($L22&lt;&gt;"",$L23="")</formula>
    </cfRule>
  </conditionalFormatting>
  <hyperlinks>
    <hyperlink ref="I21:I22" r:id="rId1" display="Vídeo YouTube" xr:uid="{5FEB9B78-4ABC-48C0-86BC-8904B10239E7}"/>
    <hyperlink ref="I21" r:id="rId2" display="Aprendiz de Excel" xr:uid="{E2FF13E1-DB0A-4F18-A717-045E5B2C7E77}"/>
    <hyperlink ref="I19" r:id="rId3" display="Aprendiz de Excel" xr:uid="{835A02A5-6C34-4A9E-B311-6E771823A244}"/>
    <hyperlink ref="C30" r:id="rId4" xr:uid="{686D47D0-F70A-4EB5-B577-CC8972AA12B7}"/>
  </hyperlinks>
  <pageMargins left="0.7" right="0.7" top="0.75" bottom="0.75" header="0.3" footer="0.3"/>
  <pageSetup paperSize="9" orientation="portrait" r:id="rId5"/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5AC4B-A93F-45F1-9870-9CA7DEC97402}">
  <dimension ref="A1:U13"/>
  <sheetViews>
    <sheetView showGridLines="0" zoomScaleNormal="100" workbookViewId="0">
      <selection activeCell="T16" sqref="T16"/>
    </sheetView>
  </sheetViews>
  <sheetFormatPr baseColWidth="10" defaultColWidth="14.42578125" defaultRowHeight="15" customHeight="1" x14ac:dyDescent="0.25"/>
  <cols>
    <col min="1" max="2" width="4.28515625" style="48" customWidth="1"/>
    <col min="3" max="3" width="3.7109375" customWidth="1"/>
    <col min="4" max="4" width="7.7109375" customWidth="1"/>
    <col min="5" max="5" width="6.7109375" customWidth="1"/>
    <col min="6" max="6" width="2.7109375" customWidth="1"/>
    <col min="7" max="7" width="3.7109375" customWidth="1"/>
    <col min="8" max="8" width="19.7109375" customWidth="1"/>
    <col min="9" max="9" width="5.7109375" customWidth="1"/>
    <col min="10" max="10" width="1.7109375" customWidth="1"/>
    <col min="11" max="11" width="6.7109375" customWidth="1"/>
    <col min="12" max="12" width="2.7109375" customWidth="1"/>
    <col min="13" max="13" width="6.7109375" customWidth="1"/>
    <col min="14" max="14" width="1.7109375" customWidth="1"/>
    <col min="15" max="15" width="5.7109375" customWidth="1"/>
    <col min="16" max="16" width="19.7109375" customWidth="1"/>
    <col min="17" max="17" width="3.7109375" customWidth="1"/>
    <col min="18" max="18" width="2.7109375" customWidth="1"/>
    <col min="19" max="19" width="20.7109375" customWidth="1"/>
    <col min="20" max="20" width="0.85546875" customWidth="1"/>
    <col min="21" max="21" width="19.5703125" customWidth="1"/>
    <col min="22" max="29" width="12.7109375" customWidth="1"/>
  </cols>
  <sheetData>
    <row r="1" spans="1:21" s="153" customFormat="1" ht="27.75" customHeight="1" x14ac:dyDescent="0.25">
      <c r="A1" s="210" t="s">
        <v>314</v>
      </c>
      <c r="B1" s="211"/>
      <c r="C1" s="211"/>
      <c r="D1" s="211"/>
      <c r="E1" s="211"/>
      <c r="F1" s="211"/>
      <c r="G1" s="211"/>
      <c r="H1" s="211"/>
      <c r="I1" s="211"/>
      <c r="J1" s="211"/>
      <c r="K1" s="211"/>
      <c r="L1" s="211"/>
      <c r="M1" s="211"/>
      <c r="N1" s="211"/>
      <c r="O1" s="211"/>
      <c r="P1" s="211"/>
      <c r="Q1" s="211"/>
      <c r="R1" s="211"/>
      <c r="S1" s="211"/>
    </row>
    <row r="8" spans="1:21" ht="18" customHeight="1" x14ac:dyDescent="0.25">
      <c r="C8" s="168" t="s">
        <v>33</v>
      </c>
      <c r="D8" s="169" t="s">
        <v>34</v>
      </c>
      <c r="E8" s="169" t="s">
        <v>35</v>
      </c>
      <c r="F8" s="170"/>
      <c r="G8" s="170"/>
      <c r="H8" s="300" t="s">
        <v>60</v>
      </c>
      <c r="I8" s="300"/>
      <c r="J8" s="300"/>
      <c r="K8" s="300"/>
      <c r="L8" s="300"/>
      <c r="M8" s="300"/>
      <c r="N8" s="300"/>
      <c r="O8" s="300"/>
      <c r="P8" s="300"/>
      <c r="Q8" s="171"/>
      <c r="R8" s="171"/>
      <c r="S8" s="172" t="s">
        <v>37</v>
      </c>
      <c r="U8" s="173" t="s">
        <v>48</v>
      </c>
    </row>
    <row r="9" spans="1:21" ht="15" customHeight="1" thickBot="1" x14ac:dyDescent="0.3">
      <c r="C9" s="5"/>
      <c r="D9" s="42"/>
      <c r="E9" s="43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5"/>
    </row>
    <row r="10" spans="1:21" ht="22.15" customHeight="1" thickBot="1" x14ac:dyDescent="0.3">
      <c r="A10" s="48" t="s">
        <v>49</v>
      </c>
      <c r="B10" s="49" t="s">
        <v>9</v>
      </c>
      <c r="C10" s="178">
        <v>0</v>
      </c>
      <c r="D10" s="179">
        <f>VLOOKUP(C10,Aux!M:AH,4,0)</f>
        <v>45809.1875</v>
      </c>
      <c r="E10" s="180">
        <f>VLOOKUP(C10,Aux!M:AH,4,0)</f>
        <v>45809.1875</v>
      </c>
      <c r="F10" s="181"/>
      <c r="G10" s="181" t="e" vm="1">
        <f>IFERROR(VLOOKUP(H10,Aux!$A:$X,8,0),"")</f>
        <v>#VALUE!</v>
      </c>
      <c r="H10" s="182" t="s">
        <v>263</v>
      </c>
      <c r="I10" s="183" t="e" vm="2">
        <f>IFERROR(VLOOKUP(H10,Aux!$A:$C,3,0),"")</f>
        <v>#VALUE!</v>
      </c>
      <c r="J10" s="184"/>
      <c r="K10" s="203">
        <v>2</v>
      </c>
      <c r="L10" s="184" t="s">
        <v>40</v>
      </c>
      <c r="M10" s="203">
        <v>1</v>
      </c>
      <c r="N10" s="185"/>
      <c r="O10" s="184" t="e" vm="3">
        <f>IFERROR(VLOOKUP(P10,Aux!$A:$C,3,0),"")</f>
        <v>#VALUE!</v>
      </c>
      <c r="P10" s="186" t="s">
        <v>216</v>
      </c>
      <c r="Q10" s="181" t="e" vm="4">
        <f>IFERROR(VLOOKUP(P10,Aux!$A:$X,8,0),"")</f>
        <v>#VALUE!</v>
      </c>
      <c r="R10" s="186"/>
      <c r="S10" s="247" t="str">
        <f>+VLOOKUP(C10,Aux!M:AZ,7,0)</f>
        <v>BMO Stadium</v>
      </c>
      <c r="U10" s="206" t="str">
        <f>IF(OR(K10="",M10=""),"",IF(K10&gt;M10,H10,IF(K10&lt;M10,P10,IF(OR(K11="",M11=""),"",IF(K11=M11,"",IF(K11&gt;M11,H10,P10))))))</f>
        <v>Los Angeles</v>
      </c>
    </row>
    <row r="11" spans="1:21" ht="15" customHeight="1" x14ac:dyDescent="0.25">
      <c r="C11" s="178"/>
      <c r="D11" s="188"/>
      <c r="E11" s="189"/>
      <c r="F11" s="190"/>
      <c r="G11" s="190"/>
      <c r="H11" s="191" t="s">
        <v>50</v>
      </c>
      <c r="I11" s="191"/>
      <c r="J11" s="185"/>
      <c r="K11" s="192"/>
      <c r="L11" s="192" t="s">
        <v>40</v>
      </c>
      <c r="M11" s="192"/>
      <c r="N11" s="193"/>
      <c r="O11" s="192"/>
      <c r="P11" s="193"/>
      <c r="Q11" s="193"/>
      <c r="R11" s="193"/>
      <c r="S11" s="204"/>
      <c r="U11" s="207"/>
    </row>
    <row r="12" spans="1:21" ht="15" customHeight="1" x14ac:dyDescent="0.25">
      <c r="C12" s="198"/>
      <c r="D12" s="199"/>
      <c r="E12" s="200"/>
      <c r="F12" s="201"/>
      <c r="G12" s="201"/>
      <c r="H12" s="201"/>
      <c r="I12" s="201"/>
      <c r="J12" s="201"/>
      <c r="K12" s="202"/>
      <c r="L12" s="202"/>
      <c r="M12" s="202"/>
      <c r="N12" s="201"/>
      <c r="O12" s="202"/>
      <c r="P12" s="201"/>
      <c r="Q12" s="201"/>
      <c r="R12" s="201"/>
      <c r="S12" s="198"/>
    </row>
    <row r="13" spans="1:21" ht="15" customHeight="1" x14ac:dyDescent="0.25">
      <c r="S13" s="248"/>
    </row>
  </sheetData>
  <mergeCells count="1">
    <mergeCell ref="H8:P8"/>
  </mergeCells>
  <conditionalFormatting sqref="H11:I11">
    <cfRule type="expression" dxfId="282" priority="19">
      <formula>IF(OR($K10="",$K10&lt;&gt;$M10),1,0)</formula>
    </cfRule>
  </conditionalFormatting>
  <conditionalFormatting sqref="K10">
    <cfRule type="expression" dxfId="281" priority="15">
      <formula>#REF!="P"</formula>
    </cfRule>
    <cfRule type="expression" dxfId="280" priority="16">
      <formula>#REF!="E"</formula>
    </cfRule>
    <cfRule type="expression" dxfId="279" priority="17">
      <formula>#REF!="G"</formula>
    </cfRule>
  </conditionalFormatting>
  <conditionalFormatting sqref="K11">
    <cfRule type="expression" dxfId="278" priority="22">
      <formula>IF(AND($K10&lt;&gt;"",$K10=$M10),1,0)</formula>
    </cfRule>
  </conditionalFormatting>
  <conditionalFormatting sqref="K11:M11">
    <cfRule type="expression" dxfId="277" priority="20">
      <formula>IF(OR($K10="",$K10&lt;&gt;$M10),1,0)</formula>
    </cfRule>
  </conditionalFormatting>
  <conditionalFormatting sqref="M10">
    <cfRule type="expression" dxfId="276" priority="12">
      <formula>#REF!="P"</formula>
    </cfRule>
    <cfRule type="expression" dxfId="275" priority="13">
      <formula>#REF!="E"</formula>
    </cfRule>
    <cfRule type="expression" dxfId="274" priority="14">
      <formula>#REF!="G"</formula>
    </cfRule>
  </conditionalFormatting>
  <conditionalFormatting sqref="M11">
    <cfRule type="expression" dxfId="273" priority="21">
      <formula>IF(AND($K10&lt;&gt;"",$K10=$M10),1,0)</formula>
    </cfRule>
  </conditionalFormatting>
  <conditionalFormatting sqref="U10">
    <cfRule type="cellIs" dxfId="272" priority="2" operator="equal">
      <formula>"Suma los penales"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451F8-F8FD-4111-9811-F372BAF67787}">
  <dimension ref="A1:BD30"/>
  <sheetViews>
    <sheetView showGridLines="0" zoomScale="90" zoomScaleNormal="90" workbookViewId="0">
      <selection activeCell="J10" sqref="J10"/>
    </sheetView>
  </sheetViews>
  <sheetFormatPr baseColWidth="10" defaultColWidth="14.42578125" defaultRowHeight="15" customHeight="1" x14ac:dyDescent="0.25"/>
  <cols>
    <col min="1" max="1" width="3.5703125" style="28" customWidth="1"/>
    <col min="2" max="2" width="3.7109375" style="28" customWidth="1"/>
    <col min="3" max="3" width="7.7109375" style="28" customWidth="1"/>
    <col min="4" max="4" width="6.7109375" style="28" customWidth="1"/>
    <col min="5" max="5" width="2.7109375" style="28" customWidth="1"/>
    <col min="6" max="6" width="3.7109375" style="28" customWidth="1"/>
    <col min="7" max="7" width="19.7109375" style="28" customWidth="1"/>
    <col min="8" max="8" width="5.7109375" style="28" customWidth="1"/>
    <col min="9" max="9" width="2.7109375" style="28" customWidth="1"/>
    <col min="10" max="10" width="6.7109375" style="28" customWidth="1"/>
    <col min="11" max="11" width="2.7109375" style="28" customWidth="1"/>
    <col min="12" max="12" width="6.7109375" style="28" customWidth="1"/>
    <col min="13" max="13" width="2.7109375" style="28" customWidth="1"/>
    <col min="14" max="14" width="5.7109375" style="28" customWidth="1"/>
    <col min="15" max="15" width="19.7109375" style="28" customWidth="1"/>
    <col min="16" max="16" width="3.7109375" style="28" customWidth="1"/>
    <col min="17" max="17" width="2.5703125" style="28" customWidth="1"/>
    <col min="18" max="18" width="15.5703125" style="28" customWidth="1"/>
    <col min="19" max="19" width="2.7109375" style="28" customWidth="1"/>
    <col min="20" max="20" width="19.7109375" style="28" customWidth="1"/>
    <col min="21" max="21" width="5.7109375" style="28" customWidth="1"/>
    <col min="22" max="22" width="1.7109375" style="28" customWidth="1"/>
    <col min="23" max="29" width="4" style="28" customWidth="1"/>
    <col min="30" max="30" width="6" style="30" customWidth="1"/>
    <col min="31" max="32" width="5" style="29" customWidth="1"/>
    <col min="33" max="33" width="5" style="31" customWidth="1"/>
    <col min="34" max="34" width="14.85546875" style="31" customWidth="1"/>
    <col min="35" max="41" width="5" style="31" customWidth="1"/>
    <col min="42" max="42" width="8.5703125" style="31" customWidth="1"/>
    <col min="43" max="47" width="5" style="31" customWidth="1"/>
    <col min="48" max="49" width="8.5703125" style="31" customWidth="1"/>
    <col min="50" max="50" width="5" style="31" customWidth="1"/>
    <col min="52" max="52" width="7.7109375" style="31" customWidth="1"/>
    <col min="53" max="53" width="14.42578125" style="31"/>
    <col min="54" max="54" width="15" style="28" customWidth="1"/>
    <col min="55" max="16384" width="14.42578125" style="28"/>
  </cols>
  <sheetData>
    <row r="1" spans="1:56" s="153" customFormat="1" ht="27.75" customHeight="1" x14ac:dyDescent="0.25">
      <c r="A1" s="210" t="s">
        <v>314</v>
      </c>
      <c r="B1" s="211"/>
      <c r="C1" s="211"/>
      <c r="D1" s="211"/>
      <c r="E1" s="211"/>
      <c r="F1" s="211"/>
      <c r="G1" s="211"/>
      <c r="H1" s="211"/>
      <c r="I1" s="211"/>
      <c r="J1" s="211"/>
      <c r="K1" s="211"/>
      <c r="L1" s="211"/>
      <c r="M1" s="211"/>
      <c r="N1" s="211"/>
      <c r="O1" s="211"/>
      <c r="P1" s="211"/>
      <c r="Q1" s="211"/>
      <c r="R1" s="211"/>
      <c r="S1" s="211"/>
    </row>
    <row r="2" spans="1:56" s="33" customFormat="1" ht="18.75" x14ac:dyDescent="0.25">
      <c r="B2" s="127"/>
      <c r="C2"/>
      <c r="D2"/>
      <c r="E2"/>
      <c r="F2"/>
      <c r="G2"/>
      <c r="H2"/>
      <c r="I2"/>
      <c r="J2" s="159"/>
      <c r="K2" s="159"/>
      <c r="L2" s="159"/>
      <c r="M2" s="159"/>
      <c r="N2" s="159"/>
      <c r="O2" s="159"/>
      <c r="P2" s="159"/>
      <c r="Q2" s="159"/>
      <c r="R2" s="159"/>
      <c r="S2" s="159"/>
      <c r="T2" s="159"/>
      <c r="U2" s="159"/>
      <c r="V2" s="159"/>
      <c r="W2" s="303"/>
      <c r="X2" s="303"/>
      <c r="Y2" s="303"/>
      <c r="Z2" s="160"/>
      <c r="AA2" s="159"/>
      <c r="AB2" s="159"/>
      <c r="AC2" s="159"/>
      <c r="AD2" s="261"/>
      <c r="AE2" s="47"/>
      <c r="AF2" s="47"/>
      <c r="AG2" s="45"/>
      <c r="AH2" s="45"/>
      <c r="AI2" s="45"/>
      <c r="AJ2" s="45"/>
      <c r="AK2" s="45"/>
      <c r="AL2" s="45"/>
      <c r="AM2" s="45"/>
      <c r="AN2" s="45"/>
      <c r="AO2" s="45"/>
      <c r="AP2" s="45"/>
      <c r="AQ2" s="45"/>
      <c r="AR2" s="45"/>
      <c r="AS2" s="45"/>
      <c r="AT2" s="45"/>
      <c r="AU2" s="45"/>
      <c r="AV2" s="45"/>
      <c r="AW2" s="45"/>
      <c r="AX2" s="45"/>
      <c r="AY2" s="45"/>
      <c r="AZ2" s="45"/>
      <c r="BA2" s="45"/>
      <c r="BB2" s="127"/>
      <c r="BC2" s="127"/>
      <c r="BD2" s="127"/>
    </row>
    <row r="3" spans="1:56" s="33" customFormat="1" ht="35.25" customHeight="1" x14ac:dyDescent="0.25">
      <c r="B3" s="127"/>
      <c r="C3"/>
      <c r="D3"/>
      <c r="E3"/>
      <c r="F3"/>
      <c r="G3" s="161"/>
      <c r="H3" s="161"/>
      <c r="I3" s="161"/>
      <c r="J3"/>
      <c r="K3" s="162"/>
      <c r="L3" s="162"/>
      <c r="M3" s="162"/>
      <c r="N3" s="162"/>
      <c r="O3" s="162"/>
      <c r="P3" s="162"/>
      <c r="Q3" s="162"/>
      <c r="R3" s="162"/>
      <c r="S3" s="162"/>
      <c r="T3" s="159"/>
      <c r="U3" s="159"/>
      <c r="V3" s="159"/>
      <c r="W3" s="159"/>
      <c r="X3" s="159"/>
      <c r="Y3" s="159"/>
      <c r="Z3" s="159"/>
      <c r="AA3" s="159"/>
      <c r="AB3" s="159"/>
      <c r="AC3" s="159"/>
      <c r="AD3" s="261"/>
      <c r="AE3" s="39"/>
      <c r="AF3" s="39"/>
      <c r="AG3" s="46"/>
      <c r="AH3" s="45"/>
      <c r="AI3" s="45"/>
      <c r="AJ3" s="45"/>
      <c r="AK3" s="45"/>
      <c r="AL3" s="45"/>
      <c r="AM3" s="45"/>
      <c r="AN3" s="45"/>
      <c r="AO3" s="45"/>
      <c r="AP3" s="45"/>
      <c r="AQ3" s="45"/>
      <c r="AR3" s="45"/>
      <c r="AS3" s="45"/>
      <c r="AT3" s="45"/>
      <c r="AU3" s="45"/>
      <c r="AV3" s="45"/>
      <c r="AW3" s="45"/>
      <c r="AX3" s="45"/>
      <c r="AY3" s="45"/>
      <c r="AZ3" s="45"/>
      <c r="BA3" s="45"/>
      <c r="BB3" s="127"/>
      <c r="BC3" s="127"/>
      <c r="BD3" s="127"/>
    </row>
    <row r="4" spans="1:56" s="33" customFormat="1" x14ac:dyDescent="0.25">
      <c r="B4" s="127"/>
      <c r="C4"/>
      <c r="D4"/>
      <c r="E4"/>
      <c r="F4"/>
      <c r="G4"/>
      <c r="H4"/>
      <c r="I4"/>
      <c r="J4" s="159"/>
      <c r="K4" s="159"/>
      <c r="L4" s="159"/>
      <c r="M4" s="159"/>
      <c r="N4" s="159"/>
      <c r="O4" s="159"/>
      <c r="P4" s="159"/>
      <c r="Q4" s="159"/>
      <c r="R4" s="159"/>
      <c r="S4" s="159"/>
      <c r="T4" s="159"/>
      <c r="U4" s="159"/>
      <c r="V4" s="159"/>
      <c r="W4" s="159"/>
      <c r="X4" s="159"/>
      <c r="Y4" s="159"/>
      <c r="Z4" s="159"/>
      <c r="AA4" s="159"/>
      <c r="AB4" s="159"/>
      <c r="AC4" s="159"/>
      <c r="AD4" s="261"/>
      <c r="AE4" s="47"/>
      <c r="AF4" s="47"/>
      <c r="AG4" s="45"/>
      <c r="AH4" s="45"/>
      <c r="AI4" s="45"/>
      <c r="AJ4" s="45"/>
      <c r="AK4" s="45"/>
      <c r="AL4" s="45"/>
      <c r="AM4" s="45"/>
      <c r="AN4" s="45"/>
      <c r="AO4" s="45"/>
      <c r="AP4" s="45"/>
      <c r="AQ4" s="45"/>
      <c r="AR4" s="45"/>
      <c r="AS4" s="45"/>
      <c r="AT4" s="45"/>
      <c r="AU4" s="45"/>
      <c r="AV4" s="45"/>
      <c r="AW4" s="45"/>
      <c r="AX4" s="45"/>
      <c r="AY4" s="45"/>
      <c r="AZ4" s="45"/>
      <c r="BA4" s="45"/>
      <c r="BB4" s="127"/>
      <c r="BC4" s="127"/>
      <c r="BD4" s="127"/>
    </row>
    <row r="5" spans="1:56" s="33" customFormat="1" ht="15" customHeight="1" x14ac:dyDescent="0.25">
      <c r="B5" s="127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 s="47"/>
      <c r="AE5" s="47"/>
      <c r="AF5" s="47"/>
      <c r="AG5" s="45"/>
      <c r="AH5" s="45"/>
      <c r="AI5" s="45"/>
      <c r="AJ5" s="45"/>
      <c r="AK5" s="45"/>
      <c r="AL5" s="45"/>
      <c r="AM5" s="45"/>
      <c r="AN5" s="45"/>
      <c r="AO5" s="45"/>
      <c r="AP5" s="45"/>
      <c r="AQ5" s="45"/>
      <c r="AR5" s="45"/>
      <c r="AS5" s="45"/>
      <c r="AT5" s="45"/>
      <c r="AU5" s="45"/>
      <c r="AV5" s="45"/>
      <c r="AW5" s="45"/>
      <c r="AX5" s="45"/>
      <c r="AY5" s="264" t="s">
        <v>336</v>
      </c>
      <c r="AZ5" s="45"/>
      <c r="BA5" s="138">
        <f>VLOOKUP(BA8,$AH$10:$AW$16,15,0)</f>
        <v>0</v>
      </c>
      <c r="BB5" s="138">
        <f t="shared" ref="BB5:BD5" si="0">VLOOKUP(BB8,$AH$10:$AW$16,15,0)</f>
        <v>0</v>
      </c>
      <c r="BC5" s="138">
        <f t="shared" si="0"/>
        <v>0.10001</v>
      </c>
      <c r="BD5" s="138">
        <f t="shared" si="0"/>
        <v>0.10001</v>
      </c>
    </row>
    <row r="6" spans="1:56" s="30" customFormat="1" ht="15" customHeight="1" x14ac:dyDescent="0.25">
      <c r="B6" s="27"/>
      <c r="C6" s="32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/>
      <c r="T6" s="28"/>
      <c r="U6" s="28"/>
      <c r="V6" s="28"/>
      <c r="W6" s="28"/>
      <c r="X6" s="28"/>
      <c r="Y6" s="28"/>
      <c r="Z6" s="28"/>
      <c r="AA6" s="28"/>
      <c r="AB6" s="28"/>
      <c r="AC6" s="28"/>
      <c r="AD6" s="47"/>
      <c r="AE6" s="47"/>
      <c r="AF6" s="47"/>
      <c r="AG6" s="45"/>
      <c r="AH6" s="166" t="s">
        <v>12</v>
      </c>
      <c r="AI6" s="45"/>
      <c r="AJ6" s="45"/>
      <c r="AK6" s="45"/>
      <c r="AL6" s="45"/>
      <c r="AM6" s="45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64" t="s">
        <v>335</v>
      </c>
      <c r="AZ6" s="29"/>
      <c r="BA6" s="138">
        <f>VLOOKUP(BA8,$AH$10:$AW$16,14,0)</f>
        <v>0</v>
      </c>
      <c r="BB6" s="138">
        <f t="shared" ref="BB6:BD6" si="1">VLOOKUP(BB8,$AH$10:$AW$16,14,0)</f>
        <v>3</v>
      </c>
      <c r="BC6" s="138">
        <f t="shared" si="1"/>
        <v>7</v>
      </c>
      <c r="BD6" s="138">
        <f t="shared" si="1"/>
        <v>7</v>
      </c>
    </row>
    <row r="7" spans="1:56" s="30" customFormat="1" ht="22.15" customHeight="1" thickBot="1" x14ac:dyDescent="0.3">
      <c r="B7" s="107" t="s">
        <v>33</v>
      </c>
      <c r="C7" s="108" t="s">
        <v>34</v>
      </c>
      <c r="D7" s="108" t="s">
        <v>35</v>
      </c>
      <c r="E7" s="304" t="s">
        <v>36</v>
      </c>
      <c r="F7" s="305"/>
      <c r="G7" s="305"/>
      <c r="H7" s="305"/>
      <c r="I7" s="305"/>
      <c r="J7" s="305"/>
      <c r="K7" s="305"/>
      <c r="L7" s="305"/>
      <c r="M7" s="305"/>
      <c r="N7" s="305"/>
      <c r="O7" s="305"/>
      <c r="P7" s="305"/>
      <c r="Q7" s="306"/>
      <c r="R7" s="109" t="s">
        <v>37</v>
      </c>
      <c r="S7" s="34"/>
      <c r="T7" s="307" t="s">
        <v>38</v>
      </c>
      <c r="U7" s="305"/>
      <c r="V7" s="305"/>
      <c r="W7" s="308"/>
      <c r="X7" s="308"/>
      <c r="Y7" s="308"/>
      <c r="Z7" s="308"/>
      <c r="AA7" s="308"/>
      <c r="AB7" s="308"/>
      <c r="AC7" s="309"/>
      <c r="AD7" s="47"/>
      <c r="AE7" s="39"/>
      <c r="AF7" s="39"/>
      <c r="AG7" s="46"/>
      <c r="AH7" s="45"/>
      <c r="AI7" s="45"/>
      <c r="AJ7" s="45"/>
      <c r="AK7" s="45"/>
      <c r="AL7" s="45"/>
      <c r="AM7" s="45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138"/>
      <c r="BB7" s="138"/>
      <c r="BC7" s="138"/>
      <c r="BD7" s="138"/>
    </row>
    <row r="8" spans="1:56" s="30" customFormat="1" ht="15" customHeight="1" thickTop="1" x14ac:dyDescent="0.25"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35"/>
      <c r="U8" s="35"/>
      <c r="V8" s="35"/>
      <c r="W8" s="36" t="s">
        <v>41</v>
      </c>
      <c r="X8" s="37" t="s">
        <v>42</v>
      </c>
      <c r="Y8" s="37" t="s">
        <v>43</v>
      </c>
      <c r="Z8" s="37" t="s">
        <v>44</v>
      </c>
      <c r="AA8" s="38" t="s">
        <v>45</v>
      </c>
      <c r="AB8" s="38" t="s">
        <v>46</v>
      </c>
      <c r="AC8" s="38" t="s">
        <v>47</v>
      </c>
      <c r="AD8" s="47"/>
      <c r="AE8" s="39"/>
      <c r="AF8" s="39"/>
      <c r="AG8" s="46"/>
      <c r="AH8" s="174" t="s">
        <v>8</v>
      </c>
      <c r="AI8" s="175" t="s">
        <v>39</v>
      </c>
      <c r="AJ8" s="176" t="s">
        <v>41</v>
      </c>
      <c r="AK8" s="175" t="s">
        <v>42</v>
      </c>
      <c r="AL8" s="175" t="s">
        <v>43</v>
      </c>
      <c r="AM8" s="175" t="s">
        <v>44</v>
      </c>
      <c r="AN8" s="265" t="s">
        <v>45</v>
      </c>
      <c r="AO8" s="265" t="s">
        <v>46</v>
      </c>
      <c r="AP8" s="265" t="s">
        <v>333</v>
      </c>
      <c r="AQ8" s="265" t="s">
        <v>334</v>
      </c>
      <c r="AR8" s="265" t="s">
        <v>332</v>
      </c>
      <c r="AS8" s="265"/>
      <c r="AT8" s="265"/>
      <c r="AU8" s="29" t="s">
        <v>337</v>
      </c>
      <c r="AV8" s="29" t="s">
        <v>338</v>
      </c>
      <c r="AW8" s="29" t="s">
        <v>339</v>
      </c>
      <c r="AX8" s="29"/>
      <c r="AY8" s="29"/>
      <c r="AZ8" s="29"/>
      <c r="BA8" s="138" t="str">
        <f>AH10</f>
        <v>Al-Ahly</v>
      </c>
      <c r="BB8" s="140" t="str">
        <f>AH12</f>
        <v>Inter Miami</v>
      </c>
      <c r="BC8" s="140" t="str">
        <f>AH14</f>
        <v>Palmeiras</v>
      </c>
      <c r="BD8" s="140" t="str">
        <f>AH16</f>
        <v>Porto</v>
      </c>
    </row>
    <row r="9" spans="1:56" s="30" customFormat="1" ht="10.15" customHeight="1" x14ac:dyDescent="0.25">
      <c r="B9" s="163" t="str" cm="1">
        <f t="array" ref="B9:B21">_xlfn.REDUCE("",_xlfn.TAKE(_xlfn._xlws.FILTER(Aux!M:T,Aux!T:T=AH6),,1),_xlfn.LAMBDA(_xlpm.t,_xlpm.p,_xlfn.VSTACK(_xlpm.t,_xlpm.p,"")))</f>
        <v/>
      </c>
      <c r="C9" s="96"/>
      <c r="D9" s="97"/>
      <c r="E9" s="99"/>
      <c r="F9" s="99"/>
      <c r="G9" s="98"/>
      <c r="H9" s="98"/>
      <c r="I9" s="98"/>
      <c r="J9" s="99"/>
      <c r="K9" s="99"/>
      <c r="L9" s="99"/>
      <c r="M9" s="99"/>
      <c r="N9" s="99"/>
      <c r="O9" s="100"/>
      <c r="P9" s="100"/>
      <c r="Q9" s="100"/>
      <c r="R9" s="101"/>
      <c r="S9"/>
      <c r="T9" s="20"/>
      <c r="U9" s="88"/>
      <c r="V9" s="89"/>
      <c r="W9" s="21"/>
      <c r="X9" s="22"/>
      <c r="Y9" s="22"/>
      <c r="Z9" s="22"/>
      <c r="AA9" s="23"/>
      <c r="AB9" s="23"/>
      <c r="AC9" s="23"/>
      <c r="AD9" s="47"/>
      <c r="AE9" s="39"/>
      <c r="AF9" s="39"/>
      <c r="AG9" s="46"/>
      <c r="AH9" s="174"/>
      <c r="AI9" s="175"/>
      <c r="AJ9" s="176"/>
      <c r="AK9" s="175"/>
      <c r="AL9" s="175"/>
      <c r="AM9" s="175"/>
      <c r="AN9" s="139"/>
      <c r="AO9" s="139"/>
      <c r="AP9" s="29"/>
      <c r="AQ9" s="29"/>
      <c r="AR9" s="29"/>
      <c r="AS9" s="139"/>
      <c r="AT9" s="139"/>
      <c r="AU9" s="139"/>
      <c r="AV9" s="29"/>
      <c r="AW9" s="29"/>
      <c r="AX9" s="29"/>
      <c r="AY9" s="29"/>
      <c r="AZ9" s="29"/>
      <c r="BA9" s="138"/>
      <c r="BB9" s="140"/>
      <c r="BC9" s="140"/>
      <c r="BD9" s="140"/>
    </row>
    <row r="10" spans="1:56" s="30" customFormat="1" ht="22.15" customHeight="1" x14ac:dyDescent="0.25">
      <c r="B10" s="164">
        <v>1</v>
      </c>
      <c r="C10" s="7">
        <f>VLOOKUP(B10,Aux!M:AH,4,0)</f>
        <v>45823.083333333336</v>
      </c>
      <c r="D10" s="8">
        <f>VLOOKUP(B10,Aux!M:AH,4,0)</f>
        <v>45823.083333333336</v>
      </c>
      <c r="E10" s="102"/>
      <c r="F10" s="102" t="e" vm="5">
        <f>IFERROR(VLOOKUP(G10,Aux!$A:$X,8,0),"")</f>
        <v>#VALUE!</v>
      </c>
      <c r="G10" s="157" t="str">
        <f>VLOOKUP(B10,Aux!M:Y,5,0)</f>
        <v>Al-Ahly</v>
      </c>
      <c r="H10" s="154" t="e" vm="6">
        <f>IFERROR(VLOOKUP(G10,Aux!$A:$C,3,0),"")</f>
        <v>#VALUE!</v>
      </c>
      <c r="I10" s="154"/>
      <c r="J10" s="203">
        <v>0</v>
      </c>
      <c r="K10" s="145" t="s">
        <v>40</v>
      </c>
      <c r="L10" s="203">
        <v>2</v>
      </c>
      <c r="M10" s="16"/>
      <c r="N10" s="154" t="e" vm="7">
        <f>IFERROR(VLOOKUP(O10,Aux!$A:$C,3,0),"")</f>
        <v>#VALUE!</v>
      </c>
      <c r="O10" s="155" t="str">
        <f>VLOOKUP(B10,Aux!M:Y,6,0)</f>
        <v>Inter Miami</v>
      </c>
      <c r="P10" s="102" t="e" vm="1">
        <f>IFERROR(VLOOKUP(O10,Aux!$A:$X,8,0),"")</f>
        <v>#VALUE!</v>
      </c>
      <c r="Q10" s="16"/>
      <c r="R10" s="24" t="str">
        <f>VLOOKUP(B10,Aux!M:Y,7,0)</f>
        <v>Hard Rock Stadium</v>
      </c>
      <c r="S10"/>
      <c r="T10" s="240" t="str">
        <f>INDEX($AH$10:$AH$17,MATCH(1,$AY$10:$AY$16,0))</f>
        <v>Palmeiras</v>
      </c>
      <c r="U10" s="91" t="e" vm="8">
        <f>IFERROR(VLOOKUP(T10,Aux!A:C,3,0),"")</f>
        <v>#VALUE!</v>
      </c>
      <c r="V10" s="92"/>
      <c r="W10" s="93">
        <f>VLOOKUP($T10,$AH$10:$AO$16,3,0)</f>
        <v>7</v>
      </c>
      <c r="X10" s="94">
        <f>VLOOKUP($T10,$AH$10:$AO$16,4,0)</f>
        <v>2</v>
      </c>
      <c r="Y10" s="94">
        <f>VLOOKUP($T10,$AH$10:$AO$16,5,0)</f>
        <v>1</v>
      </c>
      <c r="Z10" s="94">
        <f>VLOOKUP($T10,$AH$10:$AO$16,6,0)</f>
        <v>0</v>
      </c>
      <c r="AA10" s="95">
        <f>VLOOKUP($T10,$AH$10:$AO$16,7,0)</f>
        <v>6</v>
      </c>
      <c r="AB10" s="95">
        <f>VLOOKUP($T10,$AH$10:$AO$16,8,0)</f>
        <v>3</v>
      </c>
      <c r="AC10" s="95">
        <f>AA10-AB10</f>
        <v>3</v>
      </c>
      <c r="AD10" s="47"/>
      <c r="AE10" s="47"/>
      <c r="AF10" s="47"/>
      <c r="AG10" s="45">
        <v>1</v>
      </c>
      <c r="AH10" s="177" t="str">
        <f>VLOOKUP($AH$6&amp;AG10,Aux!Z:AA,2,0)</f>
        <v>Al-Ahly</v>
      </c>
      <c r="AI10" s="45">
        <f>AK10+AL10+AM10</f>
        <v>3</v>
      </c>
      <c r="AJ10" s="45">
        <f>AK10*3+AL10</f>
        <v>0</v>
      </c>
      <c r="AK10" s="45" cm="1">
        <f t="array" ref="AK10">SUM(($G$10:$G$23=$AH10)*($J$10:$J$23&gt;$L$10:$L$23)+($O$10:$O$23=$AH10)*($J$10:$J$23&lt;$L$10:$L$23))</f>
        <v>0</v>
      </c>
      <c r="AL10" s="45" cm="1">
        <f t="array" ref="AL10">SUM(($G$10:$G$23=$AH10)*($J$10:$J$23=$L$10:$L$23)*($J$10:$J$23&lt;&gt;"")+($O$10:$O$23=$AH10)*($J$10:$J$23=$L$10:$L$23)*($J$10:$J$23&lt;&gt;""))</f>
        <v>0</v>
      </c>
      <c r="AM10" s="45" cm="1">
        <f t="array" ref="AM10">SUM(($G$10:$G$23=$AH10)*($J$10:$J$23&lt;$L$10:$L$23)+($O$10:$O$23=$AH10)*($J$10:$J$23&gt;$L$10:$L$23))</f>
        <v>3</v>
      </c>
      <c r="AN10" s="29" cm="1">
        <f t="array" ref="AN10">SUM(($G$10:$G$23=$AH10)*($J$10:$J$23)+($O$10:$O$23=$AH10)*($L$10:$L$23))</f>
        <v>0</v>
      </c>
      <c r="AO10" s="29" cm="1">
        <f t="array" ref="AO10">SUM(($G$10:$G$23=$AH10)*($L$10:$L$23)+($O$10:$O$23=$AH10)*($J$10:$J$23))</f>
        <v>6</v>
      </c>
      <c r="AP10" s="141">
        <f>AN10-AO10</f>
        <v>-6</v>
      </c>
      <c r="AQ10" s="138">
        <v>0</v>
      </c>
      <c r="AR10" s="141">
        <f>+AW10+AV10+AU10</f>
        <v>-1.9999999999999999E-6</v>
      </c>
      <c r="AS10" s="29"/>
      <c r="AT10" s="29"/>
      <c r="AU10" s="141">
        <f>+AJ10</f>
        <v>0</v>
      </c>
      <c r="AV10" s="141">
        <f>SUMIFS($BA10:$BD10,$BA$6:$BD$6,AJ10)/1000</f>
        <v>0</v>
      </c>
      <c r="AW10" s="141">
        <f>SUMIFS($BA10:$BD10,$BA$5:$BD$5,AV10)/1000000</f>
        <v>-1.9999999999999999E-6</v>
      </c>
      <c r="AX10" s="29">
        <f>_xlfn.RANK.EQ(AJ10,$AJ$10:$AJ$16)+_xlfn.RANK.EQ(AR10,$AR$10:$AR$16)/10+_xlfn.RANK.EQ(AP10,$AP$10:$AP$16)/1000+_xlfn.RANK.EQ(AN10,$AN$10:$AN$16)/100000+_xlfn.RANK.EQ(AQ10,$AQ$10:$AQ$16)/100000+ROW()/1000000</f>
        <v>4.4040599999999994</v>
      </c>
      <c r="AY10" s="29">
        <f>_xlfn.RANK.EQ(AX10,$AX$10:$AX$16,1)</f>
        <v>4</v>
      </c>
      <c r="AZ10" s="29"/>
      <c r="BA10" s="29" cm="1">
        <f t="array" ref="BA10">(SUM(($G$10:$G$23=$AH10)*($J$10:$J$23&gt;$L$10:$L$23)*($O$10:$O$23=BA$8)+($O$10:$O$23=$AH10)*($J$10:$J$23&lt;$L$10:$L$23)*($G$10:$G$23=BA$8)))*300+
(SUM(($G$10:$G$23=$AH10)*($J$10:$J$23=$L$10:$L$23)*($O$10:$O$23=BA$8)+($O$10:$O$23=$AH10)*($J$10:$J$23=$L$10:$L$23)*($G$10:$G$23=BA$8)))*100
+SUM(($G$10:$G$23=$AH10)*($J$10:$J$23)*($O$10:$O$23=BA$8)+($O$10:$O$23=$AH10)*($L$10:$L$23)*($G$10:$G$23=BA$8))
-SUM(($G$10:$G$23=$AH10)*($L$10:$L$23)*($O$10:$O$23=BA$8)+($O$10:$O$23=$AH10)*($J$10:$J$23)*($G$10:$G$23=BA$8))
+SUM(($G$10:$G$23=$AH10)*($J$10:$J$23)*($O$10:$O$23=BA$8)+($O$10:$O$23=$AH10)*($L$10:$L$23)*($G$10:$G$23=BA$8))/100</f>
        <v>0</v>
      </c>
      <c r="BB10" s="29" cm="1">
        <f t="array" ref="BB10">(SUM(($G$10:$G$23=$AH10)*($J$10:$J$23&gt;$L$10:$L$23)*($O$10:$O$23=BB$8)+($O$10:$O$23=$AH10)*($J$10:$J$23&lt;$L$10:$L$23)*($G$10:$G$23=BB$8)))*300+
(SUM(($G$10:$G$23=$AH10)*($J$10:$J$23=$L$10:$L$23)*($O$10:$O$23=BB$8)+($O$10:$O$23=$AH10)*($J$10:$J$23=$L$10:$L$23)*($G$10:$G$23=BB$8)))*100
+SUM(($G$10:$G$23=$AH10)*($J$10:$J$23)*($O$10:$O$23=BB$8)+($O$10:$O$23=$AH10)*($L$10:$L$23)*($G$10:$G$23=BB$8))
-SUM(($G$10:$G$23=$AH10)*($L$10:$L$23)*($O$10:$O$23=BB$8)+($O$10:$O$23=$AH10)*($J$10:$J$23)*($G$10:$G$23=BB$8))
+SUM(($G$10:$G$23=$AH10)*($J$10:$J$23)*($O$10:$O$23=BB$8)+($O$10:$O$23=$AH10)*($L$10:$L$23)*($G$10:$G$23=BB$8))/100</f>
        <v>-2</v>
      </c>
      <c r="BC10" s="29" cm="1">
        <f t="array" ref="BC10">(SUM(($G$10:$G$23=$AH10)*($J$10:$J$23&gt;$L$10:$L$23)*($O$10:$O$23=BC$8)+($O$10:$O$23=$AH10)*($J$10:$J$23&lt;$L$10:$L$23)*($G$10:$G$23=BC$8)))*300+
(SUM(($G$10:$G$23=$AH10)*($J$10:$J$23=$L$10:$L$23)*($O$10:$O$23=BC$8)+($O$10:$O$23=$AH10)*($J$10:$J$23=$L$10:$L$23)*($G$10:$G$23=BC$8)))*100
+SUM(($G$10:$G$23=$AH10)*($J$10:$J$23)*($O$10:$O$23=BC$8)+($O$10:$O$23=$AH10)*($L$10:$L$23)*($G$10:$G$23=BC$8))
-SUM(($G$10:$G$23=$AH10)*($L$10:$L$23)*($O$10:$O$23=BC$8)+($O$10:$O$23=$AH10)*($J$10:$J$23)*($G$10:$G$23=BC$8))
+SUM(($G$10:$G$23=$AH10)*($J$10:$J$23)*($O$10:$O$23=BC$8)+($O$10:$O$23=$AH10)*($L$10:$L$23)*($G$10:$G$23=BC$8))/100</f>
        <v>-2</v>
      </c>
      <c r="BD10" s="29" cm="1">
        <f t="array" ref="BD10">(SUM(($G$10:$G$23=$AH10)*($J$10:$J$23&gt;$L$10:$L$23)*($O$10:$O$23=BD$8)+($O$10:$O$23=$AH10)*($J$10:$J$23&lt;$L$10:$L$23)*($G$10:$G$23=BD$8)))*300+
(SUM(($G$10:$G$23=$AH10)*($J$10:$J$23=$L$10:$L$23)*($O$10:$O$23=BD$8)+($O$10:$O$23=$AH10)*($J$10:$J$23=$L$10:$L$23)*($G$10:$G$23=BD$8)))*100
+SUM(($G$10:$G$23=$AH10)*($J$10:$J$23)*($O$10:$O$23=BD$8)+($O$10:$O$23=$AH10)*($L$10:$L$23)*($G$10:$G$23=BD$8))
-SUM(($G$10:$G$23=$AH10)*($L$10:$L$23)*($O$10:$O$23=BD$8)+($O$10:$O$23=$AH10)*($J$10:$J$23)*($G$10:$G$23=BD$8))
+SUM(($G$10:$G$23=$AH10)*($J$10:$J$23)*($O$10:$O$23=BD$8)+($O$10:$O$23=$AH10)*($L$10:$L$23)*($G$10:$G$23=BD$8))/100</f>
        <v>-2</v>
      </c>
    </row>
    <row r="11" spans="1:56" s="30" customFormat="1" ht="10.15" customHeight="1" x14ac:dyDescent="0.25">
      <c r="B11" s="164" t="str">
        <v/>
      </c>
      <c r="C11" s="7"/>
      <c r="D11" s="8"/>
      <c r="E11" s="102"/>
      <c r="F11" s="102"/>
      <c r="G11" s="157"/>
      <c r="H11" s="9"/>
      <c r="I11" s="9"/>
      <c r="J11" s="154"/>
      <c r="K11" s="9"/>
      <c r="L11" s="154"/>
      <c r="M11" s="16"/>
      <c r="N11" s="154"/>
      <c r="O11" s="155"/>
      <c r="P11" s="16"/>
      <c r="Q11" s="16"/>
      <c r="R11" s="24"/>
      <c r="S11"/>
      <c r="T11" s="240"/>
      <c r="U11" s="91"/>
      <c r="V11" s="92"/>
      <c r="W11" s="93"/>
      <c r="X11" s="94"/>
      <c r="Y11" s="94"/>
      <c r="Z11" s="94"/>
      <c r="AA11" s="95"/>
      <c r="AB11" s="95"/>
      <c r="AC11" s="95"/>
      <c r="AD11" s="47"/>
      <c r="AE11" s="47"/>
      <c r="AF11" s="47"/>
      <c r="AG11" s="45"/>
      <c r="AH11" s="177"/>
      <c r="AI11" s="45"/>
      <c r="AJ11" s="45"/>
      <c r="AK11" s="45"/>
      <c r="AL11" s="45"/>
      <c r="AM11" s="45"/>
      <c r="AN11" s="29"/>
      <c r="AO11" s="29"/>
      <c r="AP11" s="141"/>
      <c r="AQ11" s="138"/>
      <c r="AR11" s="141"/>
      <c r="AS11" s="29"/>
      <c r="AT11" s="29"/>
      <c r="AU11" s="29"/>
      <c r="AV11" s="141"/>
      <c r="AW11" s="141"/>
      <c r="AX11" s="29"/>
      <c r="AY11" s="29"/>
      <c r="AZ11" s="29"/>
      <c r="BA11" s="29"/>
      <c r="BB11" s="29"/>
      <c r="BC11" s="29"/>
      <c r="BD11" s="29"/>
    </row>
    <row r="12" spans="1:56" s="30" customFormat="1" ht="22.15" customHeight="1" x14ac:dyDescent="0.25">
      <c r="B12" s="164">
        <v>4</v>
      </c>
      <c r="C12" s="7">
        <f>VLOOKUP(B12,Aux!M:AH,4,0)</f>
        <v>45824</v>
      </c>
      <c r="D12" s="8">
        <f>VLOOKUP(B12,Aux!M:AH,4,0)</f>
        <v>45824</v>
      </c>
      <c r="E12" s="102"/>
      <c r="F12" s="102" t="e" vm="9">
        <f>IFERROR(VLOOKUP(G12,Aux!$A:$X,8,0),"")</f>
        <v>#VALUE!</v>
      </c>
      <c r="G12" s="157" t="str">
        <f>VLOOKUP(B12,Aux!M:Y,5,0)</f>
        <v>Palmeiras</v>
      </c>
      <c r="H12" s="154" t="e" vm="8">
        <f>IFERROR(VLOOKUP(G12,Aux!$A:$C,3,0),"")</f>
        <v>#VALUE!</v>
      </c>
      <c r="I12" s="154"/>
      <c r="J12" s="203">
        <v>1</v>
      </c>
      <c r="K12" s="145" t="s">
        <v>40</v>
      </c>
      <c r="L12" s="203">
        <v>1</v>
      </c>
      <c r="M12" s="16"/>
      <c r="N12" s="154" t="e" vm="10">
        <f>IFERROR(VLOOKUP(O12,Aux!$A:$C,3,0),"")</f>
        <v>#VALUE!</v>
      </c>
      <c r="O12" s="155" t="str">
        <f>VLOOKUP(B12,Aux!M:Y,6,0)</f>
        <v>Porto</v>
      </c>
      <c r="P12" s="102" t="e" vm="11">
        <f>IFERROR(VLOOKUP(O12,Aux!$A:$X,8,0),"")</f>
        <v>#VALUE!</v>
      </c>
      <c r="Q12" s="16"/>
      <c r="R12" s="24" t="str">
        <f>VLOOKUP(B12,Aux!M:Y,7,0)</f>
        <v>MetLife Stadium</v>
      </c>
      <c r="S12"/>
      <c r="T12" s="240" t="str">
        <f>INDEX($AH$10:$AH$17,MATCH(2,$AY$10:$AY$16,0))</f>
        <v>Porto</v>
      </c>
      <c r="U12" s="91" t="e" vm="10">
        <f>IFERROR(VLOOKUP(T12,Aux!A:C,3,0),"")</f>
        <v>#VALUE!</v>
      </c>
      <c r="V12" s="92"/>
      <c r="W12" s="93">
        <f>VLOOKUP($T12,$AH$10:$AO$16,3,0)</f>
        <v>7</v>
      </c>
      <c r="X12" s="94">
        <f>VLOOKUP($T12,$AH$10:$AO$16,4,0)</f>
        <v>2</v>
      </c>
      <c r="Y12" s="94">
        <f>VLOOKUP($T12,$AH$10:$AO$16,5,0)</f>
        <v>1</v>
      </c>
      <c r="Z12" s="94">
        <f>VLOOKUP($T12,$AH$10:$AO$16,6,0)</f>
        <v>0</v>
      </c>
      <c r="AA12" s="95">
        <f>VLOOKUP($T12,$AH$10:$AO$16,7,0)</f>
        <v>5</v>
      </c>
      <c r="AB12" s="95">
        <f>VLOOKUP($T12,$AH$10:$AO$16,8,0)</f>
        <v>2</v>
      </c>
      <c r="AC12" s="95">
        <f>AA12-AB12</f>
        <v>3</v>
      </c>
      <c r="AD12" s="47"/>
      <c r="AE12" s="39"/>
      <c r="AF12" s="39"/>
      <c r="AG12" s="45">
        <v>2</v>
      </c>
      <c r="AH12" s="177" t="str">
        <f>VLOOKUP($AH$6&amp;AG12,Aux!Z:AA,2,0)</f>
        <v>Inter Miami</v>
      </c>
      <c r="AI12" s="45">
        <f>AK12+AL12+AM12</f>
        <v>3</v>
      </c>
      <c r="AJ12" s="45">
        <f>AK12*3+AL12</f>
        <v>3</v>
      </c>
      <c r="AK12" s="45" cm="1">
        <f t="array" ref="AK12">SUM(($G$10:$G$23=$AH12)*($J$10:$J$23&gt;$L$10:$L$23)+($O$10:$O$23=$AH12)*($J$10:$J$23&lt;$L$10:$L$23))</f>
        <v>1</v>
      </c>
      <c r="AL12" s="45" cm="1">
        <f t="array" ref="AL12">SUM(($G$10:$G$23=$AH12)*($J$10:$J$23=$L$10:$L$23)*($J$10:$J$23&lt;&gt;"")+($O$10:$O$23=$AH12)*($J$10:$J$23=$L$10:$L$23)*($J$10:$J$23&lt;&gt;""))</f>
        <v>0</v>
      </c>
      <c r="AM12" s="45" cm="1">
        <f t="array" ref="AM12">SUM(($G$10:$G$23=$AH12)*($J$10:$J$23&lt;$L$10:$L$23)+($O$10:$O$23=$AH12)*($J$10:$J$23&gt;$L$10:$L$23))</f>
        <v>2</v>
      </c>
      <c r="AN12" s="29" cm="1">
        <f t="array" ref="AN12">SUM(($G$10:$G$23=$AH12)*($J$10:$J$23)+($O$10:$O$23=$AH12)*($L$10:$L$23))</f>
        <v>5</v>
      </c>
      <c r="AO12" s="29" cm="1">
        <f t="array" ref="AO12">SUM(($G$10:$G$23=$AH12)*($L$10:$L$23)+($O$10:$O$23=$AH12)*($J$10:$J$23))</f>
        <v>5</v>
      </c>
      <c r="AP12" s="141">
        <f>AN12-AO12</f>
        <v>0</v>
      </c>
      <c r="AQ12" s="138">
        <v>0</v>
      </c>
      <c r="AR12" s="141">
        <f>+AW12+AV12+AU12</f>
        <v>3.0003020199999999</v>
      </c>
      <c r="AS12" s="29"/>
      <c r="AT12" s="29"/>
      <c r="AU12" s="141">
        <f>+AJ12</f>
        <v>3</v>
      </c>
      <c r="AV12" s="141">
        <f>SUMIFS($BA12:$BD12,$BA$6:$BD$6,AJ12)/1000</f>
        <v>0</v>
      </c>
      <c r="AW12" s="141">
        <f>SUMIFS($BA12:$BD12,$BA$5:$BD$5,AV12)/1000000</f>
        <v>3.0201999999999996E-4</v>
      </c>
      <c r="AX12" s="29">
        <f>_xlfn.RANK.EQ(AJ12,$AJ$10:$AJ$16)+_xlfn.RANK.EQ(AR12,$AR$10:$AR$16)/10+_xlfn.RANK.EQ(AP12,$AP$10:$AP$16)/1000+_xlfn.RANK.EQ(AN12,$AN$10:$AN$16)/100000+_xlfn.RANK.EQ(AQ12,$AQ$10:$AQ$16)/100000+ROW()/1000000</f>
        <v>3.303042</v>
      </c>
      <c r="AY12" s="29">
        <f>_xlfn.RANK.EQ(AX12,$AX$10:$AX$16,1)</f>
        <v>3</v>
      </c>
      <c r="AZ12" s="29"/>
      <c r="BA12" s="29" cm="1">
        <f t="array" ref="BA12">(SUM(($G$10:$G$23=$AH12)*($J$10:$J$23&gt;$L$10:$L$23)*($O$10:$O$23=BA$8)+($O$10:$O$23=$AH12)*($J$10:$J$23&lt;$L$10:$L$23)*($G$10:$G$23=BA$8)))*300+
(SUM(($G$10:$G$23=$AH12)*($J$10:$J$23=$L$10:$L$23)*($O$10:$O$23=BA$8)+($O$10:$O$23=$AH12)*($J$10:$J$23=$L$10:$L$23)*($G$10:$G$23=BA$8)))*100
+SUM(($G$10:$G$23=$AH12)*($J$10:$J$23)*($O$10:$O$23=BA$8)+($O$10:$O$23=$AH12)*($L$10:$L$23)*($G$10:$G$23=BA$8))
-SUM(($G$10:$G$23=$AH12)*($L$10:$L$23)*($O$10:$O$23=BA$8)+($O$10:$O$23=$AH12)*($J$10:$J$23)*($G$10:$G$23=BA$8))
+SUM(($G$10:$G$23=$AH12)*($J$10:$J$23)*($O$10:$O$23=BA$8)+($O$10:$O$23=$AH12)*($L$10:$L$23)*($G$10:$G$23=BA$8))/100</f>
        <v>302.02</v>
      </c>
      <c r="BB12" s="29" cm="1">
        <f t="array" ref="BB12">(SUM(($G$10:$G$23=$AH12)*($J$10:$J$23&gt;$L$10:$L$23)*($O$10:$O$23=BB$8)+($O$10:$O$23=$AH12)*($J$10:$J$23&lt;$L$10:$L$23)*($G$10:$G$23=BB$8)))*300+
(SUM(($G$10:$G$23=$AH12)*($J$10:$J$23=$L$10:$L$23)*($O$10:$O$23=BB$8)+($O$10:$O$23=$AH12)*($J$10:$J$23=$L$10:$L$23)*($G$10:$G$23=BB$8)))*100
+SUM(($G$10:$G$23=$AH12)*($J$10:$J$23)*($O$10:$O$23=BB$8)+($O$10:$O$23=$AH12)*($L$10:$L$23)*($G$10:$G$23=BB$8))
-SUM(($G$10:$G$23=$AH12)*($L$10:$L$23)*($O$10:$O$23=BB$8)+($O$10:$O$23=$AH12)*($J$10:$J$23)*($G$10:$G$23=BB$8))
+SUM(($G$10:$G$23=$AH12)*($J$10:$J$23)*($O$10:$O$23=BB$8)+($O$10:$O$23=$AH12)*($L$10:$L$23)*($G$10:$G$23=BB$8))/100</f>
        <v>0</v>
      </c>
      <c r="BC12" s="29" cm="1">
        <f t="array" ref="BC12">(SUM(($G$10:$G$23=$AH12)*($J$10:$J$23&gt;$L$10:$L$23)*($O$10:$O$23=BC$8)+($O$10:$O$23=$AH12)*($J$10:$J$23&lt;$L$10:$L$23)*($G$10:$G$23=BC$8)))*300+
(SUM(($G$10:$G$23=$AH12)*($J$10:$J$23=$L$10:$L$23)*($O$10:$O$23=BC$8)+($O$10:$O$23=$AH12)*($J$10:$J$23=$L$10:$L$23)*($G$10:$G$23=BC$8)))*100
+SUM(($G$10:$G$23=$AH12)*($J$10:$J$23)*($O$10:$O$23=BC$8)+($O$10:$O$23=$AH12)*($L$10:$L$23)*($G$10:$G$23=BC$8))
-SUM(($G$10:$G$23=$AH12)*($L$10:$L$23)*($O$10:$O$23=BC$8)+($O$10:$O$23=$AH12)*($J$10:$J$23)*($G$10:$G$23=BC$8))
+SUM(($G$10:$G$23=$AH12)*($J$10:$J$23)*($O$10:$O$23=BC$8)+($O$10:$O$23=$AH12)*($L$10:$L$23)*($G$10:$G$23=BC$8))/100</f>
        <v>-0.98</v>
      </c>
      <c r="BD12" s="29" cm="1">
        <f t="array" ref="BD12">(SUM(($G$10:$G$23=$AH12)*($J$10:$J$23&gt;$L$10:$L$23)*($O$10:$O$23=BD$8)+($O$10:$O$23=$AH12)*($J$10:$J$23&lt;$L$10:$L$23)*($G$10:$G$23=BD$8)))*300+
(SUM(($G$10:$G$23=$AH12)*($J$10:$J$23=$L$10:$L$23)*($O$10:$O$23=BD$8)+($O$10:$O$23=$AH12)*($J$10:$J$23=$L$10:$L$23)*($G$10:$G$23=BD$8)))*100
+SUM(($G$10:$G$23=$AH12)*($J$10:$J$23)*($O$10:$O$23=BD$8)+($O$10:$O$23=$AH12)*($L$10:$L$23)*($G$10:$G$23=BD$8))
-SUM(($G$10:$G$23=$AH12)*($L$10:$L$23)*($O$10:$O$23=BD$8)+($O$10:$O$23=$AH12)*($J$10:$J$23)*($G$10:$G$23=BD$8))
+SUM(($G$10:$G$23=$AH12)*($J$10:$J$23)*($O$10:$O$23=BD$8)+($O$10:$O$23=$AH12)*($L$10:$L$23)*($G$10:$G$23=BD$8))/100</f>
        <v>-0.99</v>
      </c>
    </row>
    <row r="13" spans="1:56" s="30" customFormat="1" ht="10.15" customHeight="1" x14ac:dyDescent="0.25">
      <c r="B13" s="164" t="str">
        <v/>
      </c>
      <c r="C13" s="10"/>
      <c r="D13" s="11"/>
      <c r="E13" s="103"/>
      <c r="F13" s="103"/>
      <c r="G13" s="158"/>
      <c r="H13" s="12"/>
      <c r="I13" s="12"/>
      <c r="J13" s="145"/>
      <c r="K13" s="145"/>
      <c r="L13" s="145"/>
      <c r="M13" s="16"/>
      <c r="N13" s="154"/>
      <c r="O13" s="156"/>
      <c r="P13" s="17"/>
      <c r="Q13" s="17"/>
      <c r="R13" s="25"/>
      <c r="S13"/>
      <c r="T13" s="240"/>
      <c r="U13" s="91"/>
      <c r="V13" s="92"/>
      <c r="W13" s="93"/>
      <c r="X13" s="94"/>
      <c r="Y13" s="94"/>
      <c r="Z13" s="94"/>
      <c r="AA13" s="95"/>
      <c r="AB13" s="95"/>
      <c r="AC13" s="95"/>
      <c r="AD13" s="47"/>
      <c r="AE13" s="39"/>
      <c r="AF13" s="39"/>
      <c r="AG13" s="45"/>
      <c r="AH13" s="177"/>
      <c r="AI13" s="45"/>
      <c r="AJ13" s="45"/>
      <c r="AK13" s="45"/>
      <c r="AL13" s="45"/>
      <c r="AM13" s="45"/>
      <c r="AN13" s="29"/>
      <c r="AO13" s="29"/>
      <c r="AP13" s="141"/>
      <c r="AQ13" s="138"/>
      <c r="AR13" s="141"/>
      <c r="AS13" s="29"/>
      <c r="AT13" s="29"/>
      <c r="AU13" s="29"/>
      <c r="AV13" s="141"/>
      <c r="AW13" s="141"/>
      <c r="AX13" s="29"/>
      <c r="AY13" s="29"/>
      <c r="AZ13" s="29"/>
      <c r="BA13" s="29"/>
      <c r="BB13" s="29"/>
      <c r="BC13" s="29"/>
      <c r="BD13" s="29"/>
    </row>
    <row r="14" spans="1:56" s="30" customFormat="1" ht="22.15" customHeight="1" x14ac:dyDescent="0.25">
      <c r="B14" s="164">
        <v>17</v>
      </c>
      <c r="C14" s="7">
        <f>VLOOKUP(B14,Aux!M:AH,4,0)</f>
        <v>45827.75</v>
      </c>
      <c r="D14" s="8">
        <f>VLOOKUP(B14,Aux!M:AH,4,0)</f>
        <v>45827.75</v>
      </c>
      <c r="E14" s="102"/>
      <c r="F14" s="102" t="e" vm="9">
        <f>IFERROR(VLOOKUP(G14,Aux!$A:$X,8,0),"")</f>
        <v>#VALUE!</v>
      </c>
      <c r="G14" s="157" t="str">
        <f>VLOOKUP(B14,Aux!M:Y,5,0)</f>
        <v>Palmeiras</v>
      </c>
      <c r="H14" s="154" t="e" vm="8">
        <f>IFERROR(VLOOKUP(G14,Aux!$A:$C,3,0),"")</f>
        <v>#VALUE!</v>
      </c>
      <c r="I14" s="154"/>
      <c r="J14" s="203">
        <v>2</v>
      </c>
      <c r="K14" s="145" t="s">
        <v>40</v>
      </c>
      <c r="L14" s="203">
        <v>0</v>
      </c>
      <c r="M14" s="16"/>
      <c r="N14" s="154" t="e" vm="6">
        <f>IFERROR(VLOOKUP(O14,Aux!$A:$C,3,0),"")</f>
        <v>#VALUE!</v>
      </c>
      <c r="O14" s="155" t="str">
        <f>VLOOKUP(B14,Aux!M:Y,6,0)</f>
        <v>Al-Ahly</v>
      </c>
      <c r="P14" s="102" t="e" vm="5">
        <f>IFERROR(VLOOKUP(O14,Aux!$A:$X,8,0),"")</f>
        <v>#VALUE!</v>
      </c>
      <c r="Q14" s="16"/>
      <c r="R14" s="24" t="str">
        <f>VLOOKUP(B14,Aux!M:Y,7,0)</f>
        <v>MetLife Stadium</v>
      </c>
      <c r="S14"/>
      <c r="T14" s="240" t="str">
        <f>INDEX($AH$10:$AH$17,MATCH(3,$AY$10:$AY$16,0))</f>
        <v>Inter Miami</v>
      </c>
      <c r="U14" s="91" t="e" vm="7">
        <f>IFERROR(VLOOKUP(T14,Aux!A:C,3,0),"")</f>
        <v>#VALUE!</v>
      </c>
      <c r="V14" s="92"/>
      <c r="W14" s="93">
        <f>VLOOKUP($T14,$AH$10:$AO$16,3,0)</f>
        <v>3</v>
      </c>
      <c r="X14" s="94">
        <f>VLOOKUP($T14,$AH$10:$AO$16,4,0)</f>
        <v>1</v>
      </c>
      <c r="Y14" s="94">
        <f>VLOOKUP($T14,$AH$10:$AO$16,5,0)</f>
        <v>0</v>
      </c>
      <c r="Z14" s="94">
        <f>VLOOKUP($T14,$AH$10:$AO$16,6,0)</f>
        <v>2</v>
      </c>
      <c r="AA14" s="95">
        <f>VLOOKUP($T14,$AH$10:$AO$16,7,0)</f>
        <v>5</v>
      </c>
      <c r="AB14" s="95">
        <f>VLOOKUP($T14,$AH$10:$AO$16,8,0)</f>
        <v>5</v>
      </c>
      <c r="AC14" s="95">
        <f>AA14-AB14</f>
        <v>0</v>
      </c>
      <c r="AD14" s="47"/>
      <c r="AE14" s="47"/>
      <c r="AF14" s="47"/>
      <c r="AG14" s="45">
        <v>3</v>
      </c>
      <c r="AH14" s="177" t="str">
        <f>VLOOKUP($AH$6&amp;AG14,Aux!Z:AA,2,0)</f>
        <v>Palmeiras</v>
      </c>
      <c r="AI14" s="45">
        <f>AK14+AL14+AM14</f>
        <v>3</v>
      </c>
      <c r="AJ14" s="45">
        <f>AK14*3+AL14</f>
        <v>7</v>
      </c>
      <c r="AK14" s="45" cm="1">
        <f t="array" ref="AK14">SUM(($G$10:$G$23=$AH14)*($J$10:$J$23&gt;$L$10:$L$23)+($O$10:$O$23=$AH14)*($J$10:$J$23&lt;$L$10:$L$23))</f>
        <v>2</v>
      </c>
      <c r="AL14" s="45" cm="1">
        <f t="array" ref="AL14">SUM(($G$10:$G$23=$AH14)*($J$10:$J$23=$L$10:$L$23)*($J$10:$J$23&lt;&gt;"")+($O$10:$O$23=$AH14)*($J$10:$J$23=$L$10:$L$23)*($J$10:$J$23&lt;&gt;""))</f>
        <v>1</v>
      </c>
      <c r="AM14" s="45" cm="1">
        <f t="array" ref="AM14">SUM(($G$10:$G$23=$AH14)*($J$10:$J$23&lt;$L$10:$L$23)+($O$10:$O$23=$AH14)*($J$10:$J$23&gt;$L$10:$L$23))</f>
        <v>0</v>
      </c>
      <c r="AN14" s="29" cm="1">
        <f t="array" ref="AN14">SUM(($G$10:$G$23=$AH14)*($J$10:$J$23)+($O$10:$O$23=$AH14)*($L$10:$L$23))</f>
        <v>6</v>
      </c>
      <c r="AO14" s="29" cm="1">
        <f t="array" ref="AO14">SUM(($G$10:$G$23=$AH14)*($L$10:$L$23)+($O$10:$O$23=$AH14)*($J$10:$J$23))</f>
        <v>3</v>
      </c>
      <c r="AP14" s="141">
        <f>AN14-AO14</f>
        <v>3</v>
      </c>
      <c r="AQ14" s="138">
        <v>0</v>
      </c>
      <c r="AR14" s="141">
        <f>+AW14+AV14+AU14</f>
        <v>7.1001100099999999</v>
      </c>
      <c r="AS14" s="29"/>
      <c r="AT14" s="29"/>
      <c r="AU14" s="141">
        <f>+AJ14</f>
        <v>7</v>
      </c>
      <c r="AV14" s="141">
        <f>SUMIFS($BA14:$BD14,$BA$6:$BD$6,AJ14)/1000</f>
        <v>0.10001</v>
      </c>
      <c r="AW14" s="141">
        <f>SUMIFS($BA14:$BD14,$BA$5:$BD$5,AV14)/1000000</f>
        <v>1.0001E-4</v>
      </c>
      <c r="AX14" s="29">
        <f>_xlfn.RANK.EQ(AJ14,$AJ$10:$AJ$16)+_xlfn.RANK.EQ(AR14,$AR$10:$AR$16)/10+_xlfn.RANK.EQ(AP14,$AP$10:$AP$16)/1000+_xlfn.RANK.EQ(AN14,$AN$10:$AN$16)/100000+_xlfn.RANK.EQ(AQ14,$AQ$10:$AQ$16)/100000+ROW()/1000000</f>
        <v>1.1010340000000001</v>
      </c>
      <c r="AY14" s="29">
        <f>_xlfn.RANK.EQ(AX14,$AX$10:$AX$16,1)</f>
        <v>1</v>
      </c>
      <c r="AZ14" s="29"/>
      <c r="BA14" s="29" cm="1">
        <f t="array" ref="BA14">(SUM(($G$10:$G$23=$AH14)*($J$10:$J$23&gt;$L$10:$L$23)*($O$10:$O$23=BA$8)+($O$10:$O$23=$AH14)*($J$10:$J$23&lt;$L$10:$L$23)*($G$10:$G$23=BA$8)))*300+
(SUM(($G$10:$G$23=$AH14)*($J$10:$J$23=$L$10:$L$23)*($O$10:$O$23=BA$8)+($O$10:$O$23=$AH14)*($J$10:$J$23=$L$10:$L$23)*($G$10:$G$23=BA$8)))*100
+SUM(($G$10:$G$23=$AH14)*($J$10:$J$23)*($O$10:$O$23=BA$8)+($O$10:$O$23=$AH14)*($L$10:$L$23)*($G$10:$G$23=BA$8))
-SUM(($G$10:$G$23=$AH14)*($L$10:$L$23)*($O$10:$O$23=BA$8)+($O$10:$O$23=$AH14)*($J$10:$J$23)*($G$10:$G$23=BA$8))
+SUM(($G$10:$G$23=$AH14)*($J$10:$J$23)*($O$10:$O$23=BA$8)+($O$10:$O$23=$AH14)*($L$10:$L$23)*($G$10:$G$23=BA$8))/100</f>
        <v>302.02</v>
      </c>
      <c r="BB14" s="29" cm="1">
        <f t="array" ref="BB14">(SUM(($G$10:$G$23=$AH14)*($J$10:$J$23&gt;$L$10:$L$23)*($O$10:$O$23=BB$8)+($O$10:$O$23=$AH14)*($J$10:$J$23&lt;$L$10:$L$23)*($G$10:$G$23=BB$8)))*300+
(SUM(($G$10:$G$23=$AH14)*($J$10:$J$23=$L$10:$L$23)*($O$10:$O$23=BB$8)+($O$10:$O$23=$AH14)*($J$10:$J$23=$L$10:$L$23)*($G$10:$G$23=BB$8)))*100
+SUM(($G$10:$G$23=$AH14)*($J$10:$J$23)*($O$10:$O$23=BB$8)+($O$10:$O$23=$AH14)*($L$10:$L$23)*($G$10:$G$23=BB$8))
-SUM(($G$10:$G$23=$AH14)*($L$10:$L$23)*($O$10:$O$23=BB$8)+($O$10:$O$23=$AH14)*($J$10:$J$23)*($G$10:$G$23=BB$8))
+SUM(($G$10:$G$23=$AH14)*($J$10:$J$23)*($O$10:$O$23=BB$8)+($O$10:$O$23=$AH14)*($L$10:$L$23)*($G$10:$G$23=BB$8))/100</f>
        <v>301.02999999999997</v>
      </c>
      <c r="BC14" s="29" cm="1">
        <f t="array" ref="BC14">(SUM(($G$10:$G$23=$AH14)*($J$10:$J$23&gt;$L$10:$L$23)*($O$10:$O$23=BC$8)+($O$10:$O$23=$AH14)*($J$10:$J$23&lt;$L$10:$L$23)*($G$10:$G$23=BC$8)))*300+
(SUM(($G$10:$G$23=$AH14)*($J$10:$J$23=$L$10:$L$23)*($O$10:$O$23=BC$8)+($O$10:$O$23=$AH14)*($J$10:$J$23=$L$10:$L$23)*($G$10:$G$23=BC$8)))*100
+SUM(($G$10:$G$23=$AH14)*($J$10:$J$23)*($O$10:$O$23=BC$8)+($O$10:$O$23=$AH14)*($L$10:$L$23)*($G$10:$G$23=BC$8))
-SUM(($G$10:$G$23=$AH14)*($L$10:$L$23)*($O$10:$O$23=BC$8)+($O$10:$O$23=$AH14)*($J$10:$J$23)*($G$10:$G$23=BC$8))
+SUM(($G$10:$G$23=$AH14)*($J$10:$J$23)*($O$10:$O$23=BC$8)+($O$10:$O$23=$AH14)*($L$10:$L$23)*($G$10:$G$23=BC$8))/100</f>
        <v>0</v>
      </c>
      <c r="BD14" s="29" cm="1">
        <f t="array" ref="BD14">(SUM(($G$10:$G$23=$AH14)*($J$10:$J$23&gt;$L$10:$L$23)*($O$10:$O$23=BD$8)+($O$10:$O$23=$AH14)*($J$10:$J$23&lt;$L$10:$L$23)*($G$10:$G$23=BD$8)))*300+
(SUM(($G$10:$G$23=$AH14)*($J$10:$J$23=$L$10:$L$23)*($O$10:$O$23=BD$8)+($O$10:$O$23=$AH14)*($J$10:$J$23=$L$10:$L$23)*($G$10:$G$23=BD$8)))*100
+SUM(($G$10:$G$23=$AH14)*($J$10:$J$23)*($O$10:$O$23=BD$8)+($O$10:$O$23=$AH14)*($L$10:$L$23)*($G$10:$G$23=BD$8))
-SUM(($G$10:$G$23=$AH14)*($L$10:$L$23)*($O$10:$O$23=BD$8)+($O$10:$O$23=$AH14)*($J$10:$J$23)*($G$10:$G$23=BD$8))
+SUM(($G$10:$G$23=$AH14)*($J$10:$J$23)*($O$10:$O$23=BD$8)+($O$10:$O$23=$AH14)*($L$10:$L$23)*($G$10:$G$23=BD$8))/100</f>
        <v>100.01</v>
      </c>
    </row>
    <row r="15" spans="1:56" s="30" customFormat="1" ht="10.15" customHeight="1" x14ac:dyDescent="0.25">
      <c r="B15" s="164" t="str">
        <v/>
      </c>
      <c r="C15" s="7"/>
      <c r="D15" s="8"/>
      <c r="E15" s="102"/>
      <c r="F15" s="102"/>
      <c r="G15" s="157"/>
      <c r="H15" s="9"/>
      <c r="I15" s="9"/>
      <c r="J15" s="154"/>
      <c r="K15" s="9"/>
      <c r="L15" s="154"/>
      <c r="M15" s="16"/>
      <c r="N15" s="154"/>
      <c r="O15" s="155"/>
      <c r="P15" s="16"/>
      <c r="Q15" s="16"/>
      <c r="R15" s="24"/>
      <c r="S15"/>
      <c r="T15" s="240"/>
      <c r="U15" s="91"/>
      <c r="V15" s="92"/>
      <c r="W15" s="93"/>
      <c r="X15" s="94"/>
      <c r="Y15" s="94"/>
      <c r="Z15" s="94"/>
      <c r="AA15" s="95"/>
      <c r="AB15" s="95"/>
      <c r="AC15" s="95"/>
      <c r="AD15" s="47"/>
      <c r="AE15" s="47"/>
      <c r="AF15" s="47"/>
      <c r="AG15" s="45"/>
      <c r="AH15" s="177"/>
      <c r="AI15" s="45"/>
      <c r="AJ15" s="45"/>
      <c r="AK15" s="45"/>
      <c r="AL15" s="45"/>
      <c r="AM15" s="45"/>
      <c r="AN15" s="29"/>
      <c r="AO15" s="29"/>
      <c r="AP15" s="141"/>
      <c r="AQ15" s="138"/>
      <c r="AR15" s="141"/>
      <c r="AS15" s="29"/>
      <c r="AT15" s="29"/>
      <c r="AU15" s="29"/>
      <c r="AV15" s="141"/>
      <c r="AW15" s="141"/>
      <c r="AX15" s="29"/>
      <c r="AY15" s="29"/>
      <c r="AZ15" s="29"/>
      <c r="BA15" s="29"/>
      <c r="BB15" s="29"/>
      <c r="BC15" s="29"/>
      <c r="BD15" s="29"/>
    </row>
    <row r="16" spans="1:56" s="30" customFormat="1" ht="22.15" customHeight="1" x14ac:dyDescent="0.25">
      <c r="B16" s="164">
        <v>18</v>
      </c>
      <c r="C16" s="7">
        <f>VLOOKUP(B16,Aux!M:AH,4,0)</f>
        <v>45827.875</v>
      </c>
      <c r="D16" s="8">
        <f>VLOOKUP(B16,Aux!M:AH,4,0)</f>
        <v>45827.875</v>
      </c>
      <c r="E16" s="102"/>
      <c r="F16" s="102" t="e" vm="1">
        <f>IFERROR(VLOOKUP(G16,Aux!$A:$X,8,0),"")</f>
        <v>#VALUE!</v>
      </c>
      <c r="G16" s="157" t="str">
        <f>VLOOKUP(B16,Aux!M:Y,5,0)</f>
        <v>Inter Miami</v>
      </c>
      <c r="H16" s="154" t="e" vm="7">
        <f>IFERROR(VLOOKUP(G16,Aux!$A:$C,3,0),"")</f>
        <v>#VALUE!</v>
      </c>
      <c r="I16" s="154"/>
      <c r="J16" s="203">
        <v>1</v>
      </c>
      <c r="K16" s="145" t="s">
        <v>40</v>
      </c>
      <c r="L16" s="203">
        <v>2</v>
      </c>
      <c r="M16" s="16"/>
      <c r="N16" s="154" t="e" vm="10">
        <f>IFERROR(VLOOKUP(O16,Aux!$A:$C,3,0),"")</f>
        <v>#VALUE!</v>
      </c>
      <c r="O16" s="155" t="str">
        <f>VLOOKUP(B16,Aux!M:Y,6,0)</f>
        <v>Porto</v>
      </c>
      <c r="P16" s="102" t="e" vm="11">
        <f>IFERROR(VLOOKUP(O16,Aux!$A:$X,8,0),"")</f>
        <v>#VALUE!</v>
      </c>
      <c r="Q16" s="16"/>
      <c r="R16" s="24" t="str">
        <f>VLOOKUP(B16,Aux!M:Y,7,0)</f>
        <v>Mercedes-Benz Stadium</v>
      </c>
      <c r="S16"/>
      <c r="T16" s="240" t="str">
        <f>INDEX($AH$10:$AH$17,MATCH(4,$AY$10:$AY$16,0))</f>
        <v>Al-Ahly</v>
      </c>
      <c r="U16" s="91" t="e" vm="6">
        <f>IFERROR(VLOOKUP(T16,Aux!A:C,3,0),"")</f>
        <v>#VALUE!</v>
      </c>
      <c r="V16" s="92"/>
      <c r="W16" s="93">
        <f>VLOOKUP($T16,$AH$10:$AO$16,3,0)</f>
        <v>0</v>
      </c>
      <c r="X16" s="94">
        <f>VLOOKUP($T16,$AH$10:$AO$16,4,0)</f>
        <v>0</v>
      </c>
      <c r="Y16" s="94">
        <f>VLOOKUP($T16,$AH$10:$AO$16,5,0)</f>
        <v>0</v>
      </c>
      <c r="Z16" s="94">
        <f>VLOOKUP($T16,$AH$10:$AO$16,6,0)</f>
        <v>3</v>
      </c>
      <c r="AA16" s="95">
        <f>VLOOKUP($T16,$AH$10:$AO$16,7,0)</f>
        <v>0</v>
      </c>
      <c r="AB16" s="95">
        <f>VLOOKUP($T16,$AH$10:$AO$16,8,0)</f>
        <v>6</v>
      </c>
      <c r="AC16" s="95">
        <f>AA16-AB16</f>
        <v>-6</v>
      </c>
      <c r="AD16" s="47"/>
      <c r="AE16" s="39"/>
      <c r="AF16" s="39"/>
      <c r="AG16" s="45">
        <v>4</v>
      </c>
      <c r="AH16" s="177" t="str">
        <f>VLOOKUP($AH$6&amp;AG16,Aux!Z:AA,2,0)</f>
        <v>Porto</v>
      </c>
      <c r="AI16" s="45">
        <f>AK16+AL16+AM16</f>
        <v>3</v>
      </c>
      <c r="AJ16" s="45">
        <f>AK16*3+AL16</f>
        <v>7</v>
      </c>
      <c r="AK16" s="45" cm="1">
        <f t="array" ref="AK16">SUM(($G$10:$G$23=$AH16)*($J$10:$J$23&gt;$L$10:$L$23)+($O$10:$O$23=$AH16)*($J$10:$J$23&lt;$L$10:$L$23))</f>
        <v>2</v>
      </c>
      <c r="AL16" s="45" cm="1">
        <f t="array" ref="AL16">SUM(($G$10:$G$23=$AH16)*($J$10:$J$23=$L$10:$L$23)*($J$10:$J$23&lt;&gt;"")+($O$10:$O$23=$AH16)*($J$10:$J$23=$L$10:$L$23)*($J$10:$J$23&lt;&gt;""))</f>
        <v>1</v>
      </c>
      <c r="AM16" s="45" cm="1">
        <f t="array" ref="AM16">SUM(($G$10:$G$23=$AH16)*($J$10:$J$23&lt;$L$10:$L$23)+($O$10:$O$23=$AH16)*($J$10:$J$23&gt;$L$10:$L$23))</f>
        <v>0</v>
      </c>
      <c r="AN16" s="29" cm="1">
        <f t="array" ref="AN16">SUM(($G$10:$G$23=$AH16)*($J$10:$J$23)+($O$10:$O$23=$AH16)*($L$10:$L$23))</f>
        <v>5</v>
      </c>
      <c r="AO16" s="29" cm="1">
        <f t="array" ref="AO16">SUM(($G$10:$G$23=$AH16)*($L$10:$L$23)+($O$10:$O$23=$AH16)*($J$10:$J$23))</f>
        <v>2</v>
      </c>
      <c r="AP16" s="141">
        <f>AN16-AO16</f>
        <v>3</v>
      </c>
      <c r="AQ16" s="138">
        <v>0</v>
      </c>
      <c r="AR16" s="141">
        <f>+AW16+AV16+AU16</f>
        <v>7.1001100099999999</v>
      </c>
      <c r="AS16" s="29"/>
      <c r="AT16" s="29"/>
      <c r="AU16" s="141">
        <f>+AJ16</f>
        <v>7</v>
      </c>
      <c r="AV16" s="141">
        <f>SUMIFS($BA16:$BD16,$BA$6:$BD$6,AJ16)/1000</f>
        <v>0.10001</v>
      </c>
      <c r="AW16" s="141">
        <f>SUMIFS($BA16:$BD16,$BA$5:$BD$5,AV16)/1000000</f>
        <v>1.0001E-4</v>
      </c>
      <c r="AX16" s="29">
        <f>_xlfn.RANK.EQ(AJ16,$AJ$10:$AJ$16)+_xlfn.RANK.EQ(AR16,$AR$10:$AR$16)/10+_xlfn.RANK.EQ(AP16,$AP$10:$AP$16)/1000+_xlfn.RANK.EQ(AN16,$AN$10:$AN$16)/100000+_xlfn.RANK.EQ(AQ16,$AQ$10:$AQ$16)/100000+ROW()/1000000</f>
        <v>1.101046</v>
      </c>
      <c r="AY16" s="29">
        <f>_xlfn.RANK.EQ(AX16,$AX$10:$AX$16,1)</f>
        <v>2</v>
      </c>
      <c r="AZ16" s="29"/>
      <c r="BA16" s="29" cm="1">
        <f t="array" ref="BA16">(SUM(($G$10:$G$23=$AH16)*($J$10:$J$23&gt;$L$10:$L$23)*($O$10:$O$23=BA$8)+($O$10:$O$23=$AH16)*($J$10:$J$23&lt;$L$10:$L$23)*($G$10:$G$23=BA$8)))*300+
(SUM(($G$10:$G$23=$AH16)*($J$10:$J$23=$L$10:$L$23)*($O$10:$O$23=BA$8)+($O$10:$O$23=$AH16)*($J$10:$J$23=$L$10:$L$23)*($G$10:$G$23=BA$8)))*100
+SUM(($G$10:$G$23=$AH16)*($J$10:$J$23)*($O$10:$O$23=BA$8)+($O$10:$O$23=$AH16)*($L$10:$L$23)*($G$10:$G$23=BA$8))
-SUM(($G$10:$G$23=$AH16)*($L$10:$L$23)*($O$10:$O$23=BA$8)+($O$10:$O$23=$AH16)*($J$10:$J$23)*($G$10:$G$23=BA$8))
+SUM(($G$10:$G$23=$AH16)*($J$10:$J$23)*($O$10:$O$23=BA$8)+($O$10:$O$23=$AH16)*($L$10:$L$23)*($G$10:$G$23=BA$8))/100</f>
        <v>302.02</v>
      </c>
      <c r="BB16" s="29" cm="1">
        <f t="array" ref="BB16">(SUM(($G$10:$G$23=$AH16)*($J$10:$J$23&gt;$L$10:$L$23)*($O$10:$O$23=BB$8)+($O$10:$O$23=$AH16)*($J$10:$J$23&lt;$L$10:$L$23)*($G$10:$G$23=BB$8)))*300+
(SUM(($G$10:$G$23=$AH16)*($J$10:$J$23=$L$10:$L$23)*($O$10:$O$23=BB$8)+($O$10:$O$23=$AH16)*($J$10:$J$23=$L$10:$L$23)*($G$10:$G$23=BB$8)))*100
+SUM(($G$10:$G$23=$AH16)*($J$10:$J$23)*($O$10:$O$23=BB$8)+($O$10:$O$23=$AH16)*($L$10:$L$23)*($G$10:$G$23=BB$8))
-SUM(($G$10:$G$23=$AH16)*($L$10:$L$23)*($O$10:$O$23=BB$8)+($O$10:$O$23=$AH16)*($J$10:$J$23)*($G$10:$G$23=BB$8))
+SUM(($G$10:$G$23=$AH16)*($J$10:$J$23)*($O$10:$O$23=BB$8)+($O$10:$O$23=$AH16)*($L$10:$L$23)*($G$10:$G$23=BB$8))/100</f>
        <v>301.02</v>
      </c>
      <c r="BC16" s="29" cm="1">
        <f t="array" ref="BC16">(SUM(($G$10:$G$23=$AH16)*($J$10:$J$23&gt;$L$10:$L$23)*($O$10:$O$23=BC$8)+($O$10:$O$23=$AH16)*($J$10:$J$23&lt;$L$10:$L$23)*($G$10:$G$23=BC$8)))*300+
(SUM(($G$10:$G$23=$AH16)*($J$10:$J$23=$L$10:$L$23)*($O$10:$O$23=BC$8)+($O$10:$O$23=$AH16)*($J$10:$J$23=$L$10:$L$23)*($G$10:$G$23=BC$8)))*100
+SUM(($G$10:$G$23=$AH16)*($J$10:$J$23)*($O$10:$O$23=BC$8)+($O$10:$O$23=$AH16)*($L$10:$L$23)*($G$10:$G$23=BC$8))
-SUM(($G$10:$G$23=$AH16)*($L$10:$L$23)*($O$10:$O$23=BC$8)+($O$10:$O$23=$AH16)*($J$10:$J$23)*($G$10:$G$23=BC$8))
+SUM(($G$10:$G$23=$AH16)*($J$10:$J$23)*($O$10:$O$23=BC$8)+($O$10:$O$23=$AH16)*($L$10:$L$23)*($G$10:$G$23=BC$8))/100</f>
        <v>100.01</v>
      </c>
      <c r="BD16" s="29" cm="1">
        <f t="array" ref="BD16">(SUM(($G$10:$G$23=$AH16)*($J$10:$J$23&gt;$L$10:$L$23)*($O$10:$O$23=BD$8)+($O$10:$O$23=$AH16)*($J$10:$J$23&lt;$L$10:$L$23)*($G$10:$G$23=BD$8)))*300+
(SUM(($G$10:$G$23=$AH16)*($J$10:$J$23=$L$10:$L$23)*($O$10:$O$23=BD$8)+($O$10:$O$23=$AH16)*($J$10:$J$23=$L$10:$L$23)*($G$10:$G$23=BD$8)))*100
+SUM(($G$10:$G$23=$AH16)*($J$10:$J$23)*($O$10:$O$23=BD$8)+($O$10:$O$23=$AH16)*($L$10:$L$23)*($G$10:$G$23=BD$8))
-SUM(($G$10:$G$23=$AH16)*($L$10:$L$23)*($O$10:$O$23=BD$8)+($O$10:$O$23=$AH16)*($J$10:$J$23)*($G$10:$G$23=BD$8))
+SUM(($G$10:$G$23=$AH16)*($J$10:$J$23)*($O$10:$O$23=BD$8)+($O$10:$O$23=$AH16)*($L$10:$L$23)*($G$10:$G$23=BD$8))/100</f>
        <v>0</v>
      </c>
    </row>
    <row r="17" spans="2:56" s="30" customFormat="1" ht="10.15" customHeight="1" x14ac:dyDescent="0.25">
      <c r="B17" s="164" t="str">
        <v/>
      </c>
      <c r="C17" s="10"/>
      <c r="D17" s="11"/>
      <c r="E17" s="103"/>
      <c r="F17" s="103"/>
      <c r="G17" s="158"/>
      <c r="H17" s="12"/>
      <c r="I17" s="12"/>
      <c r="J17" s="145"/>
      <c r="K17" s="145"/>
      <c r="L17" s="145"/>
      <c r="M17" s="16"/>
      <c r="N17" s="154"/>
      <c r="O17" s="156"/>
      <c r="P17" s="17"/>
      <c r="Q17" s="17"/>
      <c r="R17" s="25"/>
      <c r="S17"/>
      <c r="T17" s="90"/>
      <c r="U17" s="91"/>
      <c r="V17" s="92"/>
      <c r="W17" s="93"/>
      <c r="X17" s="94"/>
      <c r="Y17" s="94"/>
      <c r="Z17" s="94"/>
      <c r="AA17" s="95"/>
      <c r="AB17" s="95"/>
      <c r="AC17" s="95"/>
      <c r="AD17" s="47"/>
      <c r="AE17" s="39"/>
      <c r="AF17" s="39"/>
      <c r="AG17" s="45"/>
      <c r="AH17" s="177"/>
      <c r="AI17" s="45"/>
      <c r="AJ17" s="45"/>
      <c r="AK17" s="45"/>
      <c r="AL17" s="45"/>
      <c r="AM17" s="45"/>
      <c r="AN17" s="29"/>
      <c r="AO17" s="29"/>
      <c r="AP17" s="141"/>
      <c r="AQ17" s="29"/>
      <c r="AR17" s="29"/>
      <c r="AS17" s="29"/>
      <c r="AT17" s="29"/>
      <c r="AU17" s="29"/>
      <c r="AV17" s="141"/>
      <c r="AW17" s="29"/>
      <c r="AX17" s="29"/>
      <c r="AY17" s="29"/>
      <c r="AZ17" s="29"/>
      <c r="BA17" s="29"/>
      <c r="BB17" s="29"/>
      <c r="BC17" s="29"/>
      <c r="BD17" s="29"/>
    </row>
    <row r="18" spans="2:56" s="30" customFormat="1" ht="22.15" customHeight="1" thickBot="1" x14ac:dyDescent="0.3">
      <c r="B18" s="164">
        <v>35</v>
      </c>
      <c r="C18" s="7">
        <f>VLOOKUP(B18,Aux!M:AH,4,0)</f>
        <v>45832.125</v>
      </c>
      <c r="D18" s="8">
        <f>VLOOKUP(B18,Aux!M:AH,4,0)</f>
        <v>45832.125</v>
      </c>
      <c r="E18" s="102"/>
      <c r="F18" s="102" t="e" vm="1">
        <f>IFERROR(VLOOKUP(G18,Aux!$A:$X,8,0),"")</f>
        <v>#VALUE!</v>
      </c>
      <c r="G18" s="157" t="str">
        <f>VLOOKUP(B18,Aux!M:Y,5,0)</f>
        <v>Inter Miami</v>
      </c>
      <c r="H18" s="154" t="e" vm="7">
        <f>IFERROR(VLOOKUP(G18,Aux!$A:$C,3,0),"")</f>
        <v>#VALUE!</v>
      </c>
      <c r="I18" s="154"/>
      <c r="J18" s="203">
        <v>2</v>
      </c>
      <c r="K18" s="145" t="s">
        <v>40</v>
      </c>
      <c r="L18" s="203">
        <v>3</v>
      </c>
      <c r="M18" s="16"/>
      <c r="N18" s="154" t="e" vm="8">
        <f>IFERROR(VLOOKUP(O18,Aux!$A:$C,3,0),"")</f>
        <v>#VALUE!</v>
      </c>
      <c r="O18" s="155" t="str">
        <f>VLOOKUP(B18,Aux!M:Y,6,0)</f>
        <v>Palmeiras</v>
      </c>
      <c r="P18" s="102" t="e" vm="9">
        <f>IFERROR(VLOOKUP(O18,Aux!$A:$X,8,0),"")</f>
        <v>#VALUE!</v>
      </c>
      <c r="Q18" s="16"/>
      <c r="R18" s="24" t="str">
        <f>VLOOKUP(B18,Aux!M:Y,7,0)</f>
        <v>Hard Rock Stadium</v>
      </c>
      <c r="S18"/>
      <c r="T18" s="310"/>
      <c r="U18" s="310"/>
      <c r="V18" s="310"/>
      <c r="W18" s="310"/>
      <c r="X18" s="310"/>
      <c r="Y18" s="310"/>
      <c r="Z18" s="310"/>
      <c r="AA18" s="310"/>
      <c r="AB18" s="310"/>
      <c r="AC18" s="310"/>
      <c r="AD18" s="47"/>
      <c r="AE18" s="47"/>
      <c r="AF18" s="47"/>
      <c r="AG18" s="45"/>
      <c r="AH18" s="45"/>
      <c r="AI18" s="45"/>
      <c r="AJ18" s="45"/>
      <c r="AK18" s="45"/>
      <c r="AL18" s="45"/>
      <c r="AM18" s="45"/>
      <c r="AN18" s="29"/>
      <c r="AO18" s="29"/>
      <c r="AP18" s="29"/>
      <c r="AQ18" s="29"/>
      <c r="AR18" s="29"/>
      <c r="AS18" s="29"/>
      <c r="AT18" s="29"/>
      <c r="AU18" s="29"/>
      <c r="AV18" s="29"/>
      <c r="AW18" s="29"/>
      <c r="AX18" s="29"/>
      <c r="AY18" s="29"/>
      <c r="AZ18" s="29"/>
      <c r="BA18" s="29"/>
      <c r="BB18" s="29"/>
      <c r="BC18" s="29"/>
      <c r="BD18" s="29"/>
    </row>
    <row r="19" spans="2:56" s="30" customFormat="1" ht="10.15" customHeight="1" thickTop="1" x14ac:dyDescent="0.25">
      <c r="B19" s="164" t="str">
        <v/>
      </c>
      <c r="C19" s="10"/>
      <c r="D19" s="11"/>
      <c r="E19" s="103"/>
      <c r="F19" s="103"/>
      <c r="G19" s="158"/>
      <c r="H19" s="12"/>
      <c r="I19" s="12"/>
      <c r="J19" s="145"/>
      <c r="K19" s="145"/>
      <c r="L19" s="145"/>
      <c r="M19" s="16"/>
      <c r="N19" s="154"/>
      <c r="O19" s="155"/>
      <c r="P19" s="17"/>
      <c r="Q19" s="17"/>
      <c r="R19" s="25"/>
      <c r="S19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47"/>
      <c r="AE19" s="47"/>
      <c r="AF19" s="47"/>
      <c r="AG19" s="45"/>
      <c r="AH19" s="45"/>
      <c r="AI19" s="45"/>
      <c r="AJ19" s="45"/>
      <c r="AK19" s="45"/>
      <c r="AL19" s="45"/>
      <c r="AM19" s="45"/>
      <c r="AN19" s="29"/>
      <c r="AO19" s="29"/>
      <c r="AP19" s="29"/>
      <c r="AQ19" s="29"/>
      <c r="AR19" s="29"/>
      <c r="AS19" s="29"/>
      <c r="AT19" s="29"/>
      <c r="AU19" s="29"/>
      <c r="AV19" s="29"/>
      <c r="AW19" s="29"/>
      <c r="AX19" s="29"/>
      <c r="AY19" s="29"/>
      <c r="AZ19" s="29"/>
      <c r="BA19" s="45"/>
      <c r="BB19" s="127"/>
      <c r="BC19" s="127"/>
      <c r="BD19" s="127"/>
    </row>
    <row r="20" spans="2:56" s="30" customFormat="1" ht="22.15" customHeight="1" x14ac:dyDescent="0.25">
      <c r="B20" s="164">
        <v>36</v>
      </c>
      <c r="C20" s="7">
        <f>VLOOKUP(B20,Aux!M:AH,4,0)</f>
        <v>45832.125</v>
      </c>
      <c r="D20" s="8">
        <f>VLOOKUP(B20,Aux!M:AH,4,0)</f>
        <v>45832.125</v>
      </c>
      <c r="E20" s="102"/>
      <c r="F20" s="102" t="e" vm="11">
        <f>IFERROR(VLOOKUP(G20,Aux!$A:$X,8,0),"")</f>
        <v>#VALUE!</v>
      </c>
      <c r="G20" s="157" t="str">
        <f>VLOOKUP(B20,Aux!M:Y,5,0)</f>
        <v>Porto</v>
      </c>
      <c r="H20" s="154" t="e" vm="10">
        <f>IFERROR(VLOOKUP(G20,Aux!$A:$C,3,0),"")</f>
        <v>#VALUE!</v>
      </c>
      <c r="I20" s="154"/>
      <c r="J20" s="203">
        <v>2</v>
      </c>
      <c r="K20" s="145" t="s">
        <v>40</v>
      </c>
      <c r="L20" s="203">
        <v>0</v>
      </c>
      <c r="M20" s="16"/>
      <c r="N20" s="154" t="e" vm="6">
        <f>IFERROR(VLOOKUP(O20,Aux!$A:$C,3,0),"")</f>
        <v>#VALUE!</v>
      </c>
      <c r="O20" s="155" t="str">
        <f>VLOOKUP(B20,Aux!M:Y,6,0)</f>
        <v>Al-Ahly</v>
      </c>
      <c r="P20" s="102" t="e" vm="5">
        <f>IFERROR(VLOOKUP(O20,Aux!$A:$X,8,0),"")</f>
        <v>#VALUE!</v>
      </c>
      <c r="Q20" s="16"/>
      <c r="R20" s="24" t="str">
        <f>VLOOKUP(B20,Aux!M:Y,7,0)</f>
        <v>MetLife Stadium</v>
      </c>
      <c r="S20"/>
      <c r="T20" s="28"/>
      <c r="U20" s="28"/>
      <c r="V20" s="28"/>
      <c r="W20"/>
      <c r="X20" s="28"/>
      <c r="Y20" s="28"/>
      <c r="Z20" s="28"/>
      <c r="AA20" s="28"/>
      <c r="AB20" s="28"/>
      <c r="AC20" s="28"/>
      <c r="AD20" s="47"/>
      <c r="AE20" s="47"/>
      <c r="AF20" s="47"/>
      <c r="AG20" s="45"/>
      <c r="AH20" s="45"/>
      <c r="AI20" s="45"/>
      <c r="AJ20" s="45"/>
      <c r="AK20" s="45"/>
      <c r="AL20" s="45"/>
      <c r="AM20" s="45"/>
      <c r="AN20" s="29"/>
      <c r="AO20" s="29"/>
      <c r="AP20" s="29"/>
      <c r="AQ20" s="29"/>
      <c r="AR20" s="29"/>
      <c r="AS20" s="29"/>
      <c r="AT20" s="29"/>
      <c r="AU20" s="29"/>
      <c r="AV20" s="29"/>
      <c r="AW20" s="29"/>
      <c r="AX20" s="29"/>
      <c r="AY20" s="29"/>
      <c r="AZ20" s="29"/>
      <c r="BA20" s="138"/>
      <c r="BB20" s="138"/>
      <c r="BC20" s="138"/>
      <c r="BD20" s="138"/>
    </row>
    <row r="21" spans="2:56" s="30" customFormat="1" ht="10.15" customHeight="1" x14ac:dyDescent="0.25">
      <c r="B21" s="165" t="str">
        <v/>
      </c>
      <c r="C21" s="13"/>
      <c r="D21" s="14"/>
      <c r="E21" s="18"/>
      <c r="F21" s="18"/>
      <c r="G21" s="15"/>
      <c r="H21" s="15"/>
      <c r="I21" s="15"/>
      <c r="J21" s="18"/>
      <c r="K21" s="18"/>
      <c r="L21" s="18"/>
      <c r="M21" s="18"/>
      <c r="N21" s="18"/>
      <c r="O21" s="19"/>
      <c r="P21" s="19"/>
      <c r="Q21" s="19"/>
      <c r="R21" s="26"/>
      <c r="S21"/>
      <c r="T21" s="28"/>
      <c r="U21" s="28"/>
      <c r="V21" s="28"/>
      <c r="W21" s="301" t="s">
        <v>134</v>
      </c>
      <c r="X21" s="301"/>
      <c r="Y21" s="301"/>
      <c r="Z21" s="28"/>
      <c r="AA21" s="28"/>
      <c r="AB21" s="28"/>
      <c r="AC21" s="28"/>
      <c r="AD21" s="47"/>
      <c r="AE21" s="47"/>
      <c r="AF21" s="47"/>
      <c r="AG21" s="45"/>
      <c r="AH21" s="45"/>
      <c r="AI21" s="45"/>
      <c r="AJ21" s="45"/>
      <c r="AK21" s="45"/>
      <c r="AL21" s="45"/>
      <c r="AM21" s="45"/>
      <c r="AN21" s="29"/>
      <c r="AO21" s="29"/>
      <c r="AP21" s="29"/>
      <c r="AQ21" s="29"/>
      <c r="AR21" s="29"/>
      <c r="AS21" s="29"/>
      <c r="AT21" s="29"/>
      <c r="AU21" s="29"/>
      <c r="AV21" s="29"/>
      <c r="AW21" s="29"/>
      <c r="AX21" s="29"/>
      <c r="AY21" s="29"/>
      <c r="AZ21" s="29"/>
      <c r="BA21" s="138"/>
      <c r="BB21" s="138"/>
      <c r="BC21" s="138"/>
      <c r="BD21" s="138"/>
    </row>
    <row r="22" spans="2:56" ht="15" customHeight="1" x14ac:dyDescent="0.25">
      <c r="W22" s="301"/>
      <c r="X22" s="301"/>
      <c r="Y22" s="301"/>
      <c r="AD22" s="47"/>
      <c r="AE22" s="47"/>
      <c r="AF22" s="47"/>
      <c r="AG22" s="45"/>
      <c r="AH22" s="45"/>
      <c r="AI22" s="45"/>
      <c r="AJ22" s="45"/>
      <c r="AK22" s="45"/>
      <c r="AL22" s="45"/>
      <c r="AM22" s="45"/>
      <c r="AN22" s="29"/>
      <c r="AO22" s="29"/>
      <c r="AP22" s="29"/>
      <c r="AQ22" s="29"/>
      <c r="AR22" s="29"/>
      <c r="AS22" s="29"/>
      <c r="AT22" s="29"/>
      <c r="AU22" s="29"/>
      <c r="AV22" s="29"/>
      <c r="AW22" s="29"/>
      <c r="AX22" s="29"/>
      <c r="AY22" s="127"/>
      <c r="AZ22" s="29"/>
      <c r="BA22" s="138"/>
      <c r="BB22" s="138"/>
      <c r="BC22" s="138"/>
      <c r="BD22" s="138"/>
    </row>
    <row r="23" spans="2:56" ht="15" customHeight="1" x14ac:dyDescent="0.25">
      <c r="N23"/>
      <c r="O23"/>
      <c r="P23"/>
      <c r="Q23"/>
      <c r="R23"/>
      <c r="W23" s="302" t="s">
        <v>135</v>
      </c>
      <c r="X23" s="302"/>
      <c r="Y23" s="302"/>
      <c r="AD23" s="47"/>
      <c r="AE23" s="47"/>
      <c r="AF23" s="47"/>
      <c r="AG23" s="47"/>
      <c r="AH23" s="47"/>
      <c r="AI23" s="47"/>
      <c r="AJ23" s="47"/>
      <c r="AK23" s="47"/>
      <c r="AL23" s="47"/>
      <c r="AM23" s="47"/>
      <c r="BA23" s="262"/>
      <c r="BB23" s="263"/>
      <c r="BC23" s="263"/>
      <c r="BD23" s="263"/>
    </row>
    <row r="24" spans="2:56" ht="15" customHeight="1" x14ac:dyDescent="0.25">
      <c r="N24"/>
      <c r="O24"/>
      <c r="P24"/>
      <c r="Q24"/>
      <c r="R24"/>
      <c r="W24" s="302"/>
      <c r="X24" s="302"/>
      <c r="Y24" s="302"/>
      <c r="AD24" s="47"/>
      <c r="AE24" s="47"/>
      <c r="AF24" s="47"/>
      <c r="AG24" s="47"/>
      <c r="AH24" s="45"/>
      <c r="AI24" s="47"/>
      <c r="AJ24" s="47"/>
      <c r="AK24" s="47"/>
      <c r="AL24" s="47"/>
      <c r="AM24" s="47"/>
      <c r="BB24" s="31"/>
      <c r="BC24" s="31"/>
      <c r="BD24" s="31"/>
    </row>
    <row r="25" spans="2:56" ht="15" customHeight="1" x14ac:dyDescent="0.25">
      <c r="N25"/>
      <c r="O25"/>
      <c r="P25"/>
      <c r="Q25"/>
      <c r="R25"/>
      <c r="W25"/>
      <c r="AD25" s="47"/>
      <c r="AE25" s="47"/>
      <c r="AF25" s="47"/>
      <c r="AG25" s="47"/>
      <c r="AH25" s="45"/>
      <c r="AI25" s="47"/>
      <c r="AJ25" s="47"/>
      <c r="AK25" s="47"/>
      <c r="AL25" s="47"/>
      <c r="AM25" s="47"/>
      <c r="BB25" s="31"/>
      <c r="BC25" s="31"/>
      <c r="BD25" s="31"/>
    </row>
    <row r="26" spans="2:56" ht="15" customHeight="1" x14ac:dyDescent="0.25">
      <c r="N26"/>
      <c r="O26"/>
      <c r="P26"/>
      <c r="Q26"/>
      <c r="R26"/>
      <c r="AF26" s="31"/>
      <c r="AH26" s="29"/>
      <c r="BB26" s="31"/>
      <c r="BC26" s="31"/>
      <c r="BD26" s="31"/>
    </row>
    <row r="27" spans="2:56" ht="15" customHeight="1" x14ac:dyDescent="0.25">
      <c r="N27"/>
      <c r="O27"/>
      <c r="P27"/>
      <c r="Q27"/>
      <c r="R27"/>
      <c r="AF27" s="31"/>
      <c r="AH27" s="29"/>
      <c r="BB27" s="31"/>
      <c r="BC27" s="31"/>
      <c r="BD27" s="31"/>
    </row>
    <row r="28" spans="2:56" ht="15" customHeight="1" x14ac:dyDescent="0.25">
      <c r="N28"/>
      <c r="O28"/>
      <c r="P28"/>
      <c r="Q28"/>
      <c r="R28"/>
      <c r="AF28" s="31"/>
      <c r="AH28" s="29"/>
      <c r="BB28" s="31"/>
      <c r="BC28" s="31"/>
      <c r="BD28" s="31"/>
    </row>
    <row r="29" spans="2:56" ht="15" customHeight="1" x14ac:dyDescent="0.25">
      <c r="N29"/>
      <c r="O29"/>
      <c r="P29"/>
      <c r="Q29"/>
      <c r="R29"/>
      <c r="AG29" s="29"/>
      <c r="AH29" s="29"/>
      <c r="AI29" s="29"/>
      <c r="AJ29" s="29"/>
      <c r="AK29" s="29"/>
      <c r="AL29" s="29"/>
      <c r="AM29" s="29"/>
      <c r="AN29" s="29"/>
      <c r="AO29" s="29"/>
      <c r="AP29" s="29"/>
      <c r="AQ29" s="29"/>
      <c r="AR29" s="29"/>
      <c r="AS29" s="29"/>
      <c r="AT29" s="29"/>
      <c r="AU29" s="29"/>
      <c r="AV29" s="29"/>
      <c r="AW29" s="29"/>
      <c r="AX29" s="29"/>
      <c r="AZ29" s="29"/>
      <c r="BB29" s="31"/>
      <c r="BC29" s="31"/>
      <c r="BD29" s="31"/>
    </row>
    <row r="30" spans="2:56" ht="15" customHeight="1" x14ac:dyDescent="0.25">
      <c r="BB30" s="31"/>
      <c r="BC30" s="31"/>
      <c r="BD30" s="31"/>
    </row>
  </sheetData>
  <mergeCells count="6">
    <mergeCell ref="W21:Y22"/>
    <mergeCell ref="W23:Y24"/>
    <mergeCell ref="W2:Y2"/>
    <mergeCell ref="E7:Q7"/>
    <mergeCell ref="T7:AC7"/>
    <mergeCell ref="T18:AC18"/>
  </mergeCells>
  <conditionalFormatting sqref="J10 J12 J14 J16 J18 J20">
    <cfRule type="expression" dxfId="271" priority="5">
      <formula>#REF!="P"</formula>
    </cfRule>
    <cfRule type="expression" dxfId="270" priority="6">
      <formula>#REF!="E"</formula>
    </cfRule>
    <cfRule type="expression" dxfId="269" priority="7">
      <formula>#REF!="G"</formula>
    </cfRule>
  </conditionalFormatting>
  <conditionalFormatting sqref="L10 L12 L14 L16 L18 L20">
    <cfRule type="expression" dxfId="268" priority="8">
      <formula>#REF!="P"</formula>
    </cfRule>
    <cfRule type="expression" dxfId="267" priority="9">
      <formula>#REF!="E"</formula>
    </cfRule>
    <cfRule type="expression" dxfId="266" priority="10">
      <formula>#REF!="G"</formula>
    </cfRule>
  </conditionalFormatting>
  <conditionalFormatting sqref="W21 W23">
    <cfRule type="expression" dxfId="265" priority="1">
      <formula>$L24&lt;&gt;""</formula>
    </cfRule>
    <cfRule type="expression" dxfId="264" priority="2">
      <formula>AND($L24&lt;&gt;"",$L25="")</formula>
    </cfRule>
  </conditionalFormatting>
  <dataValidations count="1">
    <dataValidation type="list" allowBlank="1" showInputMessage="1" showErrorMessage="1" sqref="AH6" xr:uid="{FDC81CF4-BB3C-413D-AEA8-D2DA51E45B75}">
      <formula1>"A,B,C,D,E,F,G,H"</formula1>
    </dataValidation>
  </dataValidations>
  <hyperlinks>
    <hyperlink ref="W21" r:id="rId1" display="Aprendiz de Excel" xr:uid="{7BF947E0-2B4B-4E97-B570-BD2E290DA11D}"/>
    <hyperlink ref="W23" r:id="rId2" display="Aprendiz de Excel" xr:uid="{91FC457F-28E9-44B6-8890-939D738E6056}"/>
    <hyperlink ref="W23:W24" r:id="rId3" display="Vídeo YouTube" xr:uid="{DBDEFC81-1144-4C84-8CF9-6678405C2D40}"/>
    <hyperlink ref="W23:Y24" r:id="rId4" display="Vídeo YouTube" xr:uid="{596BF761-0E15-447D-B12A-FBF5E5B7C36B}"/>
  </hyperlinks>
  <pageMargins left="0.7" right="0.7" top="0.75" bottom="0.75" header="0.3" footer="0.3"/>
  <pageSetup paperSize="9" orientation="portrait" r:id="rId5"/>
  <drawing r:id="rId6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60C66-F6EF-4361-8E87-062B46A67E5D}">
  <dimension ref="A1:BD30"/>
  <sheetViews>
    <sheetView showGridLines="0" zoomScale="90" zoomScaleNormal="90" workbookViewId="0">
      <selection activeCell="J10" sqref="J10"/>
    </sheetView>
  </sheetViews>
  <sheetFormatPr baseColWidth="10" defaultColWidth="14.42578125" defaultRowHeight="15" customHeight="1" x14ac:dyDescent="0.25"/>
  <cols>
    <col min="1" max="1" width="3.5703125" style="28" customWidth="1"/>
    <col min="2" max="2" width="3.7109375" style="28" customWidth="1"/>
    <col min="3" max="3" width="7.7109375" style="28" customWidth="1"/>
    <col min="4" max="4" width="6.7109375" style="28" customWidth="1"/>
    <col min="5" max="5" width="2.7109375" style="28" customWidth="1"/>
    <col min="6" max="6" width="3.7109375" style="28" customWidth="1"/>
    <col min="7" max="7" width="19.7109375" style="28" customWidth="1"/>
    <col min="8" max="8" width="5.7109375" style="28" customWidth="1"/>
    <col min="9" max="9" width="2.7109375" style="28" customWidth="1"/>
    <col min="10" max="10" width="6.7109375" style="28" customWidth="1"/>
    <col min="11" max="11" width="2.7109375" style="28" customWidth="1"/>
    <col min="12" max="12" width="6.7109375" style="28" customWidth="1"/>
    <col min="13" max="13" width="2.7109375" style="28" customWidth="1"/>
    <col min="14" max="14" width="5.7109375" style="28" customWidth="1"/>
    <col min="15" max="15" width="19.7109375" style="28" customWidth="1"/>
    <col min="16" max="16" width="3.7109375" style="28" customWidth="1"/>
    <col min="17" max="17" width="2.5703125" style="28" customWidth="1"/>
    <col min="18" max="18" width="15.5703125" style="28" customWidth="1"/>
    <col min="19" max="19" width="2.7109375" style="28" customWidth="1"/>
    <col min="20" max="20" width="19.7109375" style="28" customWidth="1"/>
    <col min="21" max="21" width="5.7109375" style="28" customWidth="1"/>
    <col min="22" max="22" width="1.7109375" style="28" customWidth="1"/>
    <col min="23" max="29" width="4" style="28" customWidth="1"/>
    <col min="30" max="30" width="6" style="30" customWidth="1"/>
    <col min="31" max="32" width="5" style="29" customWidth="1"/>
    <col min="33" max="33" width="5" style="31" customWidth="1"/>
    <col min="34" max="34" width="14.85546875" style="31" customWidth="1"/>
    <col min="35" max="41" width="5" style="31" customWidth="1"/>
    <col min="42" max="42" width="8.5703125" style="31" customWidth="1"/>
    <col min="43" max="47" width="5" style="31" customWidth="1"/>
    <col min="48" max="49" width="8.5703125" style="31" customWidth="1"/>
    <col min="50" max="50" width="5" style="31" customWidth="1"/>
    <col min="52" max="52" width="7.7109375" style="31" customWidth="1"/>
    <col min="53" max="53" width="14.42578125" style="31"/>
    <col min="54" max="54" width="15" style="28" customWidth="1"/>
    <col min="55" max="16384" width="14.42578125" style="28"/>
  </cols>
  <sheetData>
    <row r="1" spans="1:56" s="153" customFormat="1" ht="27.75" customHeight="1" x14ac:dyDescent="0.25">
      <c r="A1" s="210" t="s">
        <v>314</v>
      </c>
      <c r="B1" s="211"/>
      <c r="C1" s="211"/>
      <c r="D1" s="211"/>
      <c r="E1" s="211"/>
      <c r="F1" s="211"/>
      <c r="G1" s="211"/>
      <c r="H1" s="211"/>
      <c r="I1" s="211"/>
      <c r="J1" s="211"/>
      <c r="K1" s="211"/>
      <c r="L1" s="211"/>
      <c r="M1" s="211"/>
      <c r="N1" s="211"/>
      <c r="O1" s="211"/>
      <c r="P1" s="211"/>
      <c r="Q1" s="211"/>
      <c r="R1" s="211"/>
      <c r="S1" s="211"/>
    </row>
    <row r="2" spans="1:56" s="33" customFormat="1" ht="18.75" x14ac:dyDescent="0.25">
      <c r="B2" s="127"/>
      <c r="C2"/>
      <c r="D2"/>
      <c r="E2"/>
      <c r="F2"/>
      <c r="G2"/>
      <c r="H2"/>
      <c r="I2"/>
      <c r="J2" s="159"/>
      <c r="K2" s="159"/>
      <c r="L2" s="159"/>
      <c r="M2" s="159"/>
      <c r="N2" s="159"/>
      <c r="O2" s="159"/>
      <c r="P2" s="159"/>
      <c r="Q2" s="159"/>
      <c r="R2" s="159"/>
      <c r="S2" s="159"/>
      <c r="T2" s="159"/>
      <c r="U2" s="159"/>
      <c r="V2" s="159"/>
      <c r="W2" s="303"/>
      <c r="X2" s="303"/>
      <c r="Y2" s="303"/>
      <c r="Z2" s="160"/>
      <c r="AA2" s="159"/>
      <c r="AB2" s="159"/>
      <c r="AC2" s="159"/>
      <c r="AD2" s="44"/>
      <c r="AE2" s="45"/>
      <c r="AF2" s="45"/>
      <c r="AG2" s="45"/>
      <c r="AH2" s="45"/>
      <c r="AI2" s="45"/>
      <c r="AJ2" s="45"/>
      <c r="AK2" s="45"/>
      <c r="AL2" s="45"/>
      <c r="AM2" s="45"/>
      <c r="AN2" s="45"/>
      <c r="AO2" s="45"/>
      <c r="AP2" s="45"/>
      <c r="AQ2" s="45"/>
      <c r="AR2" s="45"/>
      <c r="AS2" s="45"/>
      <c r="AT2" s="45"/>
      <c r="AU2" s="45"/>
      <c r="AV2" s="45"/>
      <c r="AW2" s="45"/>
      <c r="AX2" s="45"/>
      <c r="AY2" s="45"/>
      <c r="AZ2" s="45"/>
      <c r="BA2" s="45"/>
      <c r="BB2" s="127"/>
      <c r="BC2" s="127"/>
      <c r="BD2" s="127"/>
    </row>
    <row r="3" spans="1:56" s="33" customFormat="1" ht="35.25" customHeight="1" x14ac:dyDescent="0.25">
      <c r="B3" s="127"/>
      <c r="C3"/>
      <c r="D3"/>
      <c r="E3"/>
      <c r="F3"/>
      <c r="G3" s="161"/>
      <c r="H3" s="161"/>
      <c r="I3" s="161"/>
      <c r="J3"/>
      <c r="K3" s="162"/>
      <c r="L3" s="162"/>
      <c r="M3" s="162"/>
      <c r="N3" s="162"/>
      <c r="O3" s="162"/>
      <c r="P3" s="162"/>
      <c r="Q3" s="162"/>
      <c r="R3" s="162"/>
      <c r="S3" s="162"/>
      <c r="T3" s="159"/>
      <c r="U3" s="159"/>
      <c r="V3" s="159"/>
      <c r="W3" s="159"/>
      <c r="X3" s="159"/>
      <c r="Y3" s="159"/>
      <c r="Z3" s="159"/>
      <c r="AA3" s="159"/>
      <c r="AB3" s="159"/>
      <c r="AC3" s="159"/>
      <c r="AD3" s="44"/>
      <c r="AE3" s="46"/>
      <c r="AF3" s="46"/>
      <c r="AG3" s="46"/>
      <c r="AH3" s="45"/>
      <c r="AI3" s="45"/>
      <c r="AJ3" s="45"/>
      <c r="AK3" s="45"/>
      <c r="AL3" s="45"/>
      <c r="AM3" s="45"/>
      <c r="AN3" s="45"/>
      <c r="AO3" s="45"/>
      <c r="AP3" s="45"/>
      <c r="AQ3" s="45"/>
      <c r="AR3" s="45"/>
      <c r="AS3" s="45"/>
      <c r="AT3" s="45"/>
      <c r="AU3" s="45"/>
      <c r="AV3" s="45"/>
      <c r="AW3" s="45"/>
      <c r="AX3" s="45"/>
      <c r="AY3" s="45"/>
      <c r="AZ3" s="45"/>
      <c r="BA3" s="45"/>
      <c r="BB3" s="127"/>
      <c r="BC3" s="127"/>
      <c r="BD3" s="127"/>
    </row>
    <row r="4" spans="1:56" s="33" customFormat="1" x14ac:dyDescent="0.25">
      <c r="B4" s="127"/>
      <c r="C4"/>
      <c r="D4"/>
      <c r="E4"/>
      <c r="F4"/>
      <c r="G4"/>
      <c r="H4"/>
      <c r="I4"/>
      <c r="J4" s="159"/>
      <c r="K4" s="159"/>
      <c r="L4" s="159"/>
      <c r="M4" s="159"/>
      <c r="N4" s="159"/>
      <c r="O4" s="159"/>
      <c r="P4" s="159"/>
      <c r="Q4" s="159"/>
      <c r="R4" s="159"/>
      <c r="S4" s="159"/>
      <c r="T4" s="159"/>
      <c r="U4" s="159"/>
      <c r="V4" s="159"/>
      <c r="W4" s="159"/>
      <c r="X4" s="159"/>
      <c r="Y4" s="159"/>
      <c r="Z4" s="159"/>
      <c r="AA4" s="159"/>
      <c r="AB4" s="159"/>
      <c r="AC4" s="159"/>
      <c r="AD4" s="44"/>
      <c r="AE4" s="47"/>
      <c r="AF4" s="45"/>
      <c r="AG4" s="45"/>
      <c r="AH4" s="45"/>
      <c r="AI4" s="45"/>
      <c r="AJ4" s="45"/>
      <c r="AK4" s="45"/>
      <c r="AL4" s="45"/>
      <c r="AM4" s="45"/>
      <c r="AN4" s="45"/>
      <c r="AO4" s="45"/>
      <c r="AP4" s="45"/>
      <c r="AQ4" s="45"/>
      <c r="AR4" s="45"/>
      <c r="AS4" s="45"/>
      <c r="AT4" s="45"/>
      <c r="AU4" s="45"/>
      <c r="AV4" s="45"/>
      <c r="AW4" s="45"/>
      <c r="AX4" s="45"/>
      <c r="AY4" s="45"/>
      <c r="AZ4" s="45"/>
      <c r="BA4" s="45"/>
      <c r="BB4" s="127"/>
      <c r="BC4" s="127"/>
      <c r="BD4" s="127"/>
    </row>
    <row r="5" spans="1:56" s="33" customFormat="1" ht="15" customHeight="1" x14ac:dyDescent="0.25">
      <c r="B5" s="127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E5" s="47"/>
      <c r="AF5" s="45"/>
      <c r="AG5" s="45"/>
      <c r="AH5" s="45"/>
      <c r="AI5" s="45"/>
      <c r="AJ5" s="45"/>
      <c r="AK5" s="45"/>
      <c r="AL5" s="45"/>
      <c r="AM5" s="45"/>
      <c r="AN5" s="45"/>
      <c r="AO5" s="45"/>
      <c r="AP5" s="45"/>
      <c r="AQ5" s="45"/>
      <c r="AR5" s="45"/>
      <c r="AS5" s="45"/>
      <c r="AT5" s="45"/>
      <c r="AU5" s="45"/>
      <c r="AV5" s="45"/>
      <c r="AW5" s="45"/>
      <c r="AX5" s="45"/>
      <c r="AY5" s="264" t="s">
        <v>336</v>
      </c>
      <c r="AZ5" s="45"/>
      <c r="BA5" s="138">
        <f>VLOOKUP(BA8,$AH$10:$AW$16,15,0)</f>
        <v>0.10001</v>
      </c>
      <c r="BB5" s="138">
        <f t="shared" ref="BB5:BD5" si="0">VLOOKUP(BB8,$AH$10:$AW$16,15,0)</f>
        <v>0.10001</v>
      </c>
      <c r="BC5" s="138">
        <f t="shared" si="0"/>
        <v>0</v>
      </c>
      <c r="BD5" s="138">
        <f t="shared" si="0"/>
        <v>0</v>
      </c>
    </row>
    <row r="6" spans="1:56" s="30" customFormat="1" ht="15" customHeight="1" x14ac:dyDescent="0.25">
      <c r="B6" s="27"/>
      <c r="C6" s="32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/>
      <c r="T6" s="28"/>
      <c r="U6" s="28"/>
      <c r="V6" s="28"/>
      <c r="W6" s="28"/>
      <c r="X6" s="28"/>
      <c r="Y6" s="28"/>
      <c r="Z6" s="28"/>
      <c r="AA6" s="28"/>
      <c r="AB6" s="28"/>
      <c r="AC6" s="28"/>
      <c r="AD6" s="33"/>
      <c r="AE6" s="47"/>
      <c r="AF6" s="45"/>
      <c r="AG6" s="45"/>
      <c r="AH6" s="166" t="s">
        <v>11</v>
      </c>
      <c r="AI6" s="45"/>
      <c r="AJ6" s="45"/>
      <c r="AK6" s="45"/>
      <c r="AL6" s="45"/>
      <c r="AM6" s="45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64" t="s">
        <v>335</v>
      </c>
      <c r="AZ6" s="29"/>
      <c r="BA6" s="138">
        <f>VLOOKUP(BA8,$AH$10:$AW$16,14,0)</f>
        <v>7</v>
      </c>
      <c r="BB6" s="138">
        <f t="shared" ref="BB6:BD6" si="1">VLOOKUP(BB8,$AH$10:$AW$16,14,0)</f>
        <v>7</v>
      </c>
      <c r="BC6" s="138">
        <f t="shared" si="1"/>
        <v>3</v>
      </c>
      <c r="BD6" s="138">
        <f t="shared" si="1"/>
        <v>0</v>
      </c>
    </row>
    <row r="7" spans="1:56" s="30" customFormat="1" ht="22.15" customHeight="1" thickBot="1" x14ac:dyDescent="0.3">
      <c r="B7" s="107" t="s">
        <v>33</v>
      </c>
      <c r="C7" s="108" t="s">
        <v>34</v>
      </c>
      <c r="D7" s="108" t="s">
        <v>35</v>
      </c>
      <c r="E7" s="304" t="s">
        <v>36</v>
      </c>
      <c r="F7" s="305"/>
      <c r="G7" s="305"/>
      <c r="H7" s="305"/>
      <c r="I7" s="305"/>
      <c r="J7" s="305"/>
      <c r="K7" s="305"/>
      <c r="L7" s="305"/>
      <c r="M7" s="305"/>
      <c r="N7" s="305"/>
      <c r="O7" s="305"/>
      <c r="P7" s="305"/>
      <c r="Q7" s="306"/>
      <c r="R7" s="109" t="s">
        <v>37</v>
      </c>
      <c r="S7" s="34"/>
      <c r="T7" s="307" t="s">
        <v>38</v>
      </c>
      <c r="U7" s="305"/>
      <c r="V7" s="305"/>
      <c r="W7" s="308"/>
      <c r="X7" s="308"/>
      <c r="Y7" s="308"/>
      <c r="Z7" s="308"/>
      <c r="AA7" s="308"/>
      <c r="AB7" s="308"/>
      <c r="AC7" s="309"/>
      <c r="AD7" s="33"/>
      <c r="AE7" s="39"/>
      <c r="AF7" s="46"/>
      <c r="AG7" s="46"/>
      <c r="AH7" s="45"/>
      <c r="AI7" s="45"/>
      <c r="AJ7" s="45"/>
      <c r="AK7" s="45"/>
      <c r="AL7" s="45"/>
      <c r="AM7" s="45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138"/>
      <c r="BB7" s="138"/>
      <c r="BC7" s="138"/>
      <c r="BD7" s="138"/>
    </row>
    <row r="8" spans="1:56" s="30" customFormat="1" ht="15" customHeight="1" thickTop="1" x14ac:dyDescent="0.25"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35"/>
      <c r="U8" s="35"/>
      <c r="V8" s="35"/>
      <c r="W8" s="36" t="s">
        <v>41</v>
      </c>
      <c r="X8" s="37" t="s">
        <v>42</v>
      </c>
      <c r="Y8" s="37" t="s">
        <v>43</v>
      </c>
      <c r="Z8" s="37" t="s">
        <v>44</v>
      </c>
      <c r="AA8" s="38" t="s">
        <v>45</v>
      </c>
      <c r="AB8" s="38" t="s">
        <v>46</v>
      </c>
      <c r="AC8" s="38" t="s">
        <v>47</v>
      </c>
      <c r="AD8" s="33"/>
      <c r="AE8" s="39"/>
      <c r="AF8" s="46"/>
      <c r="AG8" s="46"/>
      <c r="AH8" s="174" t="s">
        <v>8</v>
      </c>
      <c r="AI8" s="175" t="s">
        <v>39</v>
      </c>
      <c r="AJ8" s="176" t="s">
        <v>41</v>
      </c>
      <c r="AK8" s="175" t="s">
        <v>42</v>
      </c>
      <c r="AL8" s="175" t="s">
        <v>43</v>
      </c>
      <c r="AM8" s="175" t="s">
        <v>44</v>
      </c>
      <c r="AN8" s="265" t="s">
        <v>45</v>
      </c>
      <c r="AO8" s="265" t="s">
        <v>46</v>
      </c>
      <c r="AP8" s="265" t="s">
        <v>333</v>
      </c>
      <c r="AQ8" s="265" t="s">
        <v>334</v>
      </c>
      <c r="AR8" s="265" t="s">
        <v>332</v>
      </c>
      <c r="AS8" s="265"/>
      <c r="AT8" s="265"/>
      <c r="AU8" s="29" t="s">
        <v>337</v>
      </c>
      <c r="AV8" s="29" t="s">
        <v>338</v>
      </c>
      <c r="AW8" s="29" t="s">
        <v>339</v>
      </c>
      <c r="AX8" s="29"/>
      <c r="AY8" s="29"/>
      <c r="AZ8" s="29"/>
      <c r="BA8" s="138" t="str">
        <f>AH10</f>
        <v>Paris Saint-Germain</v>
      </c>
      <c r="BB8" s="140" t="str">
        <f>AH12</f>
        <v>Atlético de Madrid</v>
      </c>
      <c r="BC8" s="140" t="str">
        <f>AH14</f>
        <v>Botafogo</v>
      </c>
      <c r="BD8" s="140" t="str">
        <f>AH16</f>
        <v>Seattle Sounders</v>
      </c>
    </row>
    <row r="9" spans="1:56" s="30" customFormat="1" ht="10.15" customHeight="1" x14ac:dyDescent="0.25">
      <c r="B9" s="163" t="str" cm="1">
        <f t="array" ref="B9:B21">_xlfn.REDUCE("",_xlfn.TAKE(_xlfn._xlws.FILTER(Aux!M:T,Aux!T:T=AH6),,1),_xlfn.LAMBDA(_xlpm.t,_xlpm.p,_xlfn.VSTACK(_xlpm.t,_xlpm.p,"")))</f>
        <v/>
      </c>
      <c r="C9" s="96"/>
      <c r="D9" s="97"/>
      <c r="E9" s="99"/>
      <c r="F9" s="99"/>
      <c r="G9" s="98"/>
      <c r="H9" s="98"/>
      <c r="I9" s="98"/>
      <c r="J9" s="99"/>
      <c r="K9" s="99"/>
      <c r="L9" s="99"/>
      <c r="M9" s="99"/>
      <c r="N9" s="99"/>
      <c r="O9" s="100"/>
      <c r="P9" s="100"/>
      <c r="Q9" s="100"/>
      <c r="R9" s="101"/>
      <c r="S9"/>
      <c r="T9" s="20"/>
      <c r="U9" s="88"/>
      <c r="V9" s="89"/>
      <c r="W9" s="21"/>
      <c r="X9" s="22"/>
      <c r="Y9" s="22"/>
      <c r="Z9" s="22"/>
      <c r="AA9" s="23"/>
      <c r="AB9" s="23"/>
      <c r="AC9" s="23"/>
      <c r="AD9" s="33"/>
      <c r="AE9" s="39"/>
      <c r="AF9" s="46"/>
      <c r="AG9" s="46"/>
      <c r="AH9" s="174"/>
      <c r="AI9" s="175"/>
      <c r="AJ9" s="176"/>
      <c r="AK9" s="175"/>
      <c r="AL9" s="175"/>
      <c r="AM9" s="175"/>
      <c r="AN9" s="139"/>
      <c r="AO9" s="139"/>
      <c r="AP9" s="29"/>
      <c r="AQ9" s="29"/>
      <c r="AR9" s="29"/>
      <c r="AS9" s="139"/>
      <c r="AT9" s="139"/>
      <c r="AU9" s="139"/>
      <c r="AV9" s="29"/>
      <c r="AW9" s="29"/>
      <c r="AX9" s="29"/>
      <c r="AY9" s="29"/>
      <c r="AZ9" s="29"/>
      <c r="BA9" s="138"/>
      <c r="BB9" s="140"/>
      <c r="BC9" s="140"/>
      <c r="BD9" s="140"/>
    </row>
    <row r="10" spans="1:56" s="30" customFormat="1" ht="22.15" customHeight="1" x14ac:dyDescent="0.25">
      <c r="B10" s="164">
        <v>3</v>
      </c>
      <c r="C10" s="7">
        <f>VLOOKUP(B10,Aux!M:AH,4,0)</f>
        <v>45823.875</v>
      </c>
      <c r="D10" s="8">
        <f>VLOOKUP(B10,Aux!M:AH,4,0)</f>
        <v>45823.875</v>
      </c>
      <c r="E10" s="102"/>
      <c r="F10" s="102" t="e" vm="12">
        <f>IFERROR(VLOOKUP(G10,Aux!$A:$X,8,0),"")</f>
        <v>#VALUE!</v>
      </c>
      <c r="G10" s="157" t="str">
        <f>VLOOKUP(B10,Aux!M:Y,5,0)</f>
        <v>Paris Saint-Germain</v>
      </c>
      <c r="H10" s="154" t="e" vm="13">
        <f>IFERROR(VLOOKUP(G10,Aux!$A:$C,3,0),"")</f>
        <v>#VALUE!</v>
      </c>
      <c r="I10" s="154"/>
      <c r="J10" s="203">
        <v>1</v>
      </c>
      <c r="K10" s="145" t="s">
        <v>40</v>
      </c>
      <c r="L10" s="203">
        <v>1</v>
      </c>
      <c r="M10" s="16"/>
      <c r="N10" s="154" t="e" vm="14">
        <f>IFERROR(VLOOKUP(O10,Aux!$A:$C,3,0),"")</f>
        <v>#VALUE!</v>
      </c>
      <c r="O10" s="155" t="str">
        <f>VLOOKUP(B10,Aux!M:Y,6,0)</f>
        <v>Atlético de Madrid</v>
      </c>
      <c r="P10" s="102" t="e" vm="15">
        <f>IFERROR(VLOOKUP(O10,Aux!$A:$X,8,0),"")</f>
        <v>#VALUE!</v>
      </c>
      <c r="Q10" s="16"/>
      <c r="R10" s="24" t="str">
        <f>VLOOKUP(B10,Aux!M:Y,7,0)</f>
        <v>Rose Bowl</v>
      </c>
      <c r="S10"/>
      <c r="T10" s="240" t="str">
        <f>INDEX($AH$10:$AH$17,MATCH(1,$AY$10:$AY$16,0))</f>
        <v>Paris Saint-Germain</v>
      </c>
      <c r="U10" s="91" t="e" vm="13">
        <f>IFERROR(VLOOKUP(T10,Aux!A:C,3,0),"")</f>
        <v>#VALUE!</v>
      </c>
      <c r="V10" s="92"/>
      <c r="W10" s="93">
        <f>VLOOKUP($T10,$AH$10:$AO$16,3,0)</f>
        <v>7</v>
      </c>
      <c r="X10" s="94">
        <f>VLOOKUP($T10,$AH$10:$AO$16,4,0)</f>
        <v>2</v>
      </c>
      <c r="Y10" s="94">
        <f>VLOOKUP($T10,$AH$10:$AO$16,5,0)</f>
        <v>1</v>
      </c>
      <c r="Z10" s="94">
        <f>VLOOKUP($T10,$AH$10:$AO$16,6,0)</f>
        <v>0</v>
      </c>
      <c r="AA10" s="95">
        <f>VLOOKUP($T10,$AH$10:$AO$16,7,0)</f>
        <v>7</v>
      </c>
      <c r="AB10" s="95">
        <f>VLOOKUP($T10,$AH$10:$AO$16,8,0)</f>
        <v>1</v>
      </c>
      <c r="AC10" s="95">
        <f>AA10-AB10</f>
        <v>6</v>
      </c>
      <c r="AD10" s="33"/>
      <c r="AE10" s="47"/>
      <c r="AF10" s="45"/>
      <c r="AG10" s="45">
        <v>1</v>
      </c>
      <c r="AH10" s="177" t="str">
        <f>VLOOKUP($AH$6&amp;AG10,Aux!Z:AA,2,0)</f>
        <v>Paris Saint-Germain</v>
      </c>
      <c r="AI10" s="45">
        <f>AK10+AL10+AM10</f>
        <v>3</v>
      </c>
      <c r="AJ10" s="45">
        <f>AK10*3+AL10</f>
        <v>7</v>
      </c>
      <c r="AK10" s="45" cm="1">
        <f t="array" ref="AK10">SUM(($G$10:$G$23=$AH10)*($J$10:$J$23&gt;$L$10:$L$23)+($O$10:$O$23=$AH10)*($J$10:$J$23&lt;$L$10:$L$23))</f>
        <v>2</v>
      </c>
      <c r="AL10" s="45" cm="1">
        <f t="array" ref="AL10">SUM(($G$10:$G$23=$AH10)*($J$10:$J$23=$L$10:$L$23)*($J$10:$J$23&lt;&gt;"")+($O$10:$O$23=$AH10)*($J$10:$J$23=$L$10:$L$23)*($J$10:$J$23&lt;&gt;""))</f>
        <v>1</v>
      </c>
      <c r="AM10" s="45" cm="1">
        <f t="array" ref="AM10">SUM(($G$10:$G$23=$AH10)*($J$10:$J$23&lt;$L$10:$L$23)+($O$10:$O$23=$AH10)*($J$10:$J$23&gt;$L$10:$L$23))</f>
        <v>0</v>
      </c>
      <c r="AN10" s="29" cm="1">
        <f t="array" ref="AN10">SUM(($G$10:$G$23=$AH10)*($J$10:$J$23)+($O$10:$O$23=$AH10)*($L$10:$L$23))</f>
        <v>7</v>
      </c>
      <c r="AO10" s="29" cm="1">
        <f t="array" ref="AO10">SUM(($G$10:$G$23=$AH10)*($L$10:$L$23)+($O$10:$O$23=$AH10)*($J$10:$J$23))</f>
        <v>1</v>
      </c>
      <c r="AP10" s="141">
        <f>AN10-AO10</f>
        <v>6</v>
      </c>
      <c r="AQ10" s="138">
        <v>0</v>
      </c>
      <c r="AR10" s="141">
        <f>+AW10+AV10+AU10</f>
        <v>7.1001100099999999</v>
      </c>
      <c r="AS10" s="29"/>
      <c r="AT10" s="29"/>
      <c r="AU10" s="141">
        <f>+AJ10</f>
        <v>7</v>
      </c>
      <c r="AV10" s="141">
        <f>SUMIFS($BA10:$BD10,$BA$6:$BD$6,AJ10)/1000</f>
        <v>0.10001</v>
      </c>
      <c r="AW10" s="141">
        <f>SUMIFS($BA10:$BD10,$BA$5:$BD$5,AV10)/1000000</f>
        <v>1.0001E-4</v>
      </c>
      <c r="AX10" s="29">
        <f>_xlfn.RANK.EQ(AJ10,$AJ$10:$AJ$16)+_xlfn.RANK.EQ(AR10,$AR$10:$AR$16)/10+_xlfn.RANK.EQ(AP10,$AP$10:$AP$16)/1000+_xlfn.RANK.EQ(AN10,$AN$10:$AN$16)/100000+_xlfn.RANK.EQ(AQ10,$AQ$10:$AQ$16)/100000+ROW()/1000000</f>
        <v>1.1010300000000002</v>
      </c>
      <c r="AY10" s="29">
        <f>_xlfn.RANK.EQ(AX10,$AX$10:$AX$16,1)</f>
        <v>1</v>
      </c>
      <c r="AZ10" s="29"/>
      <c r="BA10" s="29" cm="1">
        <f t="array" ref="BA10">(SUM(($G$10:$G$23=$AH10)*($J$10:$J$23&gt;$L$10:$L$23)*($O$10:$O$23=BA$8)+($O$10:$O$23=$AH10)*($J$10:$J$23&lt;$L$10:$L$23)*($G$10:$G$23=BA$8)))*300+
(SUM(($G$10:$G$23=$AH10)*($J$10:$J$23=$L$10:$L$23)*($O$10:$O$23=BA$8)+($O$10:$O$23=$AH10)*($J$10:$J$23=$L$10:$L$23)*($G$10:$G$23=BA$8)))*100
+SUM(($G$10:$G$23=$AH10)*($J$10:$J$23)*($O$10:$O$23=BA$8)+($O$10:$O$23=$AH10)*($L$10:$L$23)*($G$10:$G$23=BA$8))
-SUM(($G$10:$G$23=$AH10)*($L$10:$L$23)*($O$10:$O$23=BA$8)+($O$10:$O$23=$AH10)*($J$10:$J$23)*($G$10:$G$23=BA$8))
+SUM(($G$10:$G$23=$AH10)*($J$10:$J$23)*($O$10:$O$23=BA$8)+($O$10:$O$23=$AH10)*($L$10:$L$23)*($G$10:$G$23=BA$8))/100</f>
        <v>0</v>
      </c>
      <c r="BB10" s="29" cm="1">
        <f t="array" ref="BB10">(SUM(($G$10:$G$23=$AH10)*($J$10:$J$23&gt;$L$10:$L$23)*($O$10:$O$23=BB$8)+($O$10:$O$23=$AH10)*($J$10:$J$23&lt;$L$10:$L$23)*($G$10:$G$23=BB$8)))*300+
(SUM(($G$10:$G$23=$AH10)*($J$10:$J$23=$L$10:$L$23)*($O$10:$O$23=BB$8)+($O$10:$O$23=$AH10)*($J$10:$J$23=$L$10:$L$23)*($G$10:$G$23=BB$8)))*100
+SUM(($G$10:$G$23=$AH10)*($J$10:$J$23)*($O$10:$O$23=BB$8)+($O$10:$O$23=$AH10)*($L$10:$L$23)*($G$10:$G$23=BB$8))
-SUM(($G$10:$G$23=$AH10)*($L$10:$L$23)*($O$10:$O$23=BB$8)+($O$10:$O$23=$AH10)*($J$10:$J$23)*($G$10:$G$23=BB$8))
+SUM(($G$10:$G$23=$AH10)*($J$10:$J$23)*($O$10:$O$23=BB$8)+($O$10:$O$23=$AH10)*($L$10:$L$23)*($G$10:$G$23=BB$8))/100</f>
        <v>100.01</v>
      </c>
      <c r="BC10" s="29" cm="1">
        <f t="array" ref="BC10">(SUM(($G$10:$G$23=$AH10)*($J$10:$J$23&gt;$L$10:$L$23)*($O$10:$O$23=BC$8)+($O$10:$O$23=$AH10)*($J$10:$J$23&lt;$L$10:$L$23)*($G$10:$G$23=BC$8)))*300+
(SUM(($G$10:$G$23=$AH10)*($J$10:$J$23=$L$10:$L$23)*($O$10:$O$23=BC$8)+($O$10:$O$23=$AH10)*($J$10:$J$23=$L$10:$L$23)*($G$10:$G$23=BC$8)))*100
+SUM(($G$10:$G$23=$AH10)*($J$10:$J$23)*($O$10:$O$23=BC$8)+($O$10:$O$23=$AH10)*($L$10:$L$23)*($G$10:$G$23=BC$8))
-SUM(($G$10:$G$23=$AH10)*($L$10:$L$23)*($O$10:$O$23=BC$8)+($O$10:$O$23=$AH10)*($J$10:$J$23)*($G$10:$G$23=BC$8))
+SUM(($G$10:$G$23=$AH10)*($J$10:$J$23)*($O$10:$O$23=BC$8)+($O$10:$O$23=$AH10)*($L$10:$L$23)*($G$10:$G$23=BC$8))/100</f>
        <v>302.02</v>
      </c>
      <c r="BD10" s="29" cm="1">
        <f t="array" ref="BD10">(SUM(($G$10:$G$23=$AH10)*($J$10:$J$23&gt;$L$10:$L$23)*($O$10:$O$23=BD$8)+($O$10:$O$23=$AH10)*($J$10:$J$23&lt;$L$10:$L$23)*($G$10:$G$23=BD$8)))*300+
(SUM(($G$10:$G$23=$AH10)*($J$10:$J$23=$L$10:$L$23)*($O$10:$O$23=BD$8)+($O$10:$O$23=$AH10)*($J$10:$J$23=$L$10:$L$23)*($G$10:$G$23=BD$8)))*100
+SUM(($G$10:$G$23=$AH10)*($J$10:$J$23)*($O$10:$O$23=BD$8)+($O$10:$O$23=$AH10)*($L$10:$L$23)*($G$10:$G$23=BD$8))
-SUM(($G$10:$G$23=$AH10)*($L$10:$L$23)*($O$10:$O$23=BD$8)+($O$10:$O$23=$AH10)*($J$10:$J$23)*($G$10:$G$23=BD$8))
+SUM(($G$10:$G$23=$AH10)*($J$10:$J$23)*($O$10:$O$23=BD$8)+($O$10:$O$23=$AH10)*($L$10:$L$23)*($G$10:$G$23=BD$8))/100</f>
        <v>304.04000000000002</v>
      </c>
    </row>
    <row r="11" spans="1:56" s="30" customFormat="1" ht="10.15" customHeight="1" x14ac:dyDescent="0.25">
      <c r="B11" s="164" t="str">
        <v/>
      </c>
      <c r="C11" s="7"/>
      <c r="D11" s="8"/>
      <c r="E11" s="102"/>
      <c r="F11" s="102"/>
      <c r="G11" s="157"/>
      <c r="H11" s="9"/>
      <c r="I11" s="9"/>
      <c r="J11" s="154"/>
      <c r="K11" s="9"/>
      <c r="L11" s="154"/>
      <c r="M11" s="16"/>
      <c r="N11" s="154"/>
      <c r="O11" s="155"/>
      <c r="P11" s="16"/>
      <c r="Q11" s="16"/>
      <c r="R11" s="24"/>
      <c r="S11"/>
      <c r="T11" s="240"/>
      <c r="U11" s="91"/>
      <c r="V11" s="92"/>
      <c r="W11" s="93"/>
      <c r="X11" s="94"/>
      <c r="Y11" s="94"/>
      <c r="Z11" s="94"/>
      <c r="AA11" s="95"/>
      <c r="AB11" s="95"/>
      <c r="AC11" s="95"/>
      <c r="AD11" s="33"/>
      <c r="AE11" s="47"/>
      <c r="AF11" s="45"/>
      <c r="AG11" s="45"/>
      <c r="AH11" s="177"/>
      <c r="AI11" s="45"/>
      <c r="AJ11" s="45"/>
      <c r="AK11" s="45"/>
      <c r="AL11" s="45"/>
      <c r="AM11" s="45"/>
      <c r="AN11" s="29"/>
      <c r="AO11" s="29"/>
      <c r="AP11" s="141"/>
      <c r="AQ11" s="138"/>
      <c r="AR11" s="141"/>
      <c r="AS11" s="29"/>
      <c r="AT11" s="29"/>
      <c r="AU11" s="29"/>
      <c r="AV11" s="141"/>
      <c r="AW11" s="141"/>
      <c r="AX11" s="29"/>
      <c r="AY11" s="29"/>
      <c r="AZ11" s="29"/>
      <c r="BA11" s="29"/>
      <c r="BB11" s="29"/>
      <c r="BC11" s="29"/>
      <c r="BD11" s="29"/>
    </row>
    <row r="12" spans="1:56" s="30" customFormat="1" ht="22.15" customHeight="1" x14ac:dyDescent="0.25">
      <c r="B12" s="164">
        <v>5</v>
      </c>
      <c r="C12" s="7">
        <f>VLOOKUP(B12,Aux!M:AH,4,0)</f>
        <v>45824.166666666664</v>
      </c>
      <c r="D12" s="8">
        <f>VLOOKUP(B12,Aux!M:AH,4,0)</f>
        <v>45824.166666666664</v>
      </c>
      <c r="E12" s="102"/>
      <c r="F12" s="102" t="e" vm="9">
        <f>IFERROR(VLOOKUP(G12,Aux!$A:$X,8,0),"")</f>
        <v>#VALUE!</v>
      </c>
      <c r="G12" s="157" t="str">
        <f>VLOOKUP(B12,Aux!M:Y,5,0)</f>
        <v>Botafogo</v>
      </c>
      <c r="H12" s="154" t="e" vm="16">
        <f>IFERROR(VLOOKUP(G12,Aux!$A:$C,3,0),"")</f>
        <v>#VALUE!</v>
      </c>
      <c r="I12" s="154"/>
      <c r="J12" s="203">
        <v>2</v>
      </c>
      <c r="K12" s="145" t="s">
        <v>40</v>
      </c>
      <c r="L12" s="203">
        <v>0</v>
      </c>
      <c r="M12" s="16"/>
      <c r="N12" s="154" t="e" vm="17">
        <f>IFERROR(VLOOKUP(O12,Aux!$A:$C,3,0),"")</f>
        <v>#VALUE!</v>
      </c>
      <c r="O12" s="155" t="str">
        <f>VLOOKUP(B12,Aux!M:Y,6,0)</f>
        <v>Seattle Sounders</v>
      </c>
      <c r="P12" s="102" t="e" vm="1">
        <f>IFERROR(VLOOKUP(O12,Aux!$A:$X,8,0),"")</f>
        <v>#VALUE!</v>
      </c>
      <c r="Q12" s="16"/>
      <c r="R12" s="24" t="str">
        <f>VLOOKUP(B12,Aux!M:Y,7,0)</f>
        <v>Lumen Field</v>
      </c>
      <c r="S12"/>
      <c r="T12" s="240" t="str">
        <f>INDEX($AH$10:$AH$17,MATCH(2,$AY$10:$AY$16,0))</f>
        <v>Atlético de Madrid</v>
      </c>
      <c r="U12" s="91" t="e" vm="14">
        <f>IFERROR(VLOOKUP(T12,Aux!A:C,3,0),"")</f>
        <v>#VALUE!</v>
      </c>
      <c r="V12" s="92"/>
      <c r="W12" s="93">
        <f>VLOOKUP($T12,$AH$10:$AO$16,3,0)</f>
        <v>7</v>
      </c>
      <c r="X12" s="94">
        <f>VLOOKUP($T12,$AH$10:$AO$16,4,0)</f>
        <v>2</v>
      </c>
      <c r="Y12" s="94">
        <f>VLOOKUP($T12,$AH$10:$AO$16,5,0)</f>
        <v>1</v>
      </c>
      <c r="Z12" s="94">
        <f>VLOOKUP($T12,$AH$10:$AO$16,6,0)</f>
        <v>0</v>
      </c>
      <c r="AA12" s="95">
        <f>VLOOKUP($T12,$AH$10:$AO$16,7,0)</f>
        <v>4</v>
      </c>
      <c r="AB12" s="95">
        <f>VLOOKUP($T12,$AH$10:$AO$16,8,0)</f>
        <v>2</v>
      </c>
      <c r="AC12" s="95">
        <f>AA12-AB12</f>
        <v>2</v>
      </c>
      <c r="AD12" s="33"/>
      <c r="AE12" s="39"/>
      <c r="AF12" s="46"/>
      <c r="AG12" s="45">
        <v>2</v>
      </c>
      <c r="AH12" s="177" t="str">
        <f>VLOOKUP($AH$6&amp;AG12,Aux!Z:AA,2,0)</f>
        <v>Atlético de Madrid</v>
      </c>
      <c r="AI12" s="45">
        <f>AK12+AL12+AM12</f>
        <v>3</v>
      </c>
      <c r="AJ12" s="45">
        <f>AK12*3+AL12</f>
        <v>7</v>
      </c>
      <c r="AK12" s="45" cm="1">
        <f t="array" ref="AK12">SUM(($G$10:$G$23=$AH12)*($J$10:$J$23&gt;$L$10:$L$23)+($O$10:$O$23=$AH12)*($J$10:$J$23&lt;$L$10:$L$23))</f>
        <v>2</v>
      </c>
      <c r="AL12" s="45" cm="1">
        <f t="array" ref="AL12">SUM(($G$10:$G$23=$AH12)*($J$10:$J$23=$L$10:$L$23)*($J$10:$J$23&lt;&gt;"")+($O$10:$O$23=$AH12)*($J$10:$J$23=$L$10:$L$23)*($J$10:$J$23&lt;&gt;""))</f>
        <v>1</v>
      </c>
      <c r="AM12" s="45" cm="1">
        <f t="array" ref="AM12">SUM(($G$10:$G$23=$AH12)*($J$10:$J$23&lt;$L$10:$L$23)+($O$10:$O$23=$AH12)*($J$10:$J$23&gt;$L$10:$L$23))</f>
        <v>0</v>
      </c>
      <c r="AN12" s="29" cm="1">
        <f t="array" ref="AN12">SUM(($G$10:$G$23=$AH12)*($J$10:$J$23)+($O$10:$O$23=$AH12)*($L$10:$L$23))</f>
        <v>4</v>
      </c>
      <c r="AO12" s="29" cm="1">
        <f t="array" ref="AO12">SUM(($G$10:$G$23=$AH12)*($L$10:$L$23)+($O$10:$O$23=$AH12)*($J$10:$J$23))</f>
        <v>2</v>
      </c>
      <c r="AP12" s="141">
        <f>AN12-AO12</f>
        <v>2</v>
      </c>
      <c r="AQ12" s="138">
        <v>0</v>
      </c>
      <c r="AR12" s="141">
        <f>+AW12+AV12+AU12</f>
        <v>7.1001100099999999</v>
      </c>
      <c r="AS12" s="29"/>
      <c r="AT12" s="29"/>
      <c r="AU12" s="141">
        <f>+AJ12</f>
        <v>7</v>
      </c>
      <c r="AV12" s="141">
        <f>SUMIFS($BA12:$BD12,$BA$6:$BD$6,AJ12)/1000</f>
        <v>0.10001</v>
      </c>
      <c r="AW12" s="141">
        <f>SUMIFS($BA12:$BD12,$BA$5:$BD$5,AV12)/1000000</f>
        <v>1.0001E-4</v>
      </c>
      <c r="AX12" s="29">
        <f>_xlfn.RANK.EQ(AJ12,$AJ$10:$AJ$16)+_xlfn.RANK.EQ(AR12,$AR$10:$AR$16)/10+_xlfn.RANK.EQ(AP12,$AP$10:$AP$16)/1000+_xlfn.RANK.EQ(AN12,$AN$10:$AN$16)/100000+_xlfn.RANK.EQ(AQ12,$AQ$10:$AQ$16)/100000+ROW()/1000000</f>
        <v>1.102042</v>
      </c>
      <c r="AY12" s="29">
        <f>_xlfn.RANK.EQ(AX12,$AX$10:$AX$16,1)</f>
        <v>2</v>
      </c>
      <c r="AZ12" s="29"/>
      <c r="BA12" s="29" cm="1">
        <f t="array" ref="BA12">(SUM(($G$10:$G$23=$AH12)*($J$10:$J$23&gt;$L$10:$L$23)*($O$10:$O$23=BA$8)+($O$10:$O$23=$AH12)*($J$10:$J$23&lt;$L$10:$L$23)*($G$10:$G$23=BA$8)))*300+
(SUM(($G$10:$G$23=$AH12)*($J$10:$J$23=$L$10:$L$23)*($O$10:$O$23=BA$8)+($O$10:$O$23=$AH12)*($J$10:$J$23=$L$10:$L$23)*($G$10:$G$23=BA$8)))*100
+SUM(($G$10:$G$23=$AH12)*($J$10:$J$23)*($O$10:$O$23=BA$8)+($O$10:$O$23=$AH12)*($L$10:$L$23)*($G$10:$G$23=BA$8))
-SUM(($G$10:$G$23=$AH12)*($L$10:$L$23)*($O$10:$O$23=BA$8)+($O$10:$O$23=$AH12)*($J$10:$J$23)*($G$10:$G$23=BA$8))
+SUM(($G$10:$G$23=$AH12)*($J$10:$J$23)*($O$10:$O$23=BA$8)+($O$10:$O$23=$AH12)*($L$10:$L$23)*($G$10:$G$23=BA$8))/100</f>
        <v>100.01</v>
      </c>
      <c r="BB12" s="29" cm="1">
        <f t="array" ref="BB12">(SUM(($G$10:$G$23=$AH12)*($J$10:$J$23&gt;$L$10:$L$23)*($O$10:$O$23=BB$8)+($O$10:$O$23=$AH12)*($J$10:$J$23&lt;$L$10:$L$23)*($G$10:$G$23=BB$8)))*300+
(SUM(($G$10:$G$23=$AH12)*($J$10:$J$23=$L$10:$L$23)*($O$10:$O$23=BB$8)+($O$10:$O$23=$AH12)*($J$10:$J$23=$L$10:$L$23)*($G$10:$G$23=BB$8)))*100
+SUM(($G$10:$G$23=$AH12)*($J$10:$J$23)*($O$10:$O$23=BB$8)+($O$10:$O$23=$AH12)*($L$10:$L$23)*($G$10:$G$23=BB$8))
-SUM(($G$10:$G$23=$AH12)*($L$10:$L$23)*($O$10:$O$23=BB$8)+($O$10:$O$23=$AH12)*($J$10:$J$23)*($G$10:$G$23=BB$8))
+SUM(($G$10:$G$23=$AH12)*($J$10:$J$23)*($O$10:$O$23=BB$8)+($O$10:$O$23=$AH12)*($L$10:$L$23)*($G$10:$G$23=BB$8))/100</f>
        <v>0</v>
      </c>
      <c r="BC12" s="29" cm="1">
        <f t="array" ref="BC12">(SUM(($G$10:$G$23=$AH12)*($J$10:$J$23&gt;$L$10:$L$23)*($O$10:$O$23=BC$8)+($O$10:$O$23=$AH12)*($J$10:$J$23&lt;$L$10:$L$23)*($G$10:$G$23=BC$8)))*300+
(SUM(($G$10:$G$23=$AH12)*($J$10:$J$23=$L$10:$L$23)*($O$10:$O$23=BC$8)+($O$10:$O$23=$AH12)*($J$10:$J$23=$L$10:$L$23)*($G$10:$G$23=BC$8)))*100
+SUM(($G$10:$G$23=$AH12)*($J$10:$J$23)*($O$10:$O$23=BC$8)+($O$10:$O$23=$AH12)*($L$10:$L$23)*($G$10:$G$23=BC$8))
-SUM(($G$10:$G$23=$AH12)*($L$10:$L$23)*($O$10:$O$23=BC$8)+($O$10:$O$23=$AH12)*($J$10:$J$23)*($G$10:$G$23=BC$8))
+SUM(($G$10:$G$23=$AH12)*($J$10:$J$23)*($O$10:$O$23=BC$8)+($O$10:$O$23=$AH12)*($L$10:$L$23)*($G$10:$G$23=BC$8))/100</f>
        <v>301.01</v>
      </c>
      <c r="BD12" s="29" cm="1">
        <f t="array" ref="BD12">(SUM(($G$10:$G$23=$AH12)*($J$10:$J$23&gt;$L$10:$L$23)*($O$10:$O$23=BD$8)+($O$10:$O$23=$AH12)*($J$10:$J$23&lt;$L$10:$L$23)*($G$10:$G$23=BD$8)))*300+
(SUM(($G$10:$G$23=$AH12)*($J$10:$J$23=$L$10:$L$23)*($O$10:$O$23=BD$8)+($O$10:$O$23=$AH12)*($J$10:$J$23=$L$10:$L$23)*($G$10:$G$23=BD$8)))*100
+SUM(($G$10:$G$23=$AH12)*($J$10:$J$23)*($O$10:$O$23=BD$8)+($O$10:$O$23=$AH12)*($L$10:$L$23)*($G$10:$G$23=BD$8))
-SUM(($G$10:$G$23=$AH12)*($L$10:$L$23)*($O$10:$O$23=BD$8)+($O$10:$O$23=$AH12)*($J$10:$J$23)*($G$10:$G$23=BD$8))
+SUM(($G$10:$G$23=$AH12)*($J$10:$J$23)*($O$10:$O$23=BD$8)+($O$10:$O$23=$AH12)*($L$10:$L$23)*($G$10:$G$23=BD$8))/100</f>
        <v>301.02</v>
      </c>
    </row>
    <row r="13" spans="1:56" s="30" customFormat="1" ht="10.15" customHeight="1" x14ac:dyDescent="0.25">
      <c r="B13" s="164" t="str">
        <v/>
      </c>
      <c r="C13" s="10"/>
      <c r="D13" s="11"/>
      <c r="E13" s="103"/>
      <c r="F13" s="103"/>
      <c r="G13" s="158"/>
      <c r="H13" s="12"/>
      <c r="I13" s="12"/>
      <c r="J13" s="145"/>
      <c r="K13" s="145"/>
      <c r="L13" s="145"/>
      <c r="M13" s="16"/>
      <c r="N13" s="154"/>
      <c r="O13" s="156"/>
      <c r="P13" s="17"/>
      <c r="Q13" s="17"/>
      <c r="R13" s="25"/>
      <c r="S13"/>
      <c r="T13" s="240"/>
      <c r="U13" s="91"/>
      <c r="V13" s="92"/>
      <c r="W13" s="93"/>
      <c r="X13" s="94"/>
      <c r="Y13" s="94"/>
      <c r="Z13" s="94"/>
      <c r="AA13" s="95"/>
      <c r="AB13" s="95"/>
      <c r="AC13" s="95"/>
      <c r="AD13" s="33"/>
      <c r="AE13" s="39"/>
      <c r="AF13" s="46"/>
      <c r="AG13" s="45"/>
      <c r="AH13" s="177"/>
      <c r="AI13" s="45"/>
      <c r="AJ13" s="45"/>
      <c r="AK13" s="45"/>
      <c r="AL13" s="45"/>
      <c r="AM13" s="45"/>
      <c r="AN13" s="29"/>
      <c r="AO13" s="29"/>
      <c r="AP13" s="141"/>
      <c r="AQ13" s="138"/>
      <c r="AR13" s="141"/>
      <c r="AS13" s="29"/>
      <c r="AT13" s="29"/>
      <c r="AU13" s="29"/>
      <c r="AV13" s="141"/>
      <c r="AW13" s="141"/>
      <c r="AX13" s="29"/>
      <c r="AY13" s="29"/>
      <c r="AZ13" s="29"/>
      <c r="BA13" s="29"/>
      <c r="BB13" s="29"/>
      <c r="BC13" s="29"/>
      <c r="BD13" s="29"/>
    </row>
    <row r="14" spans="1:56" s="30" customFormat="1" ht="22.15" customHeight="1" x14ac:dyDescent="0.25">
      <c r="B14" s="164">
        <v>19</v>
      </c>
      <c r="C14" s="7">
        <f>VLOOKUP(B14,Aux!M:AH,4,0)</f>
        <v>45828</v>
      </c>
      <c r="D14" s="8">
        <f>VLOOKUP(B14,Aux!M:AH,4,0)</f>
        <v>45828</v>
      </c>
      <c r="E14" s="102"/>
      <c r="F14" s="102" t="e" vm="1">
        <f>IFERROR(VLOOKUP(G14,Aux!$A:$X,8,0),"")</f>
        <v>#VALUE!</v>
      </c>
      <c r="G14" s="157" t="str">
        <f>VLOOKUP(B14,Aux!M:Y,5,0)</f>
        <v>Seattle Sounders</v>
      </c>
      <c r="H14" s="154" t="e" vm="17">
        <f>IFERROR(VLOOKUP(G14,Aux!$A:$C,3,0),"")</f>
        <v>#VALUE!</v>
      </c>
      <c r="I14" s="154"/>
      <c r="J14" s="203">
        <v>1</v>
      </c>
      <c r="K14" s="145" t="s">
        <v>40</v>
      </c>
      <c r="L14" s="203">
        <v>2</v>
      </c>
      <c r="M14" s="16"/>
      <c r="N14" s="154" t="e" vm="14">
        <f>IFERROR(VLOOKUP(O14,Aux!$A:$C,3,0),"")</f>
        <v>#VALUE!</v>
      </c>
      <c r="O14" s="155" t="str">
        <f>VLOOKUP(B14,Aux!M:Y,6,0)</f>
        <v>Atlético de Madrid</v>
      </c>
      <c r="P14" s="102" t="e" vm="15">
        <f>IFERROR(VLOOKUP(O14,Aux!$A:$X,8,0),"")</f>
        <v>#VALUE!</v>
      </c>
      <c r="Q14" s="16"/>
      <c r="R14" s="24" t="str">
        <f>VLOOKUP(B14,Aux!M:Y,7,0)</f>
        <v>Lumen Field</v>
      </c>
      <c r="S14"/>
      <c r="T14" s="240" t="str">
        <f>INDEX($AH$10:$AH$17,MATCH(3,$AY$10:$AY$16,0))</f>
        <v>Botafogo</v>
      </c>
      <c r="U14" s="91" t="e" vm="16">
        <f>IFERROR(VLOOKUP(T14,Aux!A:C,3,0),"")</f>
        <v>#VALUE!</v>
      </c>
      <c r="V14" s="92"/>
      <c r="W14" s="93">
        <f>VLOOKUP($T14,$AH$10:$AO$16,3,0)</f>
        <v>3</v>
      </c>
      <c r="X14" s="94">
        <f>VLOOKUP($T14,$AH$10:$AO$16,4,0)</f>
        <v>1</v>
      </c>
      <c r="Y14" s="94">
        <f>VLOOKUP($T14,$AH$10:$AO$16,5,0)</f>
        <v>0</v>
      </c>
      <c r="Z14" s="94">
        <f>VLOOKUP($T14,$AH$10:$AO$16,6,0)</f>
        <v>2</v>
      </c>
      <c r="AA14" s="95">
        <f>VLOOKUP($T14,$AH$10:$AO$16,7,0)</f>
        <v>2</v>
      </c>
      <c r="AB14" s="95">
        <f>VLOOKUP($T14,$AH$10:$AO$16,8,0)</f>
        <v>3</v>
      </c>
      <c r="AC14" s="95">
        <f>AA14-AB14</f>
        <v>-1</v>
      </c>
      <c r="AD14" s="33"/>
      <c r="AE14" s="47"/>
      <c r="AF14" s="45"/>
      <c r="AG14" s="45">
        <v>3</v>
      </c>
      <c r="AH14" s="177" t="str">
        <f>VLOOKUP($AH$6&amp;AG14,Aux!Z:AA,2,0)</f>
        <v>Botafogo</v>
      </c>
      <c r="AI14" s="45">
        <f>AK14+AL14+AM14</f>
        <v>3</v>
      </c>
      <c r="AJ14" s="45">
        <f>AK14*3+AL14</f>
        <v>3</v>
      </c>
      <c r="AK14" s="45" cm="1">
        <f t="array" ref="AK14">SUM(($G$10:$G$23=$AH14)*($J$10:$J$23&gt;$L$10:$L$23)+($O$10:$O$23=$AH14)*($J$10:$J$23&lt;$L$10:$L$23))</f>
        <v>1</v>
      </c>
      <c r="AL14" s="45" cm="1">
        <f t="array" ref="AL14">SUM(($G$10:$G$23=$AH14)*($J$10:$J$23=$L$10:$L$23)*($J$10:$J$23&lt;&gt;"")+($O$10:$O$23=$AH14)*($J$10:$J$23=$L$10:$L$23)*($J$10:$J$23&lt;&gt;""))</f>
        <v>0</v>
      </c>
      <c r="AM14" s="45" cm="1">
        <f t="array" ref="AM14">SUM(($G$10:$G$23=$AH14)*($J$10:$J$23&lt;$L$10:$L$23)+($O$10:$O$23=$AH14)*($J$10:$J$23&gt;$L$10:$L$23))</f>
        <v>2</v>
      </c>
      <c r="AN14" s="29" cm="1">
        <f t="array" ref="AN14">SUM(($G$10:$G$23=$AH14)*($J$10:$J$23)+($O$10:$O$23=$AH14)*($L$10:$L$23))</f>
        <v>2</v>
      </c>
      <c r="AO14" s="29" cm="1">
        <f t="array" ref="AO14">SUM(($G$10:$G$23=$AH14)*($L$10:$L$23)+($O$10:$O$23=$AH14)*($J$10:$J$23))</f>
        <v>3</v>
      </c>
      <c r="AP14" s="141">
        <f>AN14-AO14</f>
        <v>-1</v>
      </c>
      <c r="AQ14" s="138">
        <v>0</v>
      </c>
      <c r="AR14" s="141">
        <f>+AW14+AV14+AU14</f>
        <v>3.0003020199999999</v>
      </c>
      <c r="AS14" s="29"/>
      <c r="AT14" s="29"/>
      <c r="AU14" s="141">
        <f>+AJ14</f>
        <v>3</v>
      </c>
      <c r="AV14" s="141">
        <f>SUMIFS($BA14:$BD14,$BA$6:$BD$6,AJ14)/1000</f>
        <v>0</v>
      </c>
      <c r="AW14" s="141">
        <f>SUMIFS($BA14:$BD14,$BA$5:$BD$5,AV14)/1000000</f>
        <v>3.0201999999999996E-4</v>
      </c>
      <c r="AX14" s="29">
        <f>_xlfn.RANK.EQ(AJ14,$AJ$10:$AJ$16)+_xlfn.RANK.EQ(AR14,$AR$10:$AR$16)/10+_xlfn.RANK.EQ(AP14,$AP$10:$AP$16)/1000+_xlfn.RANK.EQ(AN14,$AN$10:$AN$16)/100000+_xlfn.RANK.EQ(AQ14,$AQ$10:$AQ$16)/100000+ROW()/1000000</f>
        <v>3.3030540000000004</v>
      </c>
      <c r="AY14" s="29">
        <f>_xlfn.RANK.EQ(AX14,$AX$10:$AX$16,1)</f>
        <v>3</v>
      </c>
      <c r="AZ14" s="29"/>
      <c r="BA14" s="29" cm="1">
        <f t="array" ref="BA14">(SUM(($G$10:$G$23=$AH14)*($J$10:$J$23&gt;$L$10:$L$23)*($O$10:$O$23=BA$8)+($O$10:$O$23=$AH14)*($J$10:$J$23&lt;$L$10:$L$23)*($G$10:$G$23=BA$8)))*300+
(SUM(($G$10:$G$23=$AH14)*($J$10:$J$23=$L$10:$L$23)*($O$10:$O$23=BA$8)+($O$10:$O$23=$AH14)*($J$10:$J$23=$L$10:$L$23)*($G$10:$G$23=BA$8)))*100
+SUM(($G$10:$G$23=$AH14)*($J$10:$J$23)*($O$10:$O$23=BA$8)+($O$10:$O$23=$AH14)*($L$10:$L$23)*($G$10:$G$23=BA$8))
-SUM(($G$10:$G$23=$AH14)*($L$10:$L$23)*($O$10:$O$23=BA$8)+($O$10:$O$23=$AH14)*($J$10:$J$23)*($G$10:$G$23=BA$8))
+SUM(($G$10:$G$23=$AH14)*($J$10:$J$23)*($O$10:$O$23=BA$8)+($O$10:$O$23=$AH14)*($L$10:$L$23)*($G$10:$G$23=BA$8))/100</f>
        <v>-2</v>
      </c>
      <c r="BB14" s="29" cm="1">
        <f t="array" ref="BB14">(SUM(($G$10:$G$23=$AH14)*($J$10:$J$23&gt;$L$10:$L$23)*($O$10:$O$23=BB$8)+($O$10:$O$23=$AH14)*($J$10:$J$23&lt;$L$10:$L$23)*($G$10:$G$23=BB$8)))*300+
(SUM(($G$10:$G$23=$AH14)*($J$10:$J$23=$L$10:$L$23)*($O$10:$O$23=BB$8)+($O$10:$O$23=$AH14)*($J$10:$J$23=$L$10:$L$23)*($G$10:$G$23=BB$8)))*100
+SUM(($G$10:$G$23=$AH14)*($J$10:$J$23)*($O$10:$O$23=BB$8)+($O$10:$O$23=$AH14)*($L$10:$L$23)*($G$10:$G$23=BB$8))
-SUM(($G$10:$G$23=$AH14)*($L$10:$L$23)*($O$10:$O$23=BB$8)+($O$10:$O$23=$AH14)*($J$10:$J$23)*($G$10:$G$23=BB$8))
+SUM(($G$10:$G$23=$AH14)*($J$10:$J$23)*($O$10:$O$23=BB$8)+($O$10:$O$23=$AH14)*($L$10:$L$23)*($G$10:$G$23=BB$8))/100</f>
        <v>-1</v>
      </c>
      <c r="BC14" s="29" cm="1">
        <f t="array" ref="BC14">(SUM(($G$10:$G$23=$AH14)*($J$10:$J$23&gt;$L$10:$L$23)*($O$10:$O$23=BC$8)+($O$10:$O$23=$AH14)*($J$10:$J$23&lt;$L$10:$L$23)*($G$10:$G$23=BC$8)))*300+
(SUM(($G$10:$G$23=$AH14)*($J$10:$J$23=$L$10:$L$23)*($O$10:$O$23=BC$8)+($O$10:$O$23=$AH14)*($J$10:$J$23=$L$10:$L$23)*($G$10:$G$23=BC$8)))*100
+SUM(($G$10:$G$23=$AH14)*($J$10:$J$23)*($O$10:$O$23=BC$8)+($O$10:$O$23=$AH14)*($L$10:$L$23)*($G$10:$G$23=BC$8))
-SUM(($G$10:$G$23=$AH14)*($L$10:$L$23)*($O$10:$O$23=BC$8)+($O$10:$O$23=$AH14)*($J$10:$J$23)*($G$10:$G$23=BC$8))
+SUM(($G$10:$G$23=$AH14)*($J$10:$J$23)*($O$10:$O$23=BC$8)+($O$10:$O$23=$AH14)*($L$10:$L$23)*($G$10:$G$23=BC$8))/100</f>
        <v>0</v>
      </c>
      <c r="BD14" s="29" cm="1">
        <f t="array" ref="BD14">(SUM(($G$10:$G$23=$AH14)*($J$10:$J$23&gt;$L$10:$L$23)*($O$10:$O$23=BD$8)+($O$10:$O$23=$AH14)*($J$10:$J$23&lt;$L$10:$L$23)*($G$10:$G$23=BD$8)))*300+
(SUM(($G$10:$G$23=$AH14)*($J$10:$J$23=$L$10:$L$23)*($O$10:$O$23=BD$8)+($O$10:$O$23=$AH14)*($J$10:$J$23=$L$10:$L$23)*($G$10:$G$23=BD$8)))*100
+SUM(($G$10:$G$23=$AH14)*($J$10:$J$23)*($O$10:$O$23=BD$8)+($O$10:$O$23=$AH14)*($L$10:$L$23)*($G$10:$G$23=BD$8))
-SUM(($G$10:$G$23=$AH14)*($L$10:$L$23)*($O$10:$O$23=BD$8)+($O$10:$O$23=$AH14)*($J$10:$J$23)*($G$10:$G$23=BD$8))
+SUM(($G$10:$G$23=$AH14)*($J$10:$J$23)*($O$10:$O$23=BD$8)+($O$10:$O$23=$AH14)*($L$10:$L$23)*($G$10:$G$23=BD$8))/100</f>
        <v>302.02</v>
      </c>
    </row>
    <row r="15" spans="1:56" s="30" customFormat="1" ht="10.15" customHeight="1" x14ac:dyDescent="0.25">
      <c r="B15" s="164" t="str">
        <v/>
      </c>
      <c r="C15" s="7"/>
      <c r="D15" s="8"/>
      <c r="E15" s="102"/>
      <c r="F15" s="102"/>
      <c r="G15" s="157"/>
      <c r="H15" s="9"/>
      <c r="I15" s="9"/>
      <c r="J15" s="154"/>
      <c r="K15" s="9"/>
      <c r="L15" s="154"/>
      <c r="M15" s="16"/>
      <c r="N15" s="154"/>
      <c r="O15" s="155"/>
      <c r="P15" s="16"/>
      <c r="Q15" s="16"/>
      <c r="R15" s="24"/>
      <c r="S15"/>
      <c r="T15" s="240"/>
      <c r="U15" s="91"/>
      <c r="V15" s="92"/>
      <c r="W15" s="93"/>
      <c r="X15" s="94"/>
      <c r="Y15" s="94"/>
      <c r="Z15" s="94"/>
      <c r="AA15" s="95"/>
      <c r="AB15" s="95"/>
      <c r="AC15" s="95"/>
      <c r="AD15" s="33"/>
      <c r="AE15" s="47"/>
      <c r="AF15" s="45"/>
      <c r="AG15" s="45"/>
      <c r="AH15" s="177"/>
      <c r="AI15" s="45"/>
      <c r="AJ15" s="45"/>
      <c r="AK15" s="45"/>
      <c r="AL15" s="45"/>
      <c r="AM15" s="45"/>
      <c r="AN15" s="29"/>
      <c r="AO15" s="29"/>
      <c r="AP15" s="141"/>
      <c r="AQ15" s="138"/>
      <c r="AR15" s="141"/>
      <c r="AS15" s="29"/>
      <c r="AT15" s="29"/>
      <c r="AU15" s="29"/>
      <c r="AV15" s="141"/>
      <c r="AW15" s="141"/>
      <c r="AX15" s="29"/>
      <c r="AY15" s="29"/>
      <c r="AZ15" s="29"/>
      <c r="BA15" s="29"/>
      <c r="BB15" s="29"/>
      <c r="BC15" s="29"/>
      <c r="BD15" s="29"/>
    </row>
    <row r="16" spans="1:56" s="30" customFormat="1" ht="22.15" customHeight="1" x14ac:dyDescent="0.25">
      <c r="B16" s="164">
        <v>20</v>
      </c>
      <c r="C16" s="7">
        <f>VLOOKUP(B16,Aux!M:AH,4,0)</f>
        <v>45828.125</v>
      </c>
      <c r="D16" s="8">
        <f>VLOOKUP(B16,Aux!M:AH,4,0)</f>
        <v>45828.125</v>
      </c>
      <c r="E16" s="102"/>
      <c r="F16" s="102" t="e" vm="12">
        <f>IFERROR(VLOOKUP(G16,Aux!$A:$X,8,0),"")</f>
        <v>#VALUE!</v>
      </c>
      <c r="G16" s="157" t="str">
        <f>VLOOKUP(B16,Aux!M:Y,5,0)</f>
        <v>Paris Saint-Germain</v>
      </c>
      <c r="H16" s="154" t="e" vm="13">
        <f>IFERROR(VLOOKUP(G16,Aux!$A:$C,3,0),"")</f>
        <v>#VALUE!</v>
      </c>
      <c r="I16" s="154"/>
      <c r="J16" s="203">
        <v>2</v>
      </c>
      <c r="K16" s="145" t="s">
        <v>40</v>
      </c>
      <c r="L16" s="203">
        <v>0</v>
      </c>
      <c r="M16" s="16"/>
      <c r="N16" s="154" t="e" vm="16">
        <f>IFERROR(VLOOKUP(O16,Aux!$A:$C,3,0),"")</f>
        <v>#VALUE!</v>
      </c>
      <c r="O16" s="155" t="str">
        <f>VLOOKUP(B16,Aux!M:Y,6,0)</f>
        <v>Botafogo</v>
      </c>
      <c r="P16" s="102" t="e" vm="9">
        <f>IFERROR(VLOOKUP(O16,Aux!$A:$X,8,0),"")</f>
        <v>#VALUE!</v>
      </c>
      <c r="Q16" s="16"/>
      <c r="R16" s="24" t="str">
        <f>VLOOKUP(B16,Aux!M:Y,7,0)</f>
        <v>Rose Bowl</v>
      </c>
      <c r="S16"/>
      <c r="T16" s="240" t="str">
        <f>INDEX($AH$10:$AH$17,MATCH(4,$AY$10:$AY$16,0))</f>
        <v>Seattle Sounders</v>
      </c>
      <c r="U16" s="91" t="e" vm="17">
        <f>IFERROR(VLOOKUP(T16,Aux!A:C,3,0),"")</f>
        <v>#VALUE!</v>
      </c>
      <c r="V16" s="92"/>
      <c r="W16" s="93">
        <f>VLOOKUP($T16,$AH$10:$AO$16,3,0)</f>
        <v>0</v>
      </c>
      <c r="X16" s="94">
        <f>VLOOKUP($T16,$AH$10:$AO$16,4,0)</f>
        <v>0</v>
      </c>
      <c r="Y16" s="94">
        <f>VLOOKUP($T16,$AH$10:$AO$16,5,0)</f>
        <v>0</v>
      </c>
      <c r="Z16" s="94">
        <f>VLOOKUP($T16,$AH$10:$AO$16,6,0)</f>
        <v>3</v>
      </c>
      <c r="AA16" s="95">
        <f>VLOOKUP($T16,$AH$10:$AO$16,7,0)</f>
        <v>1</v>
      </c>
      <c r="AB16" s="95">
        <f>VLOOKUP($T16,$AH$10:$AO$16,8,0)</f>
        <v>8</v>
      </c>
      <c r="AC16" s="95">
        <f>AA16-AB16</f>
        <v>-7</v>
      </c>
      <c r="AD16" s="33"/>
      <c r="AE16" s="39"/>
      <c r="AF16" s="46"/>
      <c r="AG16" s="45">
        <v>4</v>
      </c>
      <c r="AH16" s="177" t="str">
        <f>VLOOKUP($AH$6&amp;AG16,Aux!Z:AA,2,0)</f>
        <v>Seattle Sounders</v>
      </c>
      <c r="AI16" s="45">
        <f>AK16+AL16+AM16</f>
        <v>3</v>
      </c>
      <c r="AJ16" s="45">
        <f>AK16*3+AL16</f>
        <v>0</v>
      </c>
      <c r="AK16" s="45" cm="1">
        <f t="array" ref="AK16">SUM(($G$10:$G$23=$AH16)*($J$10:$J$23&gt;$L$10:$L$23)+($O$10:$O$23=$AH16)*($J$10:$J$23&lt;$L$10:$L$23))</f>
        <v>0</v>
      </c>
      <c r="AL16" s="45" cm="1">
        <f t="array" ref="AL16">SUM(($G$10:$G$23=$AH16)*($J$10:$J$23=$L$10:$L$23)*($J$10:$J$23&lt;&gt;"")+($O$10:$O$23=$AH16)*($J$10:$J$23=$L$10:$L$23)*($J$10:$J$23&lt;&gt;""))</f>
        <v>0</v>
      </c>
      <c r="AM16" s="45" cm="1">
        <f t="array" ref="AM16">SUM(($G$10:$G$23=$AH16)*($J$10:$J$23&lt;$L$10:$L$23)+($O$10:$O$23=$AH16)*($J$10:$J$23&gt;$L$10:$L$23))</f>
        <v>3</v>
      </c>
      <c r="AN16" s="29" cm="1">
        <f t="array" ref="AN16">SUM(($G$10:$G$23=$AH16)*($J$10:$J$23)+($O$10:$O$23=$AH16)*($L$10:$L$23))</f>
        <v>1</v>
      </c>
      <c r="AO16" s="29" cm="1">
        <f t="array" ref="AO16">SUM(($G$10:$G$23=$AH16)*($L$10:$L$23)+($O$10:$O$23=$AH16)*($J$10:$J$23))</f>
        <v>8</v>
      </c>
      <c r="AP16" s="141">
        <f>AN16-AO16</f>
        <v>-7</v>
      </c>
      <c r="AQ16" s="138">
        <v>0</v>
      </c>
      <c r="AR16" s="141">
        <f>+AW16+AV16+AU16</f>
        <v>-1.9999999999999999E-6</v>
      </c>
      <c r="AS16" s="29"/>
      <c r="AT16" s="29"/>
      <c r="AU16" s="141">
        <f>+AJ16</f>
        <v>0</v>
      </c>
      <c r="AV16" s="141">
        <f>SUMIFS($BA16:$BD16,$BA$6:$BD$6,AJ16)/1000</f>
        <v>0</v>
      </c>
      <c r="AW16" s="141">
        <f>SUMIFS($BA16:$BD16,$BA$5:$BD$5,AV16)/1000000</f>
        <v>-1.9999999999999999E-6</v>
      </c>
      <c r="AX16" s="29">
        <f>_xlfn.RANK.EQ(AJ16,$AJ$10:$AJ$16)+_xlfn.RANK.EQ(AR16,$AR$10:$AR$16)/10+_xlfn.RANK.EQ(AP16,$AP$10:$AP$16)/1000+_xlfn.RANK.EQ(AN16,$AN$10:$AN$16)/100000+_xlfn.RANK.EQ(AQ16,$AQ$10:$AQ$16)/100000+ROW()/1000000</f>
        <v>4.4040659999999994</v>
      </c>
      <c r="AY16" s="29">
        <f>_xlfn.RANK.EQ(AX16,$AX$10:$AX$16,1)</f>
        <v>4</v>
      </c>
      <c r="AZ16" s="29"/>
      <c r="BA16" s="29" cm="1">
        <f t="array" ref="BA16">(SUM(($G$10:$G$23=$AH16)*($J$10:$J$23&gt;$L$10:$L$23)*($O$10:$O$23=BA$8)+($O$10:$O$23=$AH16)*($J$10:$J$23&lt;$L$10:$L$23)*($G$10:$G$23=BA$8)))*300+
(SUM(($G$10:$G$23=$AH16)*($J$10:$J$23=$L$10:$L$23)*($O$10:$O$23=BA$8)+($O$10:$O$23=$AH16)*($J$10:$J$23=$L$10:$L$23)*($G$10:$G$23=BA$8)))*100
+SUM(($G$10:$G$23=$AH16)*($J$10:$J$23)*($O$10:$O$23=BA$8)+($O$10:$O$23=$AH16)*($L$10:$L$23)*($G$10:$G$23=BA$8))
-SUM(($G$10:$G$23=$AH16)*($L$10:$L$23)*($O$10:$O$23=BA$8)+($O$10:$O$23=$AH16)*($J$10:$J$23)*($G$10:$G$23=BA$8))
+SUM(($G$10:$G$23=$AH16)*($J$10:$J$23)*($O$10:$O$23=BA$8)+($O$10:$O$23=$AH16)*($L$10:$L$23)*($G$10:$G$23=BA$8))/100</f>
        <v>-4</v>
      </c>
      <c r="BB16" s="29" cm="1">
        <f t="array" ref="BB16">(SUM(($G$10:$G$23=$AH16)*($J$10:$J$23&gt;$L$10:$L$23)*($O$10:$O$23=BB$8)+($O$10:$O$23=$AH16)*($J$10:$J$23&lt;$L$10:$L$23)*($G$10:$G$23=BB$8)))*300+
(SUM(($G$10:$G$23=$AH16)*($J$10:$J$23=$L$10:$L$23)*($O$10:$O$23=BB$8)+($O$10:$O$23=$AH16)*($J$10:$J$23=$L$10:$L$23)*($G$10:$G$23=BB$8)))*100
+SUM(($G$10:$G$23=$AH16)*($J$10:$J$23)*($O$10:$O$23=BB$8)+($O$10:$O$23=$AH16)*($L$10:$L$23)*($G$10:$G$23=BB$8))
-SUM(($G$10:$G$23=$AH16)*($L$10:$L$23)*($O$10:$O$23=BB$8)+($O$10:$O$23=$AH16)*($J$10:$J$23)*($G$10:$G$23=BB$8))
+SUM(($G$10:$G$23=$AH16)*($J$10:$J$23)*($O$10:$O$23=BB$8)+($O$10:$O$23=$AH16)*($L$10:$L$23)*($G$10:$G$23=BB$8))/100</f>
        <v>-0.99</v>
      </c>
      <c r="BC16" s="29" cm="1">
        <f t="array" ref="BC16">(SUM(($G$10:$G$23=$AH16)*($J$10:$J$23&gt;$L$10:$L$23)*($O$10:$O$23=BC$8)+($O$10:$O$23=$AH16)*($J$10:$J$23&lt;$L$10:$L$23)*($G$10:$G$23=BC$8)))*300+
(SUM(($G$10:$G$23=$AH16)*($J$10:$J$23=$L$10:$L$23)*($O$10:$O$23=BC$8)+($O$10:$O$23=$AH16)*($J$10:$J$23=$L$10:$L$23)*($G$10:$G$23=BC$8)))*100
+SUM(($G$10:$G$23=$AH16)*($J$10:$J$23)*($O$10:$O$23=BC$8)+($O$10:$O$23=$AH16)*($L$10:$L$23)*($G$10:$G$23=BC$8))
-SUM(($G$10:$G$23=$AH16)*($L$10:$L$23)*($O$10:$O$23=BC$8)+($O$10:$O$23=$AH16)*($J$10:$J$23)*($G$10:$G$23=BC$8))
+SUM(($G$10:$G$23=$AH16)*($J$10:$J$23)*($O$10:$O$23=BC$8)+($O$10:$O$23=$AH16)*($L$10:$L$23)*($G$10:$G$23=BC$8))/100</f>
        <v>-2</v>
      </c>
      <c r="BD16" s="29" cm="1">
        <f t="array" ref="BD16">(SUM(($G$10:$G$23=$AH16)*($J$10:$J$23&gt;$L$10:$L$23)*($O$10:$O$23=BD$8)+($O$10:$O$23=$AH16)*($J$10:$J$23&lt;$L$10:$L$23)*($G$10:$G$23=BD$8)))*300+
(SUM(($G$10:$G$23=$AH16)*($J$10:$J$23=$L$10:$L$23)*($O$10:$O$23=BD$8)+($O$10:$O$23=$AH16)*($J$10:$J$23=$L$10:$L$23)*($G$10:$G$23=BD$8)))*100
+SUM(($G$10:$G$23=$AH16)*($J$10:$J$23)*($O$10:$O$23=BD$8)+($O$10:$O$23=$AH16)*($L$10:$L$23)*($G$10:$G$23=BD$8))
-SUM(($G$10:$G$23=$AH16)*($L$10:$L$23)*($O$10:$O$23=BD$8)+($O$10:$O$23=$AH16)*($J$10:$J$23)*($G$10:$G$23=BD$8))
+SUM(($G$10:$G$23=$AH16)*($J$10:$J$23)*($O$10:$O$23=BD$8)+($O$10:$O$23=$AH16)*($L$10:$L$23)*($G$10:$G$23=BD$8))/100</f>
        <v>0</v>
      </c>
    </row>
    <row r="17" spans="2:56" s="30" customFormat="1" ht="10.15" customHeight="1" x14ac:dyDescent="0.25">
      <c r="B17" s="164" t="str">
        <v/>
      </c>
      <c r="C17" s="10"/>
      <c r="D17" s="11"/>
      <c r="E17" s="103"/>
      <c r="F17" s="103"/>
      <c r="G17" s="158"/>
      <c r="H17" s="12"/>
      <c r="I17" s="12"/>
      <c r="J17" s="145"/>
      <c r="K17" s="145"/>
      <c r="L17" s="145"/>
      <c r="M17" s="16"/>
      <c r="N17" s="154"/>
      <c r="O17" s="156"/>
      <c r="P17" s="17"/>
      <c r="Q17" s="17"/>
      <c r="R17" s="25"/>
      <c r="S17"/>
      <c r="T17" s="90"/>
      <c r="U17" s="91"/>
      <c r="V17" s="92"/>
      <c r="W17" s="93"/>
      <c r="X17" s="94"/>
      <c r="Y17" s="94"/>
      <c r="Z17" s="94"/>
      <c r="AA17" s="95"/>
      <c r="AB17" s="95"/>
      <c r="AC17" s="95"/>
      <c r="AD17" s="33"/>
      <c r="AE17" s="39"/>
      <c r="AF17" s="46"/>
      <c r="AG17" s="45"/>
      <c r="AH17" s="177"/>
      <c r="AI17" s="45"/>
      <c r="AJ17" s="45"/>
      <c r="AK17" s="45"/>
      <c r="AL17" s="45"/>
      <c r="AM17" s="45"/>
      <c r="AN17" s="29"/>
      <c r="AO17" s="29"/>
      <c r="AP17" s="141"/>
      <c r="AQ17" s="29"/>
      <c r="AR17" s="29"/>
      <c r="AS17" s="29"/>
      <c r="AT17" s="29"/>
      <c r="AU17" s="29"/>
      <c r="AV17" s="141"/>
      <c r="AW17" s="29"/>
      <c r="AX17" s="29"/>
      <c r="AY17" s="29"/>
      <c r="AZ17" s="29"/>
      <c r="BA17" s="29"/>
      <c r="BB17" s="29"/>
      <c r="BC17" s="29"/>
      <c r="BD17" s="29"/>
    </row>
    <row r="18" spans="2:56" s="30" customFormat="1" ht="22.15" customHeight="1" thickBot="1" x14ac:dyDescent="0.3">
      <c r="B18" s="164">
        <v>33</v>
      </c>
      <c r="C18" s="7">
        <f>VLOOKUP(B18,Aux!M:AH,4,0)</f>
        <v>45831.875</v>
      </c>
      <c r="D18" s="8">
        <f>VLOOKUP(B18,Aux!M:AH,4,0)</f>
        <v>45831.875</v>
      </c>
      <c r="E18" s="102"/>
      <c r="F18" s="102" t="e" vm="1">
        <f>IFERROR(VLOOKUP(G18,Aux!$A:$X,8,0),"")</f>
        <v>#VALUE!</v>
      </c>
      <c r="G18" s="157" t="str">
        <f>VLOOKUP(B18,Aux!M:Y,5,0)</f>
        <v>Seattle Sounders</v>
      </c>
      <c r="H18" s="154" t="e" vm="17">
        <f>IFERROR(VLOOKUP(G18,Aux!$A:$C,3,0),"")</f>
        <v>#VALUE!</v>
      </c>
      <c r="I18" s="154"/>
      <c r="J18" s="203">
        <v>0</v>
      </c>
      <c r="K18" s="145" t="s">
        <v>40</v>
      </c>
      <c r="L18" s="203">
        <v>4</v>
      </c>
      <c r="M18" s="16"/>
      <c r="N18" s="154" t="e" vm="13">
        <f>IFERROR(VLOOKUP(O18,Aux!$A:$C,3,0),"")</f>
        <v>#VALUE!</v>
      </c>
      <c r="O18" s="155" t="str">
        <f>VLOOKUP(B18,Aux!M:Y,6,0)</f>
        <v>Paris Saint-Germain</v>
      </c>
      <c r="P18" s="102" t="e" vm="12">
        <f>IFERROR(VLOOKUP(O18,Aux!$A:$X,8,0),"")</f>
        <v>#VALUE!</v>
      </c>
      <c r="Q18" s="16"/>
      <c r="R18" s="24" t="str">
        <f>VLOOKUP(B18,Aux!M:Y,7,0)</f>
        <v>Lumen Field</v>
      </c>
      <c r="S18"/>
      <c r="T18" s="310"/>
      <c r="U18" s="310"/>
      <c r="V18" s="310"/>
      <c r="W18" s="310"/>
      <c r="X18" s="310"/>
      <c r="Y18" s="310"/>
      <c r="Z18" s="310"/>
      <c r="AA18" s="310"/>
      <c r="AB18" s="310"/>
      <c r="AC18" s="310"/>
      <c r="AD18" s="33"/>
      <c r="AE18" s="33"/>
      <c r="AF18" s="45"/>
      <c r="AG18" s="45"/>
      <c r="AH18" s="45"/>
      <c r="AI18" s="45"/>
      <c r="AJ18" s="45"/>
      <c r="AK18" s="45"/>
      <c r="AL18" s="45"/>
      <c r="AM18" s="45"/>
      <c r="AN18" s="29"/>
      <c r="AO18" s="29"/>
      <c r="AP18" s="29"/>
      <c r="AQ18" s="29"/>
      <c r="AR18" s="29"/>
      <c r="AS18" s="29"/>
      <c r="AT18" s="29"/>
      <c r="AU18" s="29"/>
      <c r="AV18" s="29"/>
      <c r="AW18" s="29"/>
      <c r="AX18" s="29"/>
      <c r="AY18" s="29"/>
      <c r="AZ18" s="29"/>
      <c r="BA18" s="29"/>
      <c r="BB18" s="29"/>
      <c r="BC18" s="29"/>
      <c r="BD18" s="29"/>
    </row>
    <row r="19" spans="2:56" s="30" customFormat="1" ht="10.15" customHeight="1" thickTop="1" x14ac:dyDescent="0.25">
      <c r="B19" s="164" t="str">
        <v/>
      </c>
      <c r="C19" s="10"/>
      <c r="D19" s="11"/>
      <c r="E19" s="103"/>
      <c r="F19" s="103"/>
      <c r="G19" s="158"/>
      <c r="H19" s="12"/>
      <c r="I19" s="12"/>
      <c r="J19" s="145"/>
      <c r="K19" s="145"/>
      <c r="L19" s="145"/>
      <c r="M19" s="16"/>
      <c r="N19" s="154"/>
      <c r="O19" s="155"/>
      <c r="P19" s="17"/>
      <c r="Q19" s="17"/>
      <c r="R19" s="25"/>
      <c r="S19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33"/>
      <c r="AE19" s="33"/>
      <c r="AF19" s="45"/>
      <c r="AG19" s="45"/>
      <c r="AH19" s="45"/>
      <c r="AI19" s="45"/>
      <c r="AJ19" s="45"/>
      <c r="AK19" s="45"/>
      <c r="AL19" s="45"/>
      <c r="AM19" s="45"/>
      <c r="AN19" s="29"/>
      <c r="AO19" s="29"/>
      <c r="AP19" s="29"/>
      <c r="AQ19" s="29"/>
      <c r="AR19" s="29"/>
      <c r="AS19" s="29"/>
      <c r="AT19" s="29"/>
      <c r="AU19" s="29"/>
      <c r="AV19" s="29"/>
      <c r="AW19" s="29"/>
      <c r="AX19" s="29"/>
      <c r="AY19" s="29"/>
      <c r="AZ19" s="29"/>
      <c r="BA19" s="45"/>
      <c r="BB19" s="127"/>
      <c r="BC19" s="127"/>
      <c r="BD19" s="127"/>
    </row>
    <row r="20" spans="2:56" s="30" customFormat="1" ht="22.15" customHeight="1" x14ac:dyDescent="0.25">
      <c r="B20" s="164">
        <v>34</v>
      </c>
      <c r="C20" s="7">
        <f>VLOOKUP(B20,Aux!M:AH,4,0)</f>
        <v>45831.875</v>
      </c>
      <c r="D20" s="8">
        <f>VLOOKUP(B20,Aux!M:AH,4,0)</f>
        <v>45831.875</v>
      </c>
      <c r="E20" s="102"/>
      <c r="F20" s="102" t="e" vm="15">
        <f>IFERROR(VLOOKUP(G20,Aux!$A:$X,8,0),"")</f>
        <v>#VALUE!</v>
      </c>
      <c r="G20" s="157" t="str">
        <f>VLOOKUP(B20,Aux!M:Y,5,0)</f>
        <v>Atlético de Madrid</v>
      </c>
      <c r="H20" s="154" t="e" vm="14">
        <f>IFERROR(VLOOKUP(G20,Aux!$A:$C,3,0),"")</f>
        <v>#VALUE!</v>
      </c>
      <c r="I20" s="154"/>
      <c r="J20" s="203">
        <v>1</v>
      </c>
      <c r="K20" s="145" t="s">
        <v>40</v>
      </c>
      <c r="L20" s="203">
        <v>0</v>
      </c>
      <c r="M20" s="16"/>
      <c r="N20" s="154" t="e" vm="16">
        <f>IFERROR(VLOOKUP(O20,Aux!$A:$C,3,0),"")</f>
        <v>#VALUE!</v>
      </c>
      <c r="O20" s="155" t="str">
        <f>VLOOKUP(B20,Aux!M:Y,6,0)</f>
        <v>Botafogo</v>
      </c>
      <c r="P20" s="102" t="e" vm="9">
        <f>IFERROR(VLOOKUP(O20,Aux!$A:$X,8,0),"")</f>
        <v>#VALUE!</v>
      </c>
      <c r="Q20" s="16"/>
      <c r="R20" s="24" t="str">
        <f>VLOOKUP(B20,Aux!M:Y,7,0)</f>
        <v>Rose Bowl</v>
      </c>
      <c r="S20"/>
      <c r="T20" s="28"/>
      <c r="U20" s="28"/>
      <c r="V20" s="28"/>
      <c r="W20"/>
      <c r="X20" s="28"/>
      <c r="Y20" s="28"/>
      <c r="Z20" s="28"/>
      <c r="AA20" s="28"/>
      <c r="AB20" s="28"/>
      <c r="AC20" s="28"/>
      <c r="AD20" s="33"/>
      <c r="AE20" s="33"/>
      <c r="AF20" s="45"/>
      <c r="AG20" s="45"/>
      <c r="AH20" s="45"/>
      <c r="AI20" s="45"/>
      <c r="AJ20" s="45"/>
      <c r="AK20" s="45"/>
      <c r="AL20" s="45"/>
      <c r="AM20" s="45"/>
      <c r="AN20" s="29"/>
      <c r="AO20" s="29"/>
      <c r="AP20" s="29"/>
      <c r="AQ20" s="29"/>
      <c r="AR20" s="29"/>
      <c r="AS20" s="29"/>
      <c r="AT20" s="29"/>
      <c r="AU20" s="29"/>
      <c r="AV20" s="29"/>
      <c r="AW20" s="29"/>
      <c r="AX20" s="29"/>
      <c r="AY20" s="29"/>
      <c r="AZ20" s="29"/>
      <c r="BA20" s="138"/>
      <c r="BB20" s="138"/>
      <c r="BC20" s="138"/>
      <c r="BD20" s="138"/>
    </row>
    <row r="21" spans="2:56" s="30" customFormat="1" ht="10.15" customHeight="1" x14ac:dyDescent="0.25">
      <c r="B21" s="165" t="str">
        <v/>
      </c>
      <c r="C21" s="13"/>
      <c r="D21" s="14"/>
      <c r="E21" s="18"/>
      <c r="F21" s="18"/>
      <c r="G21" s="15"/>
      <c r="H21" s="15"/>
      <c r="I21" s="15"/>
      <c r="J21" s="18"/>
      <c r="K21" s="18"/>
      <c r="L21" s="18"/>
      <c r="M21" s="18"/>
      <c r="N21" s="18"/>
      <c r="O21" s="19"/>
      <c r="P21" s="19"/>
      <c r="Q21" s="19"/>
      <c r="R21" s="26"/>
      <c r="S21"/>
      <c r="T21" s="28"/>
      <c r="U21" s="28"/>
      <c r="V21" s="28"/>
      <c r="W21" s="301" t="s">
        <v>134</v>
      </c>
      <c r="X21" s="301"/>
      <c r="Y21" s="301"/>
      <c r="Z21" s="28"/>
      <c r="AA21" s="28"/>
      <c r="AB21" s="28"/>
      <c r="AC21" s="28"/>
      <c r="AD21" s="33"/>
      <c r="AE21" s="33"/>
      <c r="AF21" s="45"/>
      <c r="AG21" s="45"/>
      <c r="AH21" s="45"/>
      <c r="AI21" s="45"/>
      <c r="AJ21" s="45"/>
      <c r="AK21" s="45"/>
      <c r="AL21" s="45"/>
      <c r="AM21" s="45"/>
      <c r="AN21" s="29"/>
      <c r="AO21" s="29"/>
      <c r="AP21" s="29"/>
      <c r="AQ21" s="29"/>
      <c r="AR21" s="29"/>
      <c r="AS21" s="29"/>
      <c r="AT21" s="29"/>
      <c r="AU21" s="29"/>
      <c r="AV21" s="29"/>
      <c r="AW21" s="29"/>
      <c r="AX21" s="29"/>
      <c r="AY21" s="29"/>
      <c r="AZ21" s="29"/>
      <c r="BA21" s="138"/>
      <c r="BB21" s="138"/>
      <c r="BC21" s="138"/>
      <c r="BD21" s="138"/>
    </row>
    <row r="22" spans="2:56" ht="15" customHeight="1" x14ac:dyDescent="0.25">
      <c r="W22" s="301"/>
      <c r="X22" s="301"/>
      <c r="Y22" s="301"/>
      <c r="AD22" s="33"/>
      <c r="AE22" s="45"/>
      <c r="AF22" s="45"/>
      <c r="AG22" s="45"/>
      <c r="AH22" s="45"/>
      <c r="AI22" s="45"/>
      <c r="AJ22" s="45"/>
      <c r="AK22" s="45"/>
      <c r="AL22" s="45"/>
      <c r="AM22" s="45"/>
      <c r="AN22" s="29"/>
      <c r="AO22" s="29"/>
      <c r="AP22" s="29"/>
      <c r="AQ22" s="29"/>
      <c r="AR22" s="29"/>
      <c r="AS22" s="29"/>
      <c r="AT22" s="29"/>
      <c r="AU22" s="29"/>
      <c r="AV22" s="29"/>
      <c r="AW22" s="29"/>
      <c r="AX22" s="29"/>
      <c r="AY22" s="127"/>
      <c r="AZ22" s="29"/>
      <c r="BA22" s="138"/>
      <c r="BB22" s="138"/>
      <c r="BC22" s="138"/>
      <c r="BD22" s="138"/>
    </row>
    <row r="23" spans="2:56" ht="15" customHeight="1" x14ac:dyDescent="0.25">
      <c r="N23"/>
      <c r="O23"/>
      <c r="P23"/>
      <c r="Q23"/>
      <c r="R23"/>
      <c r="W23" s="302" t="s">
        <v>135</v>
      </c>
      <c r="X23" s="302"/>
      <c r="Y23" s="302"/>
      <c r="AD23" s="33"/>
      <c r="AE23" s="45"/>
      <c r="AF23" s="45"/>
      <c r="AG23" s="45"/>
      <c r="AH23" s="45"/>
      <c r="AI23" s="47"/>
      <c r="AJ23" s="47"/>
      <c r="AK23" s="47"/>
      <c r="AL23" s="47"/>
      <c r="AM23" s="47"/>
      <c r="BA23" s="262"/>
      <c r="BB23" s="263"/>
      <c r="BC23" s="263"/>
      <c r="BD23" s="263"/>
    </row>
    <row r="24" spans="2:56" ht="15" customHeight="1" x14ac:dyDescent="0.25">
      <c r="N24"/>
      <c r="O24"/>
      <c r="P24"/>
      <c r="Q24"/>
      <c r="R24"/>
      <c r="W24" s="302"/>
      <c r="X24" s="302"/>
      <c r="Y24" s="302"/>
      <c r="AD24" s="33"/>
      <c r="AE24" s="45"/>
      <c r="AF24" s="45"/>
      <c r="AG24" s="45"/>
      <c r="AH24" s="45"/>
      <c r="AI24" s="47"/>
      <c r="AJ24" s="47"/>
      <c r="AK24" s="47"/>
      <c r="AL24" s="47"/>
      <c r="AM24" s="47"/>
      <c r="BB24" s="31"/>
      <c r="BC24" s="31"/>
      <c r="BD24" s="31"/>
    </row>
    <row r="25" spans="2:56" ht="15" customHeight="1" x14ac:dyDescent="0.25">
      <c r="N25"/>
      <c r="O25"/>
      <c r="P25"/>
      <c r="Q25"/>
      <c r="R25"/>
      <c r="W25"/>
      <c r="AD25" s="33"/>
      <c r="AE25" s="45"/>
      <c r="AF25" s="45"/>
      <c r="AG25" s="45"/>
      <c r="AH25" s="45"/>
      <c r="AI25" s="47"/>
      <c r="AJ25" s="47"/>
      <c r="AK25" s="47"/>
      <c r="AL25" s="47"/>
      <c r="AM25" s="47"/>
      <c r="BB25" s="31"/>
      <c r="BC25" s="31"/>
      <c r="BD25" s="31"/>
    </row>
    <row r="26" spans="2:56" ht="15" customHeight="1" x14ac:dyDescent="0.25">
      <c r="N26"/>
      <c r="O26"/>
      <c r="P26"/>
      <c r="Q26"/>
      <c r="R26"/>
      <c r="AG26" s="29"/>
      <c r="AH26" s="29"/>
      <c r="BB26" s="31"/>
      <c r="BC26" s="31"/>
      <c r="BD26" s="31"/>
    </row>
    <row r="27" spans="2:56" ht="15" customHeight="1" x14ac:dyDescent="0.25">
      <c r="N27"/>
      <c r="O27"/>
      <c r="P27"/>
      <c r="Q27"/>
      <c r="R27"/>
      <c r="AG27" s="29"/>
      <c r="AH27" s="29"/>
      <c r="BB27" s="31"/>
      <c r="BC27" s="31"/>
      <c r="BD27" s="31"/>
    </row>
    <row r="28" spans="2:56" ht="15" customHeight="1" x14ac:dyDescent="0.25">
      <c r="N28"/>
      <c r="O28"/>
      <c r="P28"/>
      <c r="Q28"/>
      <c r="R28"/>
      <c r="AG28" s="29"/>
      <c r="AH28" s="29"/>
      <c r="BB28" s="31"/>
      <c r="BC28" s="31"/>
      <c r="BD28" s="31"/>
    </row>
    <row r="29" spans="2:56" ht="15" customHeight="1" x14ac:dyDescent="0.25">
      <c r="N29"/>
      <c r="O29"/>
      <c r="P29"/>
      <c r="Q29"/>
      <c r="R29"/>
      <c r="AG29" s="29"/>
      <c r="AH29" s="29"/>
      <c r="AI29" s="29"/>
      <c r="AJ29" s="29"/>
      <c r="AK29" s="29"/>
      <c r="AL29" s="29"/>
      <c r="AM29" s="29"/>
      <c r="AN29" s="29"/>
      <c r="AO29" s="29"/>
      <c r="AP29" s="29"/>
      <c r="AQ29" s="29"/>
      <c r="AR29" s="29"/>
      <c r="AS29" s="29"/>
      <c r="AT29" s="29"/>
      <c r="AU29" s="29"/>
      <c r="AV29" s="29"/>
      <c r="AW29" s="29"/>
      <c r="AX29" s="29"/>
      <c r="AZ29" s="29"/>
      <c r="BB29" s="31"/>
      <c r="BC29" s="31"/>
      <c r="BD29" s="31"/>
    </row>
    <row r="30" spans="2:56" ht="15" customHeight="1" x14ac:dyDescent="0.25">
      <c r="BB30" s="31"/>
      <c r="BC30" s="31"/>
      <c r="BD30" s="31"/>
    </row>
  </sheetData>
  <mergeCells count="6">
    <mergeCell ref="W23:Y24"/>
    <mergeCell ref="W2:Y2"/>
    <mergeCell ref="E7:Q7"/>
    <mergeCell ref="T7:AC7"/>
    <mergeCell ref="T18:AC18"/>
    <mergeCell ref="W21:Y22"/>
  </mergeCells>
  <conditionalFormatting sqref="J10 J12 J14 J16 J18 J20">
    <cfRule type="expression" dxfId="263" priority="5">
      <formula>#REF!="P"</formula>
    </cfRule>
    <cfRule type="expression" dxfId="262" priority="6">
      <formula>#REF!="E"</formula>
    </cfRule>
    <cfRule type="expression" dxfId="261" priority="7">
      <formula>#REF!="G"</formula>
    </cfRule>
  </conditionalFormatting>
  <conditionalFormatting sqref="L10 L12 L14 L16 L18 L20">
    <cfRule type="expression" dxfId="260" priority="8">
      <formula>#REF!="P"</formula>
    </cfRule>
    <cfRule type="expression" dxfId="259" priority="9">
      <formula>#REF!="E"</formula>
    </cfRule>
    <cfRule type="expression" dxfId="258" priority="10">
      <formula>#REF!="G"</formula>
    </cfRule>
  </conditionalFormatting>
  <conditionalFormatting sqref="W21 W23">
    <cfRule type="expression" dxfId="257" priority="1">
      <formula>$L24&lt;&gt;""</formula>
    </cfRule>
    <cfRule type="expression" dxfId="256" priority="2">
      <formula>AND($L24&lt;&gt;"",$L25="")</formula>
    </cfRule>
  </conditionalFormatting>
  <dataValidations count="1">
    <dataValidation type="list" allowBlank="1" showInputMessage="1" showErrorMessage="1" sqref="AH6" xr:uid="{1766F923-41D4-4DDA-9F84-525DC655FC41}">
      <formula1>"A,B,C,D,E,F,G,H"</formula1>
    </dataValidation>
  </dataValidations>
  <hyperlinks>
    <hyperlink ref="W21" r:id="rId1" display="Aprendiz de Excel" xr:uid="{B598C184-61BF-4084-98C3-F74506C9A2F0}"/>
    <hyperlink ref="W23" r:id="rId2" display="Aprendiz de Excel" xr:uid="{DACF8CF6-EA19-4E3D-9B4B-9A91B063149A}"/>
    <hyperlink ref="W23:W24" r:id="rId3" display="Vídeo YouTube" xr:uid="{B57F16CF-1324-4AEE-84BE-EC0CCB7DF822}"/>
    <hyperlink ref="W23:Y24" r:id="rId4" display="Vídeo YouTube" xr:uid="{79D113F6-848D-4179-8064-5A28C2E24EE0}"/>
  </hyperlinks>
  <pageMargins left="0.7" right="0.7" top="0.75" bottom="0.75" header="0.3" footer="0.3"/>
  <pageSetup paperSize="9" orientation="portrait" r:id="rId5"/>
  <drawing r:id="rId6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2E791-4457-48FB-BDBB-4CED35EEF474}">
  <dimension ref="A1:BD30"/>
  <sheetViews>
    <sheetView showGridLines="0" zoomScale="90" zoomScaleNormal="90" workbookViewId="0">
      <selection activeCell="J10" sqref="J10"/>
    </sheetView>
  </sheetViews>
  <sheetFormatPr baseColWidth="10" defaultColWidth="14.42578125" defaultRowHeight="15" customHeight="1" x14ac:dyDescent="0.25"/>
  <cols>
    <col min="1" max="1" width="3.5703125" style="28" customWidth="1"/>
    <col min="2" max="2" width="3.7109375" style="28" customWidth="1"/>
    <col min="3" max="3" width="7.7109375" style="28" customWidth="1"/>
    <col min="4" max="4" width="6.7109375" style="28" customWidth="1"/>
    <col min="5" max="5" width="2.7109375" style="28" customWidth="1"/>
    <col min="6" max="6" width="3.7109375" style="28" customWidth="1"/>
    <col min="7" max="7" width="19.7109375" style="28" customWidth="1"/>
    <col min="8" max="8" width="5.7109375" style="28" customWidth="1"/>
    <col min="9" max="9" width="2.7109375" style="28" customWidth="1"/>
    <col min="10" max="10" width="6.7109375" style="28" customWidth="1"/>
    <col min="11" max="11" width="2.7109375" style="28" customWidth="1"/>
    <col min="12" max="12" width="6.7109375" style="28" customWidth="1"/>
    <col min="13" max="13" width="2.7109375" style="28" customWidth="1"/>
    <col min="14" max="14" width="5.7109375" style="28" customWidth="1"/>
    <col min="15" max="15" width="19.7109375" style="28" customWidth="1"/>
    <col min="16" max="16" width="3.7109375" style="28" customWidth="1"/>
    <col min="17" max="17" width="2.5703125" style="28" customWidth="1"/>
    <col min="18" max="18" width="15.5703125" style="28" customWidth="1"/>
    <col min="19" max="19" width="2.7109375" style="28" customWidth="1"/>
    <col min="20" max="20" width="19.7109375" style="28" customWidth="1"/>
    <col min="21" max="21" width="5.7109375" style="28" customWidth="1"/>
    <col min="22" max="22" width="1.7109375" style="28" customWidth="1"/>
    <col min="23" max="29" width="4" style="28" customWidth="1"/>
    <col min="30" max="30" width="6" style="30" customWidth="1"/>
    <col min="31" max="32" width="5" style="29" customWidth="1"/>
    <col min="33" max="33" width="5" style="31" customWidth="1"/>
    <col min="34" max="34" width="14.85546875" style="31" customWidth="1"/>
    <col min="35" max="41" width="5" style="31" customWidth="1"/>
    <col min="42" max="42" width="8.5703125" style="31" customWidth="1"/>
    <col min="43" max="47" width="5" style="31" customWidth="1"/>
    <col min="48" max="49" width="8.5703125" style="31" customWidth="1"/>
    <col min="50" max="50" width="5" style="31" customWidth="1"/>
    <col min="52" max="52" width="7.7109375" style="31" customWidth="1"/>
    <col min="53" max="53" width="14.42578125" style="31"/>
    <col min="54" max="54" width="15" style="28" customWidth="1"/>
    <col min="55" max="16384" width="14.42578125" style="28"/>
  </cols>
  <sheetData>
    <row r="1" spans="1:56" s="153" customFormat="1" ht="27.75" customHeight="1" x14ac:dyDescent="0.25">
      <c r="A1" s="210" t="s">
        <v>314</v>
      </c>
      <c r="B1" s="211"/>
      <c r="C1" s="211"/>
      <c r="D1" s="211"/>
      <c r="E1" s="211"/>
      <c r="F1" s="211"/>
      <c r="G1" s="211"/>
      <c r="H1" s="211"/>
      <c r="I1" s="211"/>
      <c r="J1" s="211"/>
      <c r="K1" s="211"/>
      <c r="L1" s="211"/>
      <c r="M1" s="211"/>
      <c r="N1" s="211"/>
      <c r="O1" s="211"/>
      <c r="P1" s="211"/>
      <c r="Q1" s="211"/>
      <c r="R1" s="211"/>
      <c r="S1" s="211"/>
    </row>
    <row r="2" spans="1:56" s="33" customFormat="1" ht="18.75" x14ac:dyDescent="0.25">
      <c r="B2" s="127"/>
      <c r="C2"/>
      <c r="D2"/>
      <c r="E2"/>
      <c r="F2"/>
      <c r="G2"/>
      <c r="H2"/>
      <c r="I2"/>
      <c r="J2" s="159"/>
      <c r="K2" s="159"/>
      <c r="L2" s="159"/>
      <c r="M2" s="159"/>
      <c r="N2" s="159"/>
      <c r="O2" s="159"/>
      <c r="P2" s="159"/>
      <c r="Q2" s="159"/>
      <c r="R2" s="159"/>
      <c r="S2" s="159"/>
      <c r="T2" s="159"/>
      <c r="U2" s="159"/>
      <c r="V2" s="159"/>
      <c r="W2" s="303"/>
      <c r="X2" s="303"/>
      <c r="Y2" s="303"/>
      <c r="Z2" s="160"/>
      <c r="AA2" s="159"/>
      <c r="AB2" s="159"/>
      <c r="AC2" s="159"/>
      <c r="AD2" s="44"/>
      <c r="AE2" s="45"/>
      <c r="AF2" s="45"/>
      <c r="AG2" s="45"/>
      <c r="AH2" s="45"/>
      <c r="AI2" s="45"/>
      <c r="AJ2" s="45"/>
      <c r="AK2" s="45"/>
      <c r="AL2" s="45"/>
      <c r="AM2" s="45"/>
      <c r="AN2" s="45"/>
      <c r="AO2" s="45"/>
      <c r="AP2" s="45"/>
      <c r="AQ2" s="45"/>
      <c r="AR2" s="45"/>
      <c r="AS2" s="45"/>
      <c r="AT2" s="45"/>
      <c r="AU2" s="45"/>
      <c r="AV2" s="45"/>
      <c r="AW2" s="45"/>
      <c r="AX2" s="45"/>
      <c r="AY2" s="45"/>
      <c r="AZ2" s="45"/>
      <c r="BA2" s="45"/>
      <c r="BB2" s="127"/>
      <c r="BC2" s="127"/>
      <c r="BD2" s="127"/>
    </row>
    <row r="3" spans="1:56" s="33" customFormat="1" ht="35.25" customHeight="1" x14ac:dyDescent="0.25">
      <c r="B3" s="127"/>
      <c r="C3"/>
      <c r="D3"/>
      <c r="E3"/>
      <c r="F3"/>
      <c r="G3" s="161"/>
      <c r="H3" s="161"/>
      <c r="I3" s="161"/>
      <c r="J3"/>
      <c r="K3" s="162"/>
      <c r="L3" s="162"/>
      <c r="M3" s="162"/>
      <c r="N3" s="162"/>
      <c r="O3" s="162"/>
      <c r="P3" s="162"/>
      <c r="Q3" s="162"/>
      <c r="R3" s="162"/>
      <c r="S3" s="162"/>
      <c r="T3" s="159"/>
      <c r="U3" s="159"/>
      <c r="V3" s="159"/>
      <c r="W3" s="159"/>
      <c r="X3" s="159"/>
      <c r="Y3" s="159"/>
      <c r="Z3" s="159"/>
      <c r="AA3" s="159"/>
      <c r="AB3" s="159"/>
      <c r="AC3" s="159"/>
      <c r="AD3" s="44"/>
      <c r="AE3" s="46"/>
      <c r="AF3" s="46"/>
      <c r="AG3" s="46"/>
      <c r="AH3" s="45"/>
      <c r="AI3" s="45"/>
      <c r="AJ3" s="45"/>
      <c r="AK3" s="45"/>
      <c r="AL3" s="45"/>
      <c r="AM3" s="45"/>
      <c r="AN3" s="45"/>
      <c r="AO3" s="45"/>
      <c r="AP3" s="45"/>
      <c r="AQ3" s="45"/>
      <c r="AR3" s="45"/>
      <c r="AS3" s="45"/>
      <c r="AT3" s="45"/>
      <c r="AU3" s="45"/>
      <c r="AV3" s="45"/>
      <c r="AW3" s="45"/>
      <c r="AX3" s="45"/>
      <c r="AY3" s="45"/>
      <c r="AZ3" s="45"/>
      <c r="BA3" s="45"/>
      <c r="BB3" s="127"/>
      <c r="BC3" s="127"/>
      <c r="BD3" s="127"/>
    </row>
    <row r="4" spans="1:56" s="33" customFormat="1" x14ac:dyDescent="0.25">
      <c r="B4" s="127"/>
      <c r="C4"/>
      <c r="D4"/>
      <c r="E4"/>
      <c r="F4"/>
      <c r="G4"/>
      <c r="H4"/>
      <c r="I4"/>
      <c r="J4" s="159"/>
      <c r="K4" s="159"/>
      <c r="L4" s="159"/>
      <c r="M4" s="159"/>
      <c r="N4" s="159"/>
      <c r="O4" s="159"/>
      <c r="P4" s="159"/>
      <c r="Q4" s="159"/>
      <c r="R4" s="159"/>
      <c r="S4" s="159"/>
      <c r="T4" s="159"/>
      <c r="U4" s="159"/>
      <c r="V4" s="159"/>
      <c r="W4" s="159"/>
      <c r="X4" s="159"/>
      <c r="Y4" s="159"/>
      <c r="Z4" s="159"/>
      <c r="AA4" s="159"/>
      <c r="AB4" s="159"/>
      <c r="AC4" s="159"/>
      <c r="AD4" s="44"/>
      <c r="AE4" s="47"/>
      <c r="AF4" s="45"/>
      <c r="AG4" s="45"/>
      <c r="AH4" s="45"/>
      <c r="AI4" s="45"/>
      <c r="AJ4" s="45"/>
      <c r="AK4" s="45"/>
      <c r="AL4" s="45"/>
      <c r="AM4" s="45"/>
      <c r="AN4" s="45"/>
      <c r="AO4" s="45"/>
      <c r="AP4" s="45"/>
      <c r="AQ4" s="45"/>
      <c r="AR4" s="45"/>
      <c r="AS4" s="45"/>
      <c r="AT4" s="45"/>
      <c r="AU4" s="45"/>
      <c r="AV4" s="45"/>
      <c r="AW4" s="45"/>
      <c r="AX4" s="45"/>
      <c r="AY4" s="45"/>
      <c r="AZ4" s="45"/>
      <c r="BA4" s="45"/>
      <c r="BB4" s="127"/>
      <c r="BC4" s="127"/>
      <c r="BD4" s="127"/>
    </row>
    <row r="5" spans="1:56" s="33" customFormat="1" ht="15" customHeight="1" x14ac:dyDescent="0.25">
      <c r="B5" s="127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E5" s="47"/>
      <c r="AF5" s="45"/>
      <c r="AG5" s="45"/>
      <c r="AH5" s="45"/>
      <c r="AI5" s="45"/>
      <c r="AJ5" s="45"/>
      <c r="AK5" s="45"/>
      <c r="AL5" s="45"/>
      <c r="AM5" s="45"/>
      <c r="AN5" s="45"/>
      <c r="AO5" s="45"/>
      <c r="AP5" s="45"/>
      <c r="AQ5" s="45"/>
      <c r="AR5" s="45"/>
      <c r="AS5" s="45"/>
      <c r="AT5" s="45"/>
      <c r="AU5" s="45"/>
      <c r="AV5" s="45"/>
      <c r="AW5" s="45"/>
      <c r="AX5" s="45"/>
      <c r="AY5" s="264" t="s">
        <v>336</v>
      </c>
      <c r="AZ5" s="45"/>
      <c r="BA5" s="138">
        <f>VLOOKUP(BA8,$AH$10:$AW$16,15,0)</f>
        <v>0</v>
      </c>
      <c r="BB5" s="138">
        <f t="shared" ref="BB5:BD5" si="0">VLOOKUP(BB8,$AH$10:$AW$16,15,0)</f>
        <v>0</v>
      </c>
      <c r="BC5" s="138">
        <f t="shared" si="0"/>
        <v>0.10001</v>
      </c>
      <c r="BD5" s="138">
        <f t="shared" si="0"/>
        <v>0.10001</v>
      </c>
    </row>
    <row r="6" spans="1:56" s="30" customFormat="1" ht="15" customHeight="1" x14ac:dyDescent="0.25">
      <c r="B6" s="27"/>
      <c r="C6" s="32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/>
      <c r="T6" s="28"/>
      <c r="U6" s="28"/>
      <c r="V6" s="28"/>
      <c r="W6" s="28"/>
      <c r="X6" s="28"/>
      <c r="Y6" s="28"/>
      <c r="Z6" s="28"/>
      <c r="AA6" s="28"/>
      <c r="AB6" s="28"/>
      <c r="AC6" s="28"/>
      <c r="AD6" s="33"/>
      <c r="AE6" s="47"/>
      <c r="AF6" s="45"/>
      <c r="AG6" s="45"/>
      <c r="AH6" s="166" t="s">
        <v>14</v>
      </c>
      <c r="AI6" s="45"/>
      <c r="AJ6" s="45"/>
      <c r="AK6" s="45"/>
      <c r="AL6" s="45"/>
      <c r="AM6" s="45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64" t="s">
        <v>335</v>
      </c>
      <c r="AZ6" s="29"/>
      <c r="BA6" s="138">
        <f>VLOOKUP(BA8,$AH$10:$AW$16,14,0)</f>
        <v>9</v>
      </c>
      <c r="BB6" s="138">
        <f t="shared" ref="BB6:BD6" si="1">VLOOKUP(BB8,$AH$10:$AW$16,14,0)</f>
        <v>0</v>
      </c>
      <c r="BC6" s="138">
        <f t="shared" si="1"/>
        <v>4</v>
      </c>
      <c r="BD6" s="138">
        <f t="shared" si="1"/>
        <v>4</v>
      </c>
    </row>
    <row r="7" spans="1:56" s="30" customFormat="1" ht="22.15" customHeight="1" thickBot="1" x14ac:dyDescent="0.3">
      <c r="B7" s="107" t="s">
        <v>33</v>
      </c>
      <c r="C7" s="108" t="s">
        <v>34</v>
      </c>
      <c r="D7" s="108" t="s">
        <v>35</v>
      </c>
      <c r="E7" s="304" t="s">
        <v>36</v>
      </c>
      <c r="F7" s="305"/>
      <c r="G7" s="305"/>
      <c r="H7" s="305"/>
      <c r="I7" s="305"/>
      <c r="J7" s="305"/>
      <c r="K7" s="305"/>
      <c r="L7" s="305"/>
      <c r="M7" s="305"/>
      <c r="N7" s="305"/>
      <c r="O7" s="305"/>
      <c r="P7" s="305"/>
      <c r="Q7" s="306"/>
      <c r="R7" s="109" t="s">
        <v>37</v>
      </c>
      <c r="S7" s="34"/>
      <c r="T7" s="307" t="s">
        <v>38</v>
      </c>
      <c r="U7" s="305"/>
      <c r="V7" s="305"/>
      <c r="W7" s="308"/>
      <c r="X7" s="308"/>
      <c r="Y7" s="308"/>
      <c r="Z7" s="308"/>
      <c r="AA7" s="308"/>
      <c r="AB7" s="308"/>
      <c r="AC7" s="309"/>
      <c r="AD7" s="33"/>
      <c r="AE7" s="39"/>
      <c r="AF7" s="46"/>
      <c r="AG7" s="46"/>
      <c r="AH7" s="45"/>
      <c r="AI7" s="45"/>
      <c r="AJ7" s="45"/>
      <c r="AK7" s="45"/>
      <c r="AL7" s="45"/>
      <c r="AM7" s="45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138"/>
      <c r="BB7" s="138"/>
      <c r="BC7" s="138"/>
      <c r="BD7" s="138"/>
    </row>
    <row r="8" spans="1:56" s="30" customFormat="1" ht="15" customHeight="1" thickTop="1" x14ac:dyDescent="0.25"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35"/>
      <c r="U8" s="35"/>
      <c r="V8" s="35"/>
      <c r="W8" s="36" t="s">
        <v>41</v>
      </c>
      <c r="X8" s="37" t="s">
        <v>42</v>
      </c>
      <c r="Y8" s="37" t="s">
        <v>43</v>
      </c>
      <c r="Z8" s="37" t="s">
        <v>44</v>
      </c>
      <c r="AA8" s="38" t="s">
        <v>45</v>
      </c>
      <c r="AB8" s="38" t="s">
        <v>46</v>
      </c>
      <c r="AC8" s="38" t="s">
        <v>47</v>
      </c>
      <c r="AD8" s="33"/>
      <c r="AE8" s="39"/>
      <c r="AF8" s="46"/>
      <c r="AG8" s="46"/>
      <c r="AH8" s="174" t="s">
        <v>8</v>
      </c>
      <c r="AI8" s="175" t="s">
        <v>39</v>
      </c>
      <c r="AJ8" s="176" t="s">
        <v>41</v>
      </c>
      <c r="AK8" s="175" t="s">
        <v>42</v>
      </c>
      <c r="AL8" s="175" t="s">
        <v>43</v>
      </c>
      <c r="AM8" s="175" t="s">
        <v>44</v>
      </c>
      <c r="AN8" s="265" t="s">
        <v>45</v>
      </c>
      <c r="AO8" s="265" t="s">
        <v>46</v>
      </c>
      <c r="AP8" s="265" t="s">
        <v>333</v>
      </c>
      <c r="AQ8" s="265" t="s">
        <v>334</v>
      </c>
      <c r="AR8" s="265" t="s">
        <v>332</v>
      </c>
      <c r="AS8" s="265"/>
      <c r="AT8" s="265"/>
      <c r="AU8" s="29" t="s">
        <v>337</v>
      </c>
      <c r="AV8" s="29" t="s">
        <v>338</v>
      </c>
      <c r="AW8" s="29" t="s">
        <v>339</v>
      </c>
      <c r="AX8" s="29"/>
      <c r="AY8" s="29"/>
      <c r="AZ8" s="29"/>
      <c r="BA8" s="138" t="str">
        <f>AH10</f>
        <v>Bayern Múnich</v>
      </c>
      <c r="BB8" s="140" t="str">
        <f>AH12</f>
        <v>Auckland City</v>
      </c>
      <c r="BC8" s="140" t="str">
        <f>AH14</f>
        <v>Boca Juniors</v>
      </c>
      <c r="BD8" s="140" t="str">
        <f>AH16</f>
        <v>Benfica</v>
      </c>
    </row>
    <row r="9" spans="1:56" s="30" customFormat="1" ht="10.15" customHeight="1" x14ac:dyDescent="0.25">
      <c r="B9" s="163" t="str" cm="1">
        <f t="array" ref="B9:B21">_xlfn.REDUCE("",_xlfn.TAKE(_xlfn._xlws.FILTER(Aux!M:T,Aux!T:T=AH6),,1),_xlfn.LAMBDA(_xlpm.t,_xlpm.p,_xlfn.VSTACK(_xlpm.t,_xlpm.p,"")))</f>
        <v/>
      </c>
      <c r="C9" s="96"/>
      <c r="D9" s="97"/>
      <c r="E9" s="99"/>
      <c r="F9" s="99"/>
      <c r="G9" s="98"/>
      <c r="H9" s="98"/>
      <c r="I9" s="98"/>
      <c r="J9" s="99"/>
      <c r="K9" s="99"/>
      <c r="L9" s="99"/>
      <c r="M9" s="99"/>
      <c r="N9" s="99"/>
      <c r="O9" s="100"/>
      <c r="P9" s="100"/>
      <c r="Q9" s="100"/>
      <c r="R9" s="101"/>
      <c r="S9"/>
      <c r="T9" s="20"/>
      <c r="U9" s="88"/>
      <c r="V9" s="89"/>
      <c r="W9" s="21"/>
      <c r="X9" s="22"/>
      <c r="Y9" s="22"/>
      <c r="Z9" s="22"/>
      <c r="AA9" s="23"/>
      <c r="AB9" s="23"/>
      <c r="AC9" s="23"/>
      <c r="AD9" s="33"/>
      <c r="AE9" s="39"/>
      <c r="AF9" s="46"/>
      <c r="AG9" s="46"/>
      <c r="AH9" s="174"/>
      <c r="AI9" s="175"/>
      <c r="AJ9" s="176"/>
      <c r="AK9" s="175"/>
      <c r="AL9" s="175"/>
      <c r="AM9" s="175"/>
      <c r="AN9" s="139"/>
      <c r="AO9" s="139"/>
      <c r="AP9" s="29"/>
      <c r="AQ9" s="29"/>
      <c r="AR9" s="29"/>
      <c r="AS9" s="139"/>
      <c r="AT9" s="139"/>
      <c r="AU9" s="139"/>
      <c r="AV9" s="29"/>
      <c r="AW9" s="29"/>
      <c r="AX9" s="29"/>
      <c r="AY9" s="29"/>
      <c r="AZ9" s="29"/>
      <c r="BA9" s="138"/>
      <c r="BB9" s="140"/>
      <c r="BC9" s="140"/>
      <c r="BD9" s="140"/>
    </row>
    <row r="10" spans="1:56" s="30" customFormat="1" ht="22.15" customHeight="1" x14ac:dyDescent="0.25">
      <c r="B10" s="164">
        <v>2</v>
      </c>
      <c r="C10" s="7">
        <f>VLOOKUP(B10,Aux!M:AH,4,0)</f>
        <v>45823.75</v>
      </c>
      <c r="D10" s="8">
        <f>VLOOKUP(B10,Aux!M:AH,4,0)</f>
        <v>45823.75</v>
      </c>
      <c r="E10" s="102"/>
      <c r="F10" s="102" t="e" vm="18">
        <f>IFERROR(VLOOKUP(G10,Aux!$A:$X,8,0),"")</f>
        <v>#VALUE!</v>
      </c>
      <c r="G10" s="157" t="str">
        <f>VLOOKUP(B10,Aux!M:Y,5,0)</f>
        <v>Bayern Múnich</v>
      </c>
      <c r="H10" s="154" t="e" vm="19">
        <f>IFERROR(VLOOKUP(G10,Aux!$A:$C,3,0),"")</f>
        <v>#VALUE!</v>
      </c>
      <c r="I10" s="154"/>
      <c r="J10" s="203">
        <v>5</v>
      </c>
      <c r="K10" s="145" t="s">
        <v>40</v>
      </c>
      <c r="L10" s="203">
        <v>0</v>
      </c>
      <c r="M10" s="16"/>
      <c r="N10" s="154" t="e" vm="20">
        <f>IFERROR(VLOOKUP(O10,Aux!$A:$C,3,0),"")</f>
        <v>#VALUE!</v>
      </c>
      <c r="O10" s="155" t="str">
        <f>VLOOKUP(B10,Aux!M:Y,6,0)</f>
        <v>Auckland City</v>
      </c>
      <c r="P10" s="102" t="e" vm="21">
        <f>IFERROR(VLOOKUP(O10,Aux!$A:$X,8,0),"")</f>
        <v>#VALUE!</v>
      </c>
      <c r="Q10" s="16"/>
      <c r="R10" s="24" t="str">
        <f>VLOOKUP(B10,Aux!M:Y,7,0)</f>
        <v>TQL Stadium</v>
      </c>
      <c r="S10"/>
      <c r="T10" s="240" t="str">
        <f>INDEX($AH$10:$AH$17,MATCH(1,$AY$10:$AY$16,0))</f>
        <v>Bayern Múnich</v>
      </c>
      <c r="U10" s="91" t="e" vm="19">
        <f>IFERROR(VLOOKUP(T10,Aux!A:C,3,0),"")</f>
        <v>#VALUE!</v>
      </c>
      <c r="V10" s="92"/>
      <c r="W10" s="93">
        <f>VLOOKUP($T10,$AH$10:$AO$16,3,0)</f>
        <v>9</v>
      </c>
      <c r="X10" s="94">
        <f>VLOOKUP($T10,$AH$10:$AO$16,4,0)</f>
        <v>3</v>
      </c>
      <c r="Y10" s="94">
        <f>VLOOKUP($T10,$AH$10:$AO$16,5,0)</f>
        <v>0</v>
      </c>
      <c r="Z10" s="94">
        <f>VLOOKUP($T10,$AH$10:$AO$16,6,0)</f>
        <v>0</v>
      </c>
      <c r="AA10" s="95">
        <f>VLOOKUP($T10,$AH$10:$AO$16,7,0)</f>
        <v>13</v>
      </c>
      <c r="AB10" s="95">
        <f>VLOOKUP($T10,$AH$10:$AO$16,8,0)</f>
        <v>1</v>
      </c>
      <c r="AC10" s="95">
        <f>AA10-AB10</f>
        <v>12</v>
      </c>
      <c r="AD10" s="33"/>
      <c r="AE10" s="47"/>
      <c r="AF10" s="45"/>
      <c r="AG10" s="45">
        <v>1</v>
      </c>
      <c r="AH10" s="177" t="str">
        <f>VLOOKUP($AH$6&amp;AG10,Aux!Z:AA,2,0)</f>
        <v>Bayern Múnich</v>
      </c>
      <c r="AI10" s="45">
        <f>AK10+AL10+AM10</f>
        <v>3</v>
      </c>
      <c r="AJ10" s="45">
        <f>AK10*3+AL10</f>
        <v>9</v>
      </c>
      <c r="AK10" s="45" cm="1">
        <f t="array" ref="AK10">SUM(($G$10:$G$23=$AH10)*($J$10:$J$23&gt;$L$10:$L$23)+($O$10:$O$23=$AH10)*($J$10:$J$23&lt;$L$10:$L$23))</f>
        <v>3</v>
      </c>
      <c r="AL10" s="45" cm="1">
        <f t="array" ref="AL10">SUM(($G$10:$G$23=$AH10)*($J$10:$J$23=$L$10:$L$23)*($J$10:$J$23&lt;&gt;"")+($O$10:$O$23=$AH10)*($J$10:$J$23=$L$10:$L$23)*($J$10:$J$23&lt;&gt;""))</f>
        <v>0</v>
      </c>
      <c r="AM10" s="45" cm="1">
        <f t="array" ref="AM10">SUM(($G$10:$G$23=$AH10)*($J$10:$J$23&lt;$L$10:$L$23)+($O$10:$O$23=$AH10)*($J$10:$J$23&gt;$L$10:$L$23))</f>
        <v>0</v>
      </c>
      <c r="AN10" s="29" cm="1">
        <f t="array" ref="AN10">SUM(($G$10:$G$23=$AH10)*($J$10:$J$23)+($O$10:$O$23=$AH10)*($L$10:$L$23))</f>
        <v>13</v>
      </c>
      <c r="AO10" s="29" cm="1">
        <f t="array" ref="AO10">SUM(($G$10:$G$23=$AH10)*($L$10:$L$23)+($O$10:$O$23=$AH10)*($J$10:$J$23))</f>
        <v>1</v>
      </c>
      <c r="AP10" s="141">
        <f>AN10-AO10</f>
        <v>12</v>
      </c>
      <c r="AQ10" s="138">
        <v>0</v>
      </c>
      <c r="AR10" s="141">
        <f>+AW10+AV10+AU10</f>
        <v>9.0003050499999997</v>
      </c>
      <c r="AS10" s="29"/>
      <c r="AT10" s="29"/>
      <c r="AU10" s="141">
        <f>+AJ10</f>
        <v>9</v>
      </c>
      <c r="AV10" s="141">
        <f>SUMIFS($BA10:$BD10,$BA$6:$BD$6,AJ10)/1000</f>
        <v>0</v>
      </c>
      <c r="AW10" s="141">
        <f>SUMIFS($BA10:$BD10,$BA$5:$BD$5,AV10)/1000000</f>
        <v>3.0505000000000002E-4</v>
      </c>
      <c r="AX10" s="29">
        <f>_xlfn.RANK.EQ(AJ10,$AJ$10:$AJ$16)+_xlfn.RANK.EQ(AR10,$AR$10:$AR$16)/10+_xlfn.RANK.EQ(AP10,$AP$10:$AP$16)/1000+_xlfn.RANK.EQ(AN10,$AN$10:$AN$16)/100000+_xlfn.RANK.EQ(AQ10,$AQ$10:$AQ$16)/100000+ROW()/1000000</f>
        <v>1.1010300000000002</v>
      </c>
      <c r="AY10" s="29">
        <f>_xlfn.RANK.EQ(AX10,$AX$10:$AX$16,1)</f>
        <v>1</v>
      </c>
      <c r="AZ10" s="29"/>
      <c r="BA10" s="29" cm="1">
        <f t="array" ref="BA10">(SUM(($G$10:$G$23=$AH10)*($J$10:$J$23&gt;$L$10:$L$23)*($O$10:$O$23=BA$8)+($O$10:$O$23=$AH10)*($J$10:$J$23&lt;$L$10:$L$23)*($G$10:$G$23=BA$8)))*300+
(SUM(($G$10:$G$23=$AH10)*($J$10:$J$23=$L$10:$L$23)*($O$10:$O$23=BA$8)+($O$10:$O$23=$AH10)*($J$10:$J$23=$L$10:$L$23)*($G$10:$G$23=BA$8)))*100
+SUM(($G$10:$G$23=$AH10)*($J$10:$J$23)*($O$10:$O$23=BA$8)+($O$10:$O$23=$AH10)*($L$10:$L$23)*($G$10:$G$23=BA$8))
-SUM(($G$10:$G$23=$AH10)*($L$10:$L$23)*($O$10:$O$23=BA$8)+($O$10:$O$23=$AH10)*($J$10:$J$23)*($G$10:$G$23=BA$8))
+SUM(($G$10:$G$23=$AH10)*($J$10:$J$23)*($O$10:$O$23=BA$8)+($O$10:$O$23=$AH10)*($L$10:$L$23)*($G$10:$G$23=BA$8))/100</f>
        <v>0</v>
      </c>
      <c r="BB10" s="29" cm="1">
        <f t="array" ref="BB10">(SUM(($G$10:$G$23=$AH10)*($J$10:$J$23&gt;$L$10:$L$23)*($O$10:$O$23=BB$8)+($O$10:$O$23=$AH10)*($J$10:$J$23&lt;$L$10:$L$23)*($G$10:$G$23=BB$8)))*300+
(SUM(($G$10:$G$23=$AH10)*($J$10:$J$23=$L$10:$L$23)*($O$10:$O$23=BB$8)+($O$10:$O$23=$AH10)*($J$10:$J$23=$L$10:$L$23)*($G$10:$G$23=BB$8)))*100
+SUM(($G$10:$G$23=$AH10)*($J$10:$J$23)*($O$10:$O$23=BB$8)+($O$10:$O$23=$AH10)*($L$10:$L$23)*($G$10:$G$23=BB$8))
-SUM(($G$10:$G$23=$AH10)*($L$10:$L$23)*($O$10:$O$23=BB$8)+($O$10:$O$23=$AH10)*($J$10:$J$23)*($G$10:$G$23=BB$8))
+SUM(($G$10:$G$23=$AH10)*($J$10:$J$23)*($O$10:$O$23=BB$8)+($O$10:$O$23=$AH10)*($L$10:$L$23)*($G$10:$G$23=BB$8))/100</f>
        <v>305.05</v>
      </c>
      <c r="BC10" s="29" cm="1">
        <f t="array" ref="BC10">(SUM(($G$10:$G$23=$AH10)*($J$10:$J$23&gt;$L$10:$L$23)*($O$10:$O$23=BC$8)+($O$10:$O$23=$AH10)*($J$10:$J$23&lt;$L$10:$L$23)*($G$10:$G$23=BC$8)))*300+
(SUM(($G$10:$G$23=$AH10)*($J$10:$J$23=$L$10:$L$23)*($O$10:$O$23=BC$8)+($O$10:$O$23=$AH10)*($J$10:$J$23=$L$10:$L$23)*($G$10:$G$23=BC$8)))*100
+SUM(($G$10:$G$23=$AH10)*($J$10:$J$23)*($O$10:$O$23=BC$8)+($O$10:$O$23=$AH10)*($L$10:$L$23)*($G$10:$G$23=BC$8))
-SUM(($G$10:$G$23=$AH10)*($L$10:$L$23)*($O$10:$O$23=BC$8)+($O$10:$O$23=$AH10)*($J$10:$J$23)*($G$10:$G$23=BC$8))
+SUM(($G$10:$G$23=$AH10)*($J$10:$J$23)*($O$10:$O$23=BC$8)+($O$10:$O$23=$AH10)*($L$10:$L$23)*($G$10:$G$23=BC$8))/100</f>
        <v>304.04000000000002</v>
      </c>
      <c r="BD10" s="29" cm="1">
        <f t="array" ref="BD10">(SUM(($G$10:$G$23=$AH10)*($J$10:$J$23&gt;$L$10:$L$23)*($O$10:$O$23=BD$8)+($O$10:$O$23=$AH10)*($J$10:$J$23&lt;$L$10:$L$23)*($G$10:$G$23=BD$8)))*300+
(SUM(($G$10:$G$23=$AH10)*($J$10:$J$23=$L$10:$L$23)*($O$10:$O$23=BD$8)+($O$10:$O$23=$AH10)*($J$10:$J$23=$L$10:$L$23)*($G$10:$G$23=BD$8)))*100
+SUM(($G$10:$G$23=$AH10)*($J$10:$J$23)*($O$10:$O$23=BD$8)+($O$10:$O$23=$AH10)*($L$10:$L$23)*($G$10:$G$23=BD$8))
-SUM(($G$10:$G$23=$AH10)*($L$10:$L$23)*($O$10:$O$23=BD$8)+($O$10:$O$23=$AH10)*($J$10:$J$23)*($G$10:$G$23=BD$8))
+SUM(($G$10:$G$23=$AH10)*($J$10:$J$23)*($O$10:$O$23=BD$8)+($O$10:$O$23=$AH10)*($L$10:$L$23)*($G$10:$G$23=BD$8))/100</f>
        <v>303.04000000000002</v>
      </c>
    </row>
    <row r="11" spans="1:56" s="30" customFormat="1" ht="10.15" customHeight="1" x14ac:dyDescent="0.25">
      <c r="B11" s="164" t="str">
        <v/>
      </c>
      <c r="C11" s="7"/>
      <c r="D11" s="8"/>
      <c r="E11" s="102"/>
      <c r="F11" s="102"/>
      <c r="G11" s="157"/>
      <c r="H11" s="9"/>
      <c r="I11" s="9"/>
      <c r="J11" s="154"/>
      <c r="K11" s="9"/>
      <c r="L11" s="154"/>
      <c r="M11" s="16"/>
      <c r="N11" s="154"/>
      <c r="O11" s="155"/>
      <c r="P11" s="16"/>
      <c r="Q11" s="16"/>
      <c r="R11" s="24"/>
      <c r="S11"/>
      <c r="T11" s="240"/>
      <c r="U11" s="91"/>
      <c r="V11" s="92"/>
      <c r="W11" s="93"/>
      <c r="X11" s="94"/>
      <c r="Y11" s="94"/>
      <c r="Z11" s="94"/>
      <c r="AA11" s="95"/>
      <c r="AB11" s="95"/>
      <c r="AC11" s="95"/>
      <c r="AD11" s="33"/>
      <c r="AE11" s="47"/>
      <c r="AF11" s="45"/>
      <c r="AG11" s="45"/>
      <c r="AH11" s="177"/>
      <c r="AI11" s="45"/>
      <c r="AJ11" s="45"/>
      <c r="AK11" s="45"/>
      <c r="AL11" s="45"/>
      <c r="AM11" s="45"/>
      <c r="AN11" s="29"/>
      <c r="AO11" s="29"/>
      <c r="AP11" s="141"/>
      <c r="AQ11" s="138"/>
      <c r="AR11" s="141"/>
      <c r="AS11" s="29"/>
      <c r="AT11" s="29"/>
      <c r="AU11" s="29"/>
      <c r="AV11" s="141"/>
      <c r="AW11" s="141"/>
      <c r="AX11" s="29"/>
      <c r="AY11" s="29"/>
      <c r="AZ11" s="29"/>
      <c r="BA11" s="29"/>
      <c r="BB11" s="29"/>
      <c r="BC11" s="29"/>
      <c r="BD11" s="29"/>
    </row>
    <row r="12" spans="1:56" s="30" customFormat="1" ht="22.15" customHeight="1" x14ac:dyDescent="0.25">
      <c r="B12" s="164">
        <v>7</v>
      </c>
      <c r="C12" s="7">
        <f>VLOOKUP(B12,Aux!M:AH,4,0)</f>
        <v>45825</v>
      </c>
      <c r="D12" s="8">
        <f>VLOOKUP(B12,Aux!M:AH,4,0)</f>
        <v>45825</v>
      </c>
      <c r="E12" s="102"/>
      <c r="F12" s="102" t="e" vm="22">
        <f>IFERROR(VLOOKUP(G12,Aux!$A:$X,8,0),"")</f>
        <v>#VALUE!</v>
      </c>
      <c r="G12" s="157" t="str">
        <f>VLOOKUP(B12,Aux!M:Y,5,0)</f>
        <v>Boca Juniors</v>
      </c>
      <c r="H12" s="154" t="e" vm="23">
        <f>IFERROR(VLOOKUP(G12,Aux!$A:$C,3,0),"")</f>
        <v>#VALUE!</v>
      </c>
      <c r="I12" s="154"/>
      <c r="J12" s="203">
        <v>1</v>
      </c>
      <c r="K12" s="145" t="s">
        <v>40</v>
      </c>
      <c r="L12" s="203">
        <v>1</v>
      </c>
      <c r="M12" s="16"/>
      <c r="N12" s="154" t="e" vm="24">
        <f>IFERROR(VLOOKUP(O12,Aux!$A:$C,3,0),"")</f>
        <v>#VALUE!</v>
      </c>
      <c r="O12" s="155" t="str">
        <f>VLOOKUP(B12,Aux!M:Y,6,0)</f>
        <v>Benfica</v>
      </c>
      <c r="P12" s="102" t="e" vm="11">
        <f>IFERROR(VLOOKUP(O12,Aux!$A:$X,8,0),"")</f>
        <v>#VALUE!</v>
      </c>
      <c r="Q12" s="16"/>
      <c r="R12" s="24" t="str">
        <f>VLOOKUP(B12,Aux!M:Y,7,0)</f>
        <v>Hard Rock Stadium</v>
      </c>
      <c r="S12"/>
      <c r="T12" s="240" t="str">
        <f>INDEX($AH$10:$AH$17,MATCH(2,$AY$10:$AY$16,0))</f>
        <v>Boca Juniors</v>
      </c>
      <c r="U12" s="91" t="e" vm="23">
        <f>IFERROR(VLOOKUP(T12,Aux!A:C,3,0),"")</f>
        <v>#VALUE!</v>
      </c>
      <c r="V12" s="92"/>
      <c r="W12" s="93">
        <f>VLOOKUP($T12,$AH$10:$AO$16,3,0)</f>
        <v>4</v>
      </c>
      <c r="X12" s="94">
        <f>VLOOKUP($T12,$AH$10:$AO$16,4,0)</f>
        <v>1</v>
      </c>
      <c r="Y12" s="94">
        <f>VLOOKUP($T12,$AH$10:$AO$16,5,0)</f>
        <v>1</v>
      </c>
      <c r="Z12" s="94">
        <f>VLOOKUP($T12,$AH$10:$AO$16,6,0)</f>
        <v>1</v>
      </c>
      <c r="AA12" s="95">
        <f>VLOOKUP($T12,$AH$10:$AO$16,7,0)</f>
        <v>3</v>
      </c>
      <c r="AB12" s="95">
        <f>VLOOKUP($T12,$AH$10:$AO$16,8,0)</f>
        <v>5</v>
      </c>
      <c r="AC12" s="95">
        <f>AA12-AB12</f>
        <v>-2</v>
      </c>
      <c r="AD12" s="33"/>
      <c r="AE12" s="39"/>
      <c r="AF12" s="46"/>
      <c r="AG12" s="45">
        <v>2</v>
      </c>
      <c r="AH12" s="177" t="str">
        <f>VLOOKUP($AH$6&amp;AG12,Aux!Z:AA,2,0)</f>
        <v>Auckland City</v>
      </c>
      <c r="AI12" s="45">
        <f>AK12+AL12+AM12</f>
        <v>3</v>
      </c>
      <c r="AJ12" s="45">
        <f>AK12*3+AL12</f>
        <v>0</v>
      </c>
      <c r="AK12" s="45" cm="1">
        <f t="array" ref="AK12">SUM(($G$10:$G$23=$AH12)*($J$10:$J$23&gt;$L$10:$L$23)+($O$10:$O$23=$AH12)*($J$10:$J$23&lt;$L$10:$L$23))</f>
        <v>0</v>
      </c>
      <c r="AL12" s="45" cm="1">
        <f t="array" ref="AL12">SUM(($G$10:$G$23=$AH12)*($J$10:$J$23=$L$10:$L$23)*($J$10:$J$23&lt;&gt;"")+($O$10:$O$23=$AH12)*($J$10:$J$23=$L$10:$L$23)*($J$10:$J$23&lt;&gt;""))</f>
        <v>0</v>
      </c>
      <c r="AM12" s="45" cm="1">
        <f t="array" ref="AM12">SUM(($G$10:$G$23=$AH12)*($J$10:$J$23&lt;$L$10:$L$23)+($O$10:$O$23=$AH12)*($J$10:$J$23&gt;$L$10:$L$23))</f>
        <v>3</v>
      </c>
      <c r="AN12" s="29" cm="1">
        <f t="array" ref="AN12">SUM(($G$10:$G$23=$AH12)*($J$10:$J$23)+($O$10:$O$23=$AH12)*($L$10:$L$23))</f>
        <v>0</v>
      </c>
      <c r="AO12" s="29" cm="1">
        <f t="array" ref="AO12">SUM(($G$10:$G$23=$AH12)*($L$10:$L$23)+($O$10:$O$23=$AH12)*($J$10:$J$23))</f>
        <v>8</v>
      </c>
      <c r="AP12" s="141">
        <f>AN12-AO12</f>
        <v>-8</v>
      </c>
      <c r="AQ12" s="138">
        <v>0</v>
      </c>
      <c r="AR12" s="141">
        <f>+AW12+AV12+AU12</f>
        <v>-5.0000000000000004E-6</v>
      </c>
      <c r="AS12" s="29"/>
      <c r="AT12" s="29"/>
      <c r="AU12" s="141">
        <f>+AJ12</f>
        <v>0</v>
      </c>
      <c r="AV12" s="141">
        <f>SUMIFS($BA12:$BD12,$BA$6:$BD$6,AJ12)/1000</f>
        <v>0</v>
      </c>
      <c r="AW12" s="141">
        <f>SUMIFS($BA12:$BD12,$BA$5:$BD$5,AV12)/1000000</f>
        <v>-5.0000000000000004E-6</v>
      </c>
      <c r="AX12" s="29">
        <f>_xlfn.RANK.EQ(AJ12,$AJ$10:$AJ$16)+_xlfn.RANK.EQ(AR12,$AR$10:$AR$16)/10+_xlfn.RANK.EQ(AP12,$AP$10:$AP$16)/1000+_xlfn.RANK.EQ(AN12,$AN$10:$AN$16)/100000+_xlfn.RANK.EQ(AQ12,$AQ$10:$AQ$16)/100000+ROW()/1000000</f>
        <v>4.4040619999999997</v>
      </c>
      <c r="AY12" s="29">
        <f>_xlfn.RANK.EQ(AX12,$AX$10:$AX$16,1)</f>
        <v>4</v>
      </c>
      <c r="AZ12" s="29"/>
      <c r="BA12" s="29" cm="1">
        <f t="array" ref="BA12">(SUM(($G$10:$G$23=$AH12)*($J$10:$J$23&gt;$L$10:$L$23)*($O$10:$O$23=BA$8)+($O$10:$O$23=$AH12)*($J$10:$J$23&lt;$L$10:$L$23)*($G$10:$G$23=BA$8)))*300+
(SUM(($G$10:$G$23=$AH12)*($J$10:$J$23=$L$10:$L$23)*($O$10:$O$23=BA$8)+($O$10:$O$23=$AH12)*($J$10:$J$23=$L$10:$L$23)*($G$10:$G$23=BA$8)))*100
+SUM(($G$10:$G$23=$AH12)*($J$10:$J$23)*($O$10:$O$23=BA$8)+($O$10:$O$23=$AH12)*($L$10:$L$23)*($G$10:$G$23=BA$8))
-SUM(($G$10:$G$23=$AH12)*($L$10:$L$23)*($O$10:$O$23=BA$8)+($O$10:$O$23=$AH12)*($J$10:$J$23)*($G$10:$G$23=BA$8))
+SUM(($G$10:$G$23=$AH12)*($J$10:$J$23)*($O$10:$O$23=BA$8)+($O$10:$O$23=$AH12)*($L$10:$L$23)*($G$10:$G$23=BA$8))/100</f>
        <v>-5</v>
      </c>
      <c r="BB12" s="29" cm="1">
        <f t="array" ref="BB12">(SUM(($G$10:$G$23=$AH12)*($J$10:$J$23&gt;$L$10:$L$23)*($O$10:$O$23=BB$8)+($O$10:$O$23=$AH12)*($J$10:$J$23&lt;$L$10:$L$23)*($G$10:$G$23=BB$8)))*300+
(SUM(($G$10:$G$23=$AH12)*($J$10:$J$23=$L$10:$L$23)*($O$10:$O$23=BB$8)+($O$10:$O$23=$AH12)*($J$10:$J$23=$L$10:$L$23)*($G$10:$G$23=BB$8)))*100
+SUM(($G$10:$G$23=$AH12)*($J$10:$J$23)*($O$10:$O$23=BB$8)+($O$10:$O$23=$AH12)*($L$10:$L$23)*($G$10:$G$23=BB$8))
-SUM(($G$10:$G$23=$AH12)*($L$10:$L$23)*($O$10:$O$23=BB$8)+($O$10:$O$23=$AH12)*($J$10:$J$23)*($G$10:$G$23=BB$8))
+SUM(($G$10:$G$23=$AH12)*($J$10:$J$23)*($O$10:$O$23=BB$8)+($O$10:$O$23=$AH12)*($L$10:$L$23)*($G$10:$G$23=BB$8))/100</f>
        <v>0</v>
      </c>
      <c r="BC12" s="29" cm="1">
        <f t="array" ref="BC12">(SUM(($G$10:$G$23=$AH12)*($J$10:$J$23&gt;$L$10:$L$23)*($O$10:$O$23=BC$8)+($O$10:$O$23=$AH12)*($J$10:$J$23&lt;$L$10:$L$23)*($G$10:$G$23=BC$8)))*300+
(SUM(($G$10:$G$23=$AH12)*($J$10:$J$23=$L$10:$L$23)*($O$10:$O$23=BC$8)+($O$10:$O$23=$AH12)*($J$10:$J$23=$L$10:$L$23)*($G$10:$G$23=BC$8)))*100
+SUM(($G$10:$G$23=$AH12)*($J$10:$J$23)*($O$10:$O$23=BC$8)+($O$10:$O$23=$AH12)*($L$10:$L$23)*($G$10:$G$23=BC$8))
-SUM(($G$10:$G$23=$AH12)*($L$10:$L$23)*($O$10:$O$23=BC$8)+($O$10:$O$23=$AH12)*($J$10:$J$23)*($G$10:$G$23=BC$8))
+SUM(($G$10:$G$23=$AH12)*($J$10:$J$23)*($O$10:$O$23=BC$8)+($O$10:$O$23=$AH12)*($L$10:$L$23)*($G$10:$G$23=BC$8))/100</f>
        <v>-2</v>
      </c>
      <c r="BD12" s="29" cm="1">
        <f t="array" ref="BD12">(SUM(($G$10:$G$23=$AH12)*($J$10:$J$23&gt;$L$10:$L$23)*($O$10:$O$23=BD$8)+($O$10:$O$23=$AH12)*($J$10:$J$23&lt;$L$10:$L$23)*($G$10:$G$23=BD$8)))*300+
(SUM(($G$10:$G$23=$AH12)*($J$10:$J$23=$L$10:$L$23)*($O$10:$O$23=BD$8)+($O$10:$O$23=$AH12)*($J$10:$J$23=$L$10:$L$23)*($G$10:$G$23=BD$8)))*100
+SUM(($G$10:$G$23=$AH12)*($J$10:$J$23)*($O$10:$O$23=BD$8)+($O$10:$O$23=$AH12)*($L$10:$L$23)*($G$10:$G$23=BD$8))
-SUM(($G$10:$G$23=$AH12)*($L$10:$L$23)*($O$10:$O$23=BD$8)+($O$10:$O$23=$AH12)*($J$10:$J$23)*($G$10:$G$23=BD$8))
+SUM(($G$10:$G$23=$AH12)*($J$10:$J$23)*($O$10:$O$23=BD$8)+($O$10:$O$23=$AH12)*($L$10:$L$23)*($G$10:$G$23=BD$8))/100</f>
        <v>-1</v>
      </c>
    </row>
    <row r="13" spans="1:56" s="30" customFormat="1" ht="10.15" customHeight="1" x14ac:dyDescent="0.25">
      <c r="B13" s="164" t="str">
        <v/>
      </c>
      <c r="C13" s="10"/>
      <c r="D13" s="11"/>
      <c r="E13" s="103"/>
      <c r="F13" s="103"/>
      <c r="G13" s="158"/>
      <c r="H13" s="12"/>
      <c r="I13" s="12"/>
      <c r="J13" s="145"/>
      <c r="K13" s="145"/>
      <c r="L13" s="145"/>
      <c r="M13" s="16"/>
      <c r="N13" s="154"/>
      <c r="O13" s="156"/>
      <c r="P13" s="17"/>
      <c r="Q13" s="17"/>
      <c r="R13" s="25"/>
      <c r="S13"/>
      <c r="T13" s="240"/>
      <c r="U13" s="91"/>
      <c r="V13" s="92"/>
      <c r="W13" s="93"/>
      <c r="X13" s="94"/>
      <c r="Y13" s="94"/>
      <c r="Z13" s="94"/>
      <c r="AA13" s="95"/>
      <c r="AB13" s="95"/>
      <c r="AC13" s="95"/>
      <c r="AD13" s="33"/>
      <c r="AE13" s="39"/>
      <c r="AF13" s="46"/>
      <c r="AG13" s="45"/>
      <c r="AH13" s="177"/>
      <c r="AI13" s="45"/>
      <c r="AJ13" s="45"/>
      <c r="AK13" s="45"/>
      <c r="AL13" s="45"/>
      <c r="AM13" s="45"/>
      <c r="AN13" s="29"/>
      <c r="AO13" s="29"/>
      <c r="AP13" s="141"/>
      <c r="AQ13" s="138"/>
      <c r="AR13" s="141"/>
      <c r="AS13" s="29"/>
      <c r="AT13" s="29"/>
      <c r="AU13" s="29"/>
      <c r="AV13" s="141"/>
      <c r="AW13" s="141"/>
      <c r="AX13" s="29"/>
      <c r="AY13" s="29"/>
      <c r="AZ13" s="29"/>
      <c r="BA13" s="29"/>
      <c r="BB13" s="29"/>
      <c r="BC13" s="29"/>
      <c r="BD13" s="29"/>
    </row>
    <row r="14" spans="1:56" s="30" customFormat="1" ht="22.15" customHeight="1" x14ac:dyDescent="0.25">
      <c r="B14" s="164">
        <v>21</v>
      </c>
      <c r="C14" s="7">
        <f>VLOOKUP(B14,Aux!M:AH,4,0)</f>
        <v>45828.75</v>
      </c>
      <c r="D14" s="8">
        <f>VLOOKUP(B14,Aux!M:AH,4,0)</f>
        <v>45828.75</v>
      </c>
      <c r="E14" s="102"/>
      <c r="F14" s="102" t="e" vm="11">
        <f>IFERROR(VLOOKUP(G14,Aux!$A:$X,8,0),"")</f>
        <v>#VALUE!</v>
      </c>
      <c r="G14" s="157" t="str">
        <f>VLOOKUP(B14,Aux!M:Y,5,0)</f>
        <v>Benfica</v>
      </c>
      <c r="H14" s="154" t="e" vm="24">
        <f>IFERROR(VLOOKUP(G14,Aux!$A:$C,3,0),"")</f>
        <v>#VALUE!</v>
      </c>
      <c r="I14" s="154"/>
      <c r="J14" s="203">
        <v>1</v>
      </c>
      <c r="K14" s="145" t="s">
        <v>40</v>
      </c>
      <c r="L14" s="203">
        <v>0</v>
      </c>
      <c r="M14" s="16"/>
      <c r="N14" s="154" t="e" vm="20">
        <f>IFERROR(VLOOKUP(O14,Aux!$A:$C,3,0),"")</f>
        <v>#VALUE!</v>
      </c>
      <c r="O14" s="155" t="str">
        <f>VLOOKUP(B14,Aux!M:Y,6,0)</f>
        <v>Auckland City</v>
      </c>
      <c r="P14" s="102" t="e" vm="21">
        <f>IFERROR(VLOOKUP(O14,Aux!$A:$X,8,0),"")</f>
        <v>#VALUE!</v>
      </c>
      <c r="Q14" s="16"/>
      <c r="R14" s="24" t="str">
        <f>VLOOKUP(B14,Aux!M:Y,7,0)</f>
        <v>Inter&amp;Co Stadium</v>
      </c>
      <c r="S14"/>
      <c r="T14" s="240" t="str">
        <f>INDEX($AH$10:$AH$17,MATCH(3,$AY$10:$AY$16,0))</f>
        <v>Benfica</v>
      </c>
      <c r="U14" s="91" t="e" vm="24">
        <f>IFERROR(VLOOKUP(T14,Aux!A:C,3,0),"")</f>
        <v>#VALUE!</v>
      </c>
      <c r="V14" s="92"/>
      <c r="W14" s="93">
        <f>VLOOKUP($T14,$AH$10:$AO$16,3,0)</f>
        <v>4</v>
      </c>
      <c r="X14" s="94">
        <f>VLOOKUP($T14,$AH$10:$AO$16,4,0)</f>
        <v>1</v>
      </c>
      <c r="Y14" s="94">
        <f>VLOOKUP($T14,$AH$10:$AO$16,5,0)</f>
        <v>1</v>
      </c>
      <c r="Z14" s="94">
        <f>VLOOKUP($T14,$AH$10:$AO$16,6,0)</f>
        <v>1</v>
      </c>
      <c r="AA14" s="95">
        <f>VLOOKUP($T14,$AH$10:$AO$16,7,0)</f>
        <v>3</v>
      </c>
      <c r="AB14" s="95">
        <f>VLOOKUP($T14,$AH$10:$AO$16,8,0)</f>
        <v>5</v>
      </c>
      <c r="AC14" s="95">
        <f>AA14-AB14</f>
        <v>-2</v>
      </c>
      <c r="AD14" s="33"/>
      <c r="AE14" s="47"/>
      <c r="AF14" s="45"/>
      <c r="AG14" s="45">
        <v>3</v>
      </c>
      <c r="AH14" s="177" t="str">
        <f>VLOOKUP($AH$6&amp;AG14,Aux!Z:AA,2,0)</f>
        <v>Boca Juniors</v>
      </c>
      <c r="AI14" s="45">
        <f>AK14+AL14+AM14</f>
        <v>3</v>
      </c>
      <c r="AJ14" s="45">
        <f>AK14*3+AL14</f>
        <v>4</v>
      </c>
      <c r="AK14" s="45" cm="1">
        <f t="array" ref="AK14">SUM(($G$10:$G$23=$AH14)*($J$10:$J$23&gt;$L$10:$L$23)+($O$10:$O$23=$AH14)*($J$10:$J$23&lt;$L$10:$L$23))</f>
        <v>1</v>
      </c>
      <c r="AL14" s="45" cm="1">
        <f t="array" ref="AL14">SUM(($G$10:$G$23=$AH14)*($J$10:$J$23=$L$10:$L$23)*($J$10:$J$23&lt;&gt;"")+($O$10:$O$23=$AH14)*($J$10:$J$23=$L$10:$L$23)*($J$10:$J$23&lt;&gt;""))</f>
        <v>1</v>
      </c>
      <c r="AM14" s="45" cm="1">
        <f t="array" ref="AM14">SUM(($G$10:$G$23=$AH14)*($J$10:$J$23&lt;$L$10:$L$23)+($O$10:$O$23=$AH14)*($J$10:$J$23&gt;$L$10:$L$23))</f>
        <v>1</v>
      </c>
      <c r="AN14" s="29" cm="1">
        <f t="array" ref="AN14">SUM(($G$10:$G$23=$AH14)*($J$10:$J$23)+($O$10:$O$23=$AH14)*($L$10:$L$23))</f>
        <v>3</v>
      </c>
      <c r="AO14" s="29" cm="1">
        <f t="array" ref="AO14">SUM(($G$10:$G$23=$AH14)*($L$10:$L$23)+($O$10:$O$23=$AH14)*($J$10:$J$23))</f>
        <v>5</v>
      </c>
      <c r="AP14" s="141">
        <f>AN14-AO14</f>
        <v>-2</v>
      </c>
      <c r="AQ14" s="138">
        <v>0</v>
      </c>
      <c r="AR14" s="141">
        <f>+AW14+AV14+AU14</f>
        <v>4.1001100099999999</v>
      </c>
      <c r="AS14" s="29"/>
      <c r="AT14" s="29"/>
      <c r="AU14" s="141">
        <f>+AJ14</f>
        <v>4</v>
      </c>
      <c r="AV14" s="141">
        <f>SUMIFS($BA14:$BD14,$BA$6:$BD$6,AJ14)/1000</f>
        <v>0.10001</v>
      </c>
      <c r="AW14" s="141">
        <f>SUMIFS($BA14:$BD14,$BA$5:$BD$5,AV14)/1000000</f>
        <v>1.0001E-4</v>
      </c>
      <c r="AX14" s="29">
        <f>_xlfn.RANK.EQ(AJ14,$AJ$10:$AJ$16)+_xlfn.RANK.EQ(AR14,$AR$10:$AR$16)/10+_xlfn.RANK.EQ(AP14,$AP$10:$AP$16)/1000+_xlfn.RANK.EQ(AN14,$AN$10:$AN$16)/100000+_xlfn.RANK.EQ(AQ14,$AQ$10:$AQ$16)/100000+ROW()/1000000</f>
        <v>2.2020440000000003</v>
      </c>
      <c r="AY14" s="29">
        <f>_xlfn.RANK.EQ(AX14,$AX$10:$AX$16,1)</f>
        <v>2</v>
      </c>
      <c r="AZ14" s="29"/>
      <c r="BA14" s="29" cm="1">
        <f t="array" ref="BA14">(SUM(($G$10:$G$23=$AH14)*($J$10:$J$23&gt;$L$10:$L$23)*($O$10:$O$23=BA$8)+($O$10:$O$23=$AH14)*($J$10:$J$23&lt;$L$10:$L$23)*($G$10:$G$23=BA$8)))*300+
(SUM(($G$10:$G$23=$AH14)*($J$10:$J$23=$L$10:$L$23)*($O$10:$O$23=BA$8)+($O$10:$O$23=$AH14)*($J$10:$J$23=$L$10:$L$23)*($G$10:$G$23=BA$8)))*100
+SUM(($G$10:$G$23=$AH14)*($J$10:$J$23)*($O$10:$O$23=BA$8)+($O$10:$O$23=$AH14)*($L$10:$L$23)*($G$10:$G$23=BA$8))
-SUM(($G$10:$G$23=$AH14)*($L$10:$L$23)*($O$10:$O$23=BA$8)+($O$10:$O$23=$AH14)*($J$10:$J$23)*($G$10:$G$23=BA$8))
+SUM(($G$10:$G$23=$AH14)*($J$10:$J$23)*($O$10:$O$23=BA$8)+($O$10:$O$23=$AH14)*($L$10:$L$23)*($G$10:$G$23=BA$8))/100</f>
        <v>-4</v>
      </c>
      <c r="BB14" s="29" cm="1">
        <f t="array" ref="BB14">(SUM(($G$10:$G$23=$AH14)*($J$10:$J$23&gt;$L$10:$L$23)*($O$10:$O$23=BB$8)+($O$10:$O$23=$AH14)*($J$10:$J$23&lt;$L$10:$L$23)*($G$10:$G$23=BB$8)))*300+
(SUM(($G$10:$G$23=$AH14)*($J$10:$J$23=$L$10:$L$23)*($O$10:$O$23=BB$8)+($O$10:$O$23=$AH14)*($J$10:$J$23=$L$10:$L$23)*($G$10:$G$23=BB$8)))*100
+SUM(($G$10:$G$23=$AH14)*($J$10:$J$23)*($O$10:$O$23=BB$8)+($O$10:$O$23=$AH14)*($L$10:$L$23)*($G$10:$G$23=BB$8))
-SUM(($G$10:$G$23=$AH14)*($L$10:$L$23)*($O$10:$O$23=BB$8)+($O$10:$O$23=$AH14)*($J$10:$J$23)*($G$10:$G$23=BB$8))
+SUM(($G$10:$G$23=$AH14)*($J$10:$J$23)*($O$10:$O$23=BB$8)+($O$10:$O$23=$AH14)*($L$10:$L$23)*($G$10:$G$23=BB$8))/100</f>
        <v>302.02</v>
      </c>
      <c r="BC14" s="29" cm="1">
        <f t="array" ref="BC14">(SUM(($G$10:$G$23=$AH14)*($J$10:$J$23&gt;$L$10:$L$23)*($O$10:$O$23=BC$8)+($O$10:$O$23=$AH14)*($J$10:$J$23&lt;$L$10:$L$23)*($G$10:$G$23=BC$8)))*300+
(SUM(($G$10:$G$23=$AH14)*($J$10:$J$23=$L$10:$L$23)*($O$10:$O$23=BC$8)+($O$10:$O$23=$AH14)*($J$10:$J$23=$L$10:$L$23)*($G$10:$G$23=BC$8)))*100
+SUM(($G$10:$G$23=$AH14)*($J$10:$J$23)*($O$10:$O$23=BC$8)+($O$10:$O$23=$AH14)*($L$10:$L$23)*($G$10:$G$23=BC$8))
-SUM(($G$10:$G$23=$AH14)*($L$10:$L$23)*($O$10:$O$23=BC$8)+($O$10:$O$23=$AH14)*($J$10:$J$23)*($G$10:$G$23=BC$8))
+SUM(($G$10:$G$23=$AH14)*($J$10:$J$23)*($O$10:$O$23=BC$8)+($O$10:$O$23=$AH14)*($L$10:$L$23)*($G$10:$G$23=BC$8))/100</f>
        <v>0</v>
      </c>
      <c r="BD14" s="29" cm="1">
        <f t="array" ref="BD14">(SUM(($G$10:$G$23=$AH14)*($J$10:$J$23&gt;$L$10:$L$23)*($O$10:$O$23=BD$8)+($O$10:$O$23=$AH14)*($J$10:$J$23&lt;$L$10:$L$23)*($G$10:$G$23=BD$8)))*300+
(SUM(($G$10:$G$23=$AH14)*($J$10:$J$23=$L$10:$L$23)*($O$10:$O$23=BD$8)+($O$10:$O$23=$AH14)*($J$10:$J$23=$L$10:$L$23)*($G$10:$G$23=BD$8)))*100
+SUM(($G$10:$G$23=$AH14)*($J$10:$J$23)*($O$10:$O$23=BD$8)+($O$10:$O$23=$AH14)*($L$10:$L$23)*($G$10:$G$23=BD$8))
-SUM(($G$10:$G$23=$AH14)*($L$10:$L$23)*($O$10:$O$23=BD$8)+($O$10:$O$23=$AH14)*($J$10:$J$23)*($G$10:$G$23=BD$8))
+SUM(($G$10:$G$23=$AH14)*($J$10:$J$23)*($O$10:$O$23=BD$8)+($O$10:$O$23=$AH14)*($L$10:$L$23)*($G$10:$G$23=BD$8))/100</f>
        <v>100.01</v>
      </c>
    </row>
    <row r="15" spans="1:56" s="30" customFormat="1" ht="10.15" customHeight="1" x14ac:dyDescent="0.25">
      <c r="B15" s="164" t="str">
        <v/>
      </c>
      <c r="C15" s="7"/>
      <c r="D15" s="8"/>
      <c r="E15" s="102"/>
      <c r="F15" s="102"/>
      <c r="G15" s="157"/>
      <c r="H15" s="9"/>
      <c r="I15" s="9"/>
      <c r="J15" s="154"/>
      <c r="K15" s="9"/>
      <c r="L15" s="154"/>
      <c r="M15" s="16"/>
      <c r="N15" s="154"/>
      <c r="O15" s="155"/>
      <c r="P15" s="16"/>
      <c r="Q15" s="16"/>
      <c r="R15" s="24"/>
      <c r="S15"/>
      <c r="T15" s="240"/>
      <c r="U15" s="91"/>
      <c r="V15" s="92"/>
      <c r="W15" s="93"/>
      <c r="X15" s="94"/>
      <c r="Y15" s="94"/>
      <c r="Z15" s="94"/>
      <c r="AA15" s="95"/>
      <c r="AB15" s="95"/>
      <c r="AC15" s="95"/>
      <c r="AD15" s="33"/>
      <c r="AE15" s="47"/>
      <c r="AF15" s="45"/>
      <c r="AG15" s="45"/>
      <c r="AH15" s="177"/>
      <c r="AI15" s="45"/>
      <c r="AJ15" s="45"/>
      <c r="AK15" s="45"/>
      <c r="AL15" s="45"/>
      <c r="AM15" s="45"/>
      <c r="AN15" s="29"/>
      <c r="AO15" s="29"/>
      <c r="AP15" s="141"/>
      <c r="AQ15" s="138"/>
      <c r="AR15" s="141"/>
      <c r="AS15" s="29"/>
      <c r="AT15" s="29"/>
      <c r="AU15" s="29"/>
      <c r="AV15" s="141"/>
      <c r="AW15" s="141"/>
      <c r="AX15" s="29"/>
      <c r="AY15" s="29"/>
      <c r="AZ15" s="29"/>
      <c r="BA15" s="29"/>
      <c r="BB15" s="29"/>
      <c r="BC15" s="29"/>
      <c r="BD15" s="29"/>
    </row>
    <row r="16" spans="1:56" s="30" customFormat="1" ht="22.15" customHeight="1" x14ac:dyDescent="0.25">
      <c r="B16" s="164">
        <v>24</v>
      </c>
      <c r="C16" s="7">
        <f>VLOOKUP(B16,Aux!M:AH,4,0)</f>
        <v>45829.125</v>
      </c>
      <c r="D16" s="8">
        <f>VLOOKUP(B16,Aux!M:AH,4,0)</f>
        <v>45829.125</v>
      </c>
      <c r="E16" s="102"/>
      <c r="F16" s="102" t="e" vm="18">
        <f>IFERROR(VLOOKUP(G16,Aux!$A:$X,8,0),"")</f>
        <v>#VALUE!</v>
      </c>
      <c r="G16" s="157" t="str">
        <f>VLOOKUP(B16,Aux!M:Y,5,0)</f>
        <v>Bayern Múnich</v>
      </c>
      <c r="H16" s="154" t="e" vm="19">
        <f>IFERROR(VLOOKUP(G16,Aux!$A:$C,3,0),"")</f>
        <v>#VALUE!</v>
      </c>
      <c r="I16" s="154"/>
      <c r="J16" s="203">
        <v>4</v>
      </c>
      <c r="K16" s="145" t="s">
        <v>40</v>
      </c>
      <c r="L16" s="203">
        <v>0</v>
      </c>
      <c r="M16" s="16"/>
      <c r="N16" s="154" t="e" vm="23">
        <f>IFERROR(VLOOKUP(O16,Aux!$A:$C,3,0),"")</f>
        <v>#VALUE!</v>
      </c>
      <c r="O16" s="155" t="str">
        <f>VLOOKUP(B16,Aux!M:Y,6,0)</f>
        <v>Boca Juniors</v>
      </c>
      <c r="P16" s="102" t="e" vm="22">
        <f>IFERROR(VLOOKUP(O16,Aux!$A:$X,8,0),"")</f>
        <v>#VALUE!</v>
      </c>
      <c r="Q16" s="16"/>
      <c r="R16" s="24" t="str">
        <f>VLOOKUP(B16,Aux!M:Y,7,0)</f>
        <v>Hard Rock Stadium</v>
      </c>
      <c r="S16"/>
      <c r="T16" s="240" t="str">
        <f>INDEX($AH$10:$AH$17,MATCH(4,$AY$10:$AY$16,0))</f>
        <v>Auckland City</v>
      </c>
      <c r="U16" s="91" t="e" vm="20">
        <f>IFERROR(VLOOKUP(T16,Aux!A:C,3,0),"")</f>
        <v>#VALUE!</v>
      </c>
      <c r="V16" s="92"/>
      <c r="W16" s="93">
        <f>VLOOKUP($T16,$AH$10:$AO$16,3,0)</f>
        <v>0</v>
      </c>
      <c r="X16" s="94">
        <f>VLOOKUP($T16,$AH$10:$AO$16,4,0)</f>
        <v>0</v>
      </c>
      <c r="Y16" s="94">
        <f>VLOOKUP($T16,$AH$10:$AO$16,5,0)</f>
        <v>0</v>
      </c>
      <c r="Z16" s="94">
        <f>VLOOKUP($T16,$AH$10:$AO$16,6,0)</f>
        <v>3</v>
      </c>
      <c r="AA16" s="95">
        <f>VLOOKUP($T16,$AH$10:$AO$16,7,0)</f>
        <v>0</v>
      </c>
      <c r="AB16" s="95">
        <f>VLOOKUP($T16,$AH$10:$AO$16,8,0)</f>
        <v>8</v>
      </c>
      <c r="AC16" s="95">
        <f>AA16-AB16</f>
        <v>-8</v>
      </c>
      <c r="AD16" s="33"/>
      <c r="AE16" s="39"/>
      <c r="AF16" s="46"/>
      <c r="AG16" s="45">
        <v>4</v>
      </c>
      <c r="AH16" s="177" t="str">
        <f>VLOOKUP($AH$6&amp;AG16,Aux!Z:AA,2,0)</f>
        <v>Benfica</v>
      </c>
      <c r="AI16" s="45">
        <f>AK16+AL16+AM16</f>
        <v>3</v>
      </c>
      <c r="AJ16" s="45">
        <f>AK16*3+AL16</f>
        <v>4</v>
      </c>
      <c r="AK16" s="45" cm="1">
        <f t="array" ref="AK16">SUM(($G$10:$G$23=$AH16)*($J$10:$J$23&gt;$L$10:$L$23)+($O$10:$O$23=$AH16)*($J$10:$J$23&lt;$L$10:$L$23))</f>
        <v>1</v>
      </c>
      <c r="AL16" s="45" cm="1">
        <f t="array" ref="AL16">SUM(($G$10:$G$23=$AH16)*($J$10:$J$23=$L$10:$L$23)*($J$10:$J$23&lt;&gt;"")+($O$10:$O$23=$AH16)*($J$10:$J$23=$L$10:$L$23)*($J$10:$J$23&lt;&gt;""))</f>
        <v>1</v>
      </c>
      <c r="AM16" s="45" cm="1">
        <f t="array" ref="AM16">SUM(($G$10:$G$23=$AH16)*($J$10:$J$23&lt;$L$10:$L$23)+($O$10:$O$23=$AH16)*($J$10:$J$23&gt;$L$10:$L$23))</f>
        <v>1</v>
      </c>
      <c r="AN16" s="29" cm="1">
        <f t="array" ref="AN16">SUM(($G$10:$G$23=$AH16)*($J$10:$J$23)+($O$10:$O$23=$AH16)*($L$10:$L$23))</f>
        <v>3</v>
      </c>
      <c r="AO16" s="29" cm="1">
        <f t="array" ref="AO16">SUM(($G$10:$G$23=$AH16)*($L$10:$L$23)+($O$10:$O$23=$AH16)*($J$10:$J$23))</f>
        <v>5</v>
      </c>
      <c r="AP16" s="141">
        <f>AN16-AO16</f>
        <v>-2</v>
      </c>
      <c r="AQ16" s="138">
        <v>0</v>
      </c>
      <c r="AR16" s="141">
        <f>+AW16+AV16+AU16</f>
        <v>4.1001100099999999</v>
      </c>
      <c r="AS16" s="29"/>
      <c r="AT16" s="29"/>
      <c r="AU16" s="141">
        <f>+AJ16</f>
        <v>4</v>
      </c>
      <c r="AV16" s="141">
        <f>SUMIFS($BA16:$BD16,$BA$6:$BD$6,AJ16)/1000</f>
        <v>0.10001</v>
      </c>
      <c r="AW16" s="141">
        <f>SUMIFS($BA16:$BD16,$BA$5:$BD$5,AV16)/1000000</f>
        <v>1.0001E-4</v>
      </c>
      <c r="AX16" s="29">
        <f>_xlfn.RANK.EQ(AJ16,$AJ$10:$AJ$16)+_xlfn.RANK.EQ(AR16,$AR$10:$AR$16)/10+_xlfn.RANK.EQ(AP16,$AP$10:$AP$16)/1000+_xlfn.RANK.EQ(AN16,$AN$10:$AN$16)/100000+_xlfn.RANK.EQ(AQ16,$AQ$10:$AQ$16)/100000+ROW()/1000000</f>
        <v>2.2020460000000002</v>
      </c>
      <c r="AY16" s="29">
        <f>_xlfn.RANK.EQ(AX16,$AX$10:$AX$16,1)</f>
        <v>3</v>
      </c>
      <c r="AZ16" s="29"/>
      <c r="BA16" s="29" cm="1">
        <f t="array" ref="BA16">(SUM(($G$10:$G$23=$AH16)*($J$10:$J$23&gt;$L$10:$L$23)*($O$10:$O$23=BA$8)+($O$10:$O$23=$AH16)*($J$10:$J$23&lt;$L$10:$L$23)*($G$10:$G$23=BA$8)))*300+
(SUM(($G$10:$G$23=$AH16)*($J$10:$J$23=$L$10:$L$23)*($O$10:$O$23=BA$8)+($O$10:$O$23=$AH16)*($J$10:$J$23=$L$10:$L$23)*($G$10:$G$23=BA$8)))*100
+SUM(($G$10:$G$23=$AH16)*($J$10:$J$23)*($O$10:$O$23=BA$8)+($O$10:$O$23=$AH16)*($L$10:$L$23)*($G$10:$G$23=BA$8))
-SUM(($G$10:$G$23=$AH16)*($L$10:$L$23)*($O$10:$O$23=BA$8)+($O$10:$O$23=$AH16)*($J$10:$J$23)*($G$10:$G$23=BA$8))
+SUM(($G$10:$G$23=$AH16)*($J$10:$J$23)*($O$10:$O$23=BA$8)+($O$10:$O$23=$AH16)*($L$10:$L$23)*($G$10:$G$23=BA$8))/100</f>
        <v>-2.99</v>
      </c>
      <c r="BB16" s="29" cm="1">
        <f t="array" ref="BB16">(SUM(($G$10:$G$23=$AH16)*($J$10:$J$23&gt;$L$10:$L$23)*($O$10:$O$23=BB$8)+($O$10:$O$23=$AH16)*($J$10:$J$23&lt;$L$10:$L$23)*($G$10:$G$23=BB$8)))*300+
(SUM(($G$10:$G$23=$AH16)*($J$10:$J$23=$L$10:$L$23)*($O$10:$O$23=BB$8)+($O$10:$O$23=$AH16)*($J$10:$J$23=$L$10:$L$23)*($G$10:$G$23=BB$8)))*100
+SUM(($G$10:$G$23=$AH16)*($J$10:$J$23)*($O$10:$O$23=BB$8)+($O$10:$O$23=$AH16)*($L$10:$L$23)*($G$10:$G$23=BB$8))
-SUM(($G$10:$G$23=$AH16)*($L$10:$L$23)*($O$10:$O$23=BB$8)+($O$10:$O$23=$AH16)*($J$10:$J$23)*($G$10:$G$23=BB$8))
+SUM(($G$10:$G$23=$AH16)*($J$10:$J$23)*($O$10:$O$23=BB$8)+($O$10:$O$23=$AH16)*($L$10:$L$23)*($G$10:$G$23=BB$8))/100</f>
        <v>301.01</v>
      </c>
      <c r="BC16" s="29" cm="1">
        <f t="array" ref="BC16">(SUM(($G$10:$G$23=$AH16)*($J$10:$J$23&gt;$L$10:$L$23)*($O$10:$O$23=BC$8)+($O$10:$O$23=$AH16)*($J$10:$J$23&lt;$L$10:$L$23)*($G$10:$G$23=BC$8)))*300+
(SUM(($G$10:$G$23=$AH16)*($J$10:$J$23=$L$10:$L$23)*($O$10:$O$23=BC$8)+($O$10:$O$23=$AH16)*($J$10:$J$23=$L$10:$L$23)*($G$10:$G$23=BC$8)))*100
+SUM(($G$10:$G$23=$AH16)*($J$10:$J$23)*($O$10:$O$23=BC$8)+($O$10:$O$23=$AH16)*($L$10:$L$23)*($G$10:$G$23=BC$8))
-SUM(($G$10:$G$23=$AH16)*($L$10:$L$23)*($O$10:$O$23=BC$8)+($O$10:$O$23=$AH16)*($J$10:$J$23)*($G$10:$G$23=BC$8))
+SUM(($G$10:$G$23=$AH16)*($J$10:$J$23)*($O$10:$O$23=BC$8)+($O$10:$O$23=$AH16)*($L$10:$L$23)*($G$10:$G$23=BC$8))/100</f>
        <v>100.01</v>
      </c>
      <c r="BD16" s="29" cm="1">
        <f t="array" ref="BD16">(SUM(($G$10:$G$23=$AH16)*($J$10:$J$23&gt;$L$10:$L$23)*($O$10:$O$23=BD$8)+($O$10:$O$23=$AH16)*($J$10:$J$23&lt;$L$10:$L$23)*($G$10:$G$23=BD$8)))*300+
(SUM(($G$10:$G$23=$AH16)*($J$10:$J$23=$L$10:$L$23)*($O$10:$O$23=BD$8)+($O$10:$O$23=$AH16)*($J$10:$J$23=$L$10:$L$23)*($G$10:$G$23=BD$8)))*100
+SUM(($G$10:$G$23=$AH16)*($J$10:$J$23)*($O$10:$O$23=BD$8)+($O$10:$O$23=$AH16)*($L$10:$L$23)*($G$10:$G$23=BD$8))
-SUM(($G$10:$G$23=$AH16)*($L$10:$L$23)*($O$10:$O$23=BD$8)+($O$10:$O$23=$AH16)*($J$10:$J$23)*($G$10:$G$23=BD$8))
+SUM(($G$10:$G$23=$AH16)*($J$10:$J$23)*($O$10:$O$23=BD$8)+($O$10:$O$23=$AH16)*($L$10:$L$23)*($G$10:$G$23=BD$8))/100</f>
        <v>0</v>
      </c>
    </row>
    <row r="17" spans="2:56" s="30" customFormat="1" ht="10.15" customHeight="1" x14ac:dyDescent="0.25">
      <c r="B17" s="164" t="str">
        <v/>
      </c>
      <c r="C17" s="10"/>
      <c r="D17" s="11"/>
      <c r="E17" s="103"/>
      <c r="F17" s="103"/>
      <c r="G17" s="158"/>
      <c r="H17" s="12"/>
      <c r="I17" s="12"/>
      <c r="J17" s="145"/>
      <c r="K17" s="145"/>
      <c r="L17" s="145"/>
      <c r="M17" s="16"/>
      <c r="N17" s="154"/>
      <c r="O17" s="156"/>
      <c r="P17" s="17"/>
      <c r="Q17" s="17"/>
      <c r="R17" s="25"/>
      <c r="S17"/>
      <c r="T17" s="90"/>
      <c r="U17" s="91"/>
      <c r="V17" s="92"/>
      <c r="W17" s="93"/>
      <c r="X17" s="94"/>
      <c r="Y17" s="94"/>
      <c r="Z17" s="94"/>
      <c r="AA17" s="95"/>
      <c r="AB17" s="95"/>
      <c r="AC17" s="95"/>
      <c r="AD17" s="33"/>
      <c r="AE17" s="39"/>
      <c r="AF17" s="46"/>
      <c r="AG17" s="45"/>
      <c r="AH17" s="177"/>
      <c r="AI17" s="45"/>
      <c r="AJ17" s="45"/>
      <c r="AK17" s="45"/>
      <c r="AL17" s="45"/>
      <c r="AM17" s="45"/>
      <c r="AN17" s="29"/>
      <c r="AO17" s="29"/>
      <c r="AP17" s="141"/>
      <c r="AQ17" s="29"/>
      <c r="AR17" s="29"/>
      <c r="AS17" s="29"/>
      <c r="AT17" s="29"/>
      <c r="AU17" s="29"/>
      <c r="AV17" s="141"/>
      <c r="AW17" s="29"/>
      <c r="AX17" s="29"/>
      <c r="AY17" s="29"/>
      <c r="AZ17" s="29"/>
      <c r="BA17" s="29"/>
      <c r="BB17" s="29"/>
      <c r="BC17" s="29"/>
      <c r="BD17" s="29"/>
    </row>
    <row r="18" spans="2:56" s="30" customFormat="1" ht="22.15" customHeight="1" thickBot="1" x14ac:dyDescent="0.3">
      <c r="B18" s="164">
        <v>37</v>
      </c>
      <c r="C18" s="7">
        <f>VLOOKUP(B18,Aux!M:AH,4,0)</f>
        <v>45832.875000000007</v>
      </c>
      <c r="D18" s="8">
        <f>VLOOKUP(B18,Aux!M:AH,4,0)</f>
        <v>45832.875000000007</v>
      </c>
      <c r="E18" s="102"/>
      <c r="F18" s="102" t="e" vm="21">
        <f>IFERROR(VLOOKUP(G18,Aux!$A:$X,8,0),"")</f>
        <v>#VALUE!</v>
      </c>
      <c r="G18" s="157" t="str">
        <f>VLOOKUP(B18,Aux!M:Y,5,0)</f>
        <v>Auckland City</v>
      </c>
      <c r="H18" s="154" t="e" vm="20">
        <f>IFERROR(VLOOKUP(G18,Aux!$A:$C,3,0),"")</f>
        <v>#VALUE!</v>
      </c>
      <c r="I18" s="154"/>
      <c r="J18" s="203">
        <v>0</v>
      </c>
      <c r="K18" s="145" t="s">
        <v>40</v>
      </c>
      <c r="L18" s="203">
        <v>2</v>
      </c>
      <c r="M18" s="16"/>
      <c r="N18" s="154" t="e" vm="23">
        <f>IFERROR(VLOOKUP(O18,Aux!$A:$C,3,0),"")</f>
        <v>#VALUE!</v>
      </c>
      <c r="O18" s="155" t="str">
        <f>VLOOKUP(B18,Aux!M:Y,6,0)</f>
        <v>Boca Juniors</v>
      </c>
      <c r="P18" s="102" t="e" vm="22">
        <f>IFERROR(VLOOKUP(O18,Aux!$A:$X,8,0),"")</f>
        <v>#VALUE!</v>
      </c>
      <c r="Q18" s="16"/>
      <c r="R18" s="24" t="str">
        <f>VLOOKUP(B18,Aux!M:Y,7,0)</f>
        <v>Geodis Park</v>
      </c>
      <c r="S18"/>
      <c r="T18" s="310"/>
      <c r="U18" s="310"/>
      <c r="V18" s="310"/>
      <c r="W18" s="310"/>
      <c r="X18" s="310"/>
      <c r="Y18" s="310"/>
      <c r="Z18" s="310"/>
      <c r="AA18" s="310"/>
      <c r="AB18" s="310"/>
      <c r="AC18" s="310"/>
      <c r="AD18" s="33"/>
      <c r="AE18" s="33"/>
      <c r="AF18" s="45"/>
      <c r="AG18" s="45"/>
      <c r="AH18" s="45"/>
      <c r="AI18" s="45"/>
      <c r="AJ18" s="45"/>
      <c r="AK18" s="45"/>
      <c r="AL18" s="45"/>
      <c r="AM18" s="45"/>
      <c r="AN18" s="29"/>
      <c r="AO18" s="29"/>
      <c r="AP18" s="29"/>
      <c r="AQ18" s="29"/>
      <c r="AR18" s="29"/>
      <c r="AS18" s="29"/>
      <c r="AT18" s="29"/>
      <c r="AU18" s="29"/>
      <c r="AV18" s="29"/>
      <c r="AW18" s="29"/>
      <c r="AX18" s="29"/>
      <c r="AY18" s="29"/>
      <c r="AZ18" s="29"/>
      <c r="BA18" s="29"/>
      <c r="BB18" s="29"/>
      <c r="BC18" s="29"/>
      <c r="BD18" s="29"/>
    </row>
    <row r="19" spans="2:56" s="30" customFormat="1" ht="10.15" customHeight="1" thickTop="1" x14ac:dyDescent="0.25">
      <c r="B19" s="164" t="str">
        <v/>
      </c>
      <c r="C19" s="10"/>
      <c r="D19" s="11"/>
      <c r="E19" s="103"/>
      <c r="F19" s="103"/>
      <c r="G19" s="158"/>
      <c r="H19" s="12"/>
      <c r="I19" s="12"/>
      <c r="J19" s="154"/>
      <c r="K19" s="9"/>
      <c r="L19" s="154"/>
      <c r="M19" s="16"/>
      <c r="N19" s="154"/>
      <c r="O19" s="155"/>
      <c r="P19" s="17"/>
      <c r="Q19" s="17"/>
      <c r="R19" s="25"/>
      <c r="S19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33"/>
      <c r="AE19" s="33"/>
      <c r="AF19" s="45"/>
      <c r="AG19" s="45"/>
      <c r="AH19" s="45"/>
      <c r="AI19" s="45"/>
      <c r="AJ19" s="45"/>
      <c r="AK19" s="45"/>
      <c r="AL19" s="45"/>
      <c r="AM19" s="45"/>
      <c r="AN19" s="29"/>
      <c r="AO19" s="29"/>
      <c r="AP19" s="29"/>
      <c r="AQ19" s="29"/>
      <c r="AR19" s="29"/>
      <c r="AS19" s="29"/>
      <c r="AT19" s="29"/>
      <c r="AU19" s="29"/>
      <c r="AV19" s="29"/>
      <c r="AW19" s="29"/>
      <c r="AX19" s="29"/>
      <c r="AY19" s="29"/>
      <c r="AZ19" s="29"/>
      <c r="BA19" s="45"/>
      <c r="BB19" s="127"/>
      <c r="BC19" s="127"/>
      <c r="BD19" s="127"/>
    </row>
    <row r="20" spans="2:56" s="30" customFormat="1" ht="22.15" customHeight="1" x14ac:dyDescent="0.25">
      <c r="B20" s="164">
        <v>38</v>
      </c>
      <c r="C20" s="7">
        <f>VLOOKUP(B20,Aux!M:AH,4,0)</f>
        <v>45832.875</v>
      </c>
      <c r="D20" s="8">
        <f>VLOOKUP(B20,Aux!M:AH,4,0)</f>
        <v>45832.875</v>
      </c>
      <c r="E20" s="102"/>
      <c r="F20" s="102" t="e" vm="11">
        <f>IFERROR(VLOOKUP(G20,Aux!$A:$X,8,0),"")</f>
        <v>#VALUE!</v>
      </c>
      <c r="G20" s="157" t="str">
        <f>VLOOKUP(B20,Aux!M:Y,5,0)</f>
        <v>Benfica</v>
      </c>
      <c r="H20" s="154" t="e" vm="24">
        <f>IFERROR(VLOOKUP(G20,Aux!$A:$C,3,0),"")</f>
        <v>#VALUE!</v>
      </c>
      <c r="I20" s="154"/>
      <c r="J20" s="203">
        <v>1</v>
      </c>
      <c r="K20" s="145"/>
      <c r="L20" s="203">
        <v>4</v>
      </c>
      <c r="M20" s="16"/>
      <c r="N20" s="154" t="e" vm="19">
        <f>IFERROR(VLOOKUP(O20,Aux!$A:$C,3,0),"")</f>
        <v>#VALUE!</v>
      </c>
      <c r="O20" s="155" t="str">
        <f>VLOOKUP(B20,Aux!M:Y,6,0)</f>
        <v>Bayern Múnich</v>
      </c>
      <c r="P20" s="102" t="e" vm="18">
        <f>IFERROR(VLOOKUP(O20,Aux!$A:$X,8,0),"")</f>
        <v>#VALUE!</v>
      </c>
      <c r="Q20" s="16"/>
      <c r="R20" s="24" t="str">
        <f>VLOOKUP(B20,Aux!M:Y,7,0)</f>
        <v>Bank of America Stadium</v>
      </c>
      <c r="S20"/>
      <c r="T20" s="28"/>
      <c r="U20" s="28"/>
      <c r="V20" s="28"/>
      <c r="W20"/>
      <c r="X20" s="28"/>
      <c r="Y20" s="28"/>
      <c r="Z20" s="28"/>
      <c r="AA20" s="28"/>
      <c r="AB20" s="28"/>
      <c r="AC20" s="28"/>
      <c r="AD20" s="33"/>
      <c r="AE20" s="33"/>
      <c r="AF20" s="45"/>
      <c r="AG20" s="45"/>
      <c r="AH20" s="45"/>
      <c r="AI20" s="45"/>
      <c r="AJ20" s="45"/>
      <c r="AK20" s="45"/>
      <c r="AL20" s="45"/>
      <c r="AM20" s="45"/>
      <c r="AN20" s="29"/>
      <c r="AO20" s="29"/>
      <c r="AP20" s="29"/>
      <c r="AQ20" s="29"/>
      <c r="AR20" s="29"/>
      <c r="AS20" s="29"/>
      <c r="AT20" s="29"/>
      <c r="AU20" s="29"/>
      <c r="AV20" s="29"/>
      <c r="AW20" s="29"/>
      <c r="AX20" s="29"/>
      <c r="AY20" s="29"/>
      <c r="AZ20" s="29"/>
      <c r="BA20" s="138"/>
      <c r="BB20" s="138"/>
      <c r="BC20" s="138"/>
      <c r="BD20" s="138"/>
    </row>
    <row r="21" spans="2:56" s="30" customFormat="1" ht="10.15" customHeight="1" x14ac:dyDescent="0.25">
      <c r="B21" s="165" t="str">
        <v/>
      </c>
      <c r="C21" s="13"/>
      <c r="D21" s="14"/>
      <c r="E21" s="18"/>
      <c r="F21" s="18"/>
      <c r="G21" s="15"/>
      <c r="H21" s="15"/>
      <c r="I21" s="15"/>
      <c r="J21" s="18"/>
      <c r="K21" s="18"/>
      <c r="L21" s="18"/>
      <c r="M21" s="18"/>
      <c r="N21" s="18"/>
      <c r="O21" s="19"/>
      <c r="P21" s="19"/>
      <c r="Q21" s="19"/>
      <c r="R21" s="26"/>
      <c r="S21"/>
      <c r="T21" s="28"/>
      <c r="U21" s="28"/>
      <c r="V21" s="28"/>
      <c r="W21" s="301" t="s">
        <v>134</v>
      </c>
      <c r="X21" s="301"/>
      <c r="Y21" s="301"/>
      <c r="Z21" s="28"/>
      <c r="AA21" s="28"/>
      <c r="AB21" s="28"/>
      <c r="AC21" s="28"/>
      <c r="AD21" s="33"/>
      <c r="AE21" s="33"/>
      <c r="AF21" s="45"/>
      <c r="AG21" s="45"/>
      <c r="AH21" s="45"/>
      <c r="AI21" s="45"/>
      <c r="AJ21" s="45"/>
      <c r="AK21" s="45"/>
      <c r="AL21" s="45"/>
      <c r="AM21" s="45"/>
      <c r="AN21" s="29"/>
      <c r="AO21" s="29"/>
      <c r="AP21" s="29"/>
      <c r="AQ21" s="29"/>
      <c r="AR21" s="29"/>
      <c r="AS21" s="29"/>
      <c r="AT21" s="29"/>
      <c r="AU21" s="29"/>
      <c r="AV21" s="29"/>
      <c r="AW21" s="29"/>
      <c r="AX21" s="29"/>
      <c r="AY21" s="29"/>
      <c r="AZ21" s="29"/>
      <c r="BA21" s="138"/>
      <c r="BB21" s="138"/>
      <c r="BC21" s="138"/>
      <c r="BD21" s="138"/>
    </row>
    <row r="22" spans="2:56" ht="15" customHeight="1" x14ac:dyDescent="0.25">
      <c r="W22" s="301"/>
      <c r="X22" s="301"/>
      <c r="Y22" s="301"/>
      <c r="AD22" s="33"/>
      <c r="AE22" s="45"/>
      <c r="AF22" s="45"/>
      <c r="AG22" s="45"/>
      <c r="AH22" s="45"/>
      <c r="AI22" s="45"/>
      <c r="AJ22" s="45"/>
      <c r="AK22" s="45"/>
      <c r="AL22" s="45"/>
      <c r="AM22" s="45"/>
      <c r="AN22" s="29"/>
      <c r="AO22" s="29"/>
      <c r="AP22" s="29"/>
      <c r="AQ22" s="29"/>
      <c r="AR22" s="29"/>
      <c r="AS22" s="29"/>
      <c r="AT22" s="29"/>
      <c r="AU22" s="29"/>
      <c r="AV22" s="29"/>
      <c r="AW22" s="29"/>
      <c r="AX22" s="29"/>
      <c r="AY22" s="127"/>
      <c r="AZ22" s="29"/>
      <c r="BA22" s="138"/>
      <c r="BB22" s="138"/>
      <c r="BC22" s="138"/>
      <c r="BD22" s="138"/>
    </row>
    <row r="23" spans="2:56" ht="15" customHeight="1" x14ac:dyDescent="0.25">
      <c r="N23"/>
      <c r="O23"/>
      <c r="P23"/>
      <c r="Q23"/>
      <c r="R23"/>
      <c r="W23" s="302" t="s">
        <v>135</v>
      </c>
      <c r="X23" s="302"/>
      <c r="Y23" s="302"/>
      <c r="AD23" s="33"/>
      <c r="AE23" s="45"/>
      <c r="AF23" s="45"/>
      <c r="AG23" s="45"/>
      <c r="AH23" s="45"/>
      <c r="AI23" s="47"/>
      <c r="AJ23" s="47"/>
      <c r="AK23" s="47"/>
      <c r="AL23" s="47"/>
      <c r="AM23" s="47"/>
      <c r="BA23" s="262"/>
      <c r="BB23" s="263"/>
      <c r="BC23" s="263"/>
      <c r="BD23" s="263"/>
    </row>
    <row r="24" spans="2:56" ht="15" customHeight="1" x14ac:dyDescent="0.25">
      <c r="N24"/>
      <c r="O24"/>
      <c r="P24"/>
      <c r="Q24"/>
      <c r="R24"/>
      <c r="W24" s="302"/>
      <c r="X24" s="302"/>
      <c r="Y24" s="302"/>
      <c r="AD24" s="33"/>
      <c r="AE24" s="45"/>
      <c r="AF24" s="45"/>
      <c r="AG24" s="45"/>
      <c r="AH24" s="45"/>
      <c r="AI24" s="47"/>
      <c r="AJ24" s="47"/>
      <c r="AK24" s="47"/>
      <c r="AL24" s="47"/>
      <c r="AM24" s="47"/>
      <c r="BB24" s="31"/>
      <c r="BC24" s="31"/>
      <c r="BD24" s="31"/>
    </row>
    <row r="25" spans="2:56" ht="15" customHeight="1" x14ac:dyDescent="0.25">
      <c r="N25"/>
      <c r="O25"/>
      <c r="P25"/>
      <c r="Q25"/>
      <c r="R25"/>
      <c r="W25"/>
      <c r="AD25" s="33"/>
      <c r="AE25" s="45"/>
      <c r="AF25" s="45"/>
      <c r="AG25" s="45"/>
      <c r="AH25" s="45"/>
      <c r="AI25" s="47"/>
      <c r="AJ25" s="47"/>
      <c r="AK25" s="47"/>
      <c r="AL25" s="47"/>
      <c r="AM25" s="47"/>
      <c r="BB25" s="31"/>
      <c r="BC25" s="31"/>
      <c r="BD25" s="31"/>
    </row>
    <row r="26" spans="2:56" ht="15" customHeight="1" x14ac:dyDescent="0.25">
      <c r="N26"/>
      <c r="O26"/>
      <c r="P26"/>
      <c r="Q26"/>
      <c r="R26"/>
      <c r="AG26" s="29"/>
      <c r="AH26" s="29"/>
      <c r="BB26" s="31"/>
      <c r="BC26" s="31"/>
      <c r="BD26" s="31"/>
    </row>
    <row r="27" spans="2:56" ht="15" customHeight="1" x14ac:dyDescent="0.25">
      <c r="N27"/>
      <c r="O27"/>
      <c r="P27"/>
      <c r="Q27"/>
      <c r="R27"/>
      <c r="AG27" s="29"/>
      <c r="AH27" s="29"/>
      <c r="BB27" s="31"/>
      <c r="BC27" s="31"/>
      <c r="BD27" s="31"/>
    </row>
    <row r="28" spans="2:56" ht="15" customHeight="1" x14ac:dyDescent="0.25">
      <c r="N28"/>
      <c r="O28"/>
      <c r="P28"/>
      <c r="Q28"/>
      <c r="R28"/>
      <c r="AG28" s="29"/>
      <c r="AH28" s="29"/>
      <c r="BB28" s="31"/>
      <c r="BC28" s="31"/>
      <c r="BD28" s="31"/>
    </row>
    <row r="29" spans="2:56" ht="15" customHeight="1" x14ac:dyDescent="0.25">
      <c r="N29"/>
      <c r="O29"/>
      <c r="P29"/>
      <c r="Q29"/>
      <c r="R29"/>
      <c r="AG29" s="29"/>
      <c r="AH29" s="29"/>
      <c r="AI29" s="29"/>
      <c r="AJ29" s="29"/>
      <c r="AK29" s="29"/>
      <c r="AL29" s="29"/>
      <c r="AM29" s="29"/>
      <c r="AN29" s="29"/>
      <c r="AO29" s="29"/>
      <c r="AP29" s="29"/>
      <c r="AQ29" s="29"/>
      <c r="AR29" s="29"/>
      <c r="AS29" s="29"/>
      <c r="AT29" s="29"/>
      <c r="AU29" s="29"/>
      <c r="AV29" s="29"/>
      <c r="AW29" s="29"/>
      <c r="AX29" s="29"/>
      <c r="AZ29" s="29"/>
      <c r="BB29" s="31"/>
      <c r="BC29" s="31"/>
      <c r="BD29" s="31"/>
    </row>
    <row r="30" spans="2:56" ht="15" customHeight="1" x14ac:dyDescent="0.25">
      <c r="BB30" s="31"/>
      <c r="BC30" s="31"/>
      <c r="BD30" s="31"/>
    </row>
  </sheetData>
  <mergeCells count="6">
    <mergeCell ref="W23:Y24"/>
    <mergeCell ref="W2:Y2"/>
    <mergeCell ref="E7:Q7"/>
    <mergeCell ref="T7:AC7"/>
    <mergeCell ref="T18:AC18"/>
    <mergeCell ref="W21:Y22"/>
  </mergeCells>
  <conditionalFormatting sqref="J10 J12 J14 J16 J18 J20">
    <cfRule type="expression" dxfId="255" priority="5">
      <formula>#REF!="P"</formula>
    </cfRule>
    <cfRule type="expression" dxfId="254" priority="6">
      <formula>#REF!="E"</formula>
    </cfRule>
    <cfRule type="expression" dxfId="253" priority="7">
      <formula>#REF!="G"</formula>
    </cfRule>
  </conditionalFormatting>
  <conditionalFormatting sqref="L10 L12 L14 L16 L18 L20">
    <cfRule type="expression" dxfId="252" priority="8">
      <formula>#REF!="P"</formula>
    </cfRule>
    <cfRule type="expression" dxfId="251" priority="9">
      <formula>#REF!="E"</formula>
    </cfRule>
    <cfRule type="expression" dxfId="250" priority="10">
      <formula>#REF!="G"</formula>
    </cfRule>
  </conditionalFormatting>
  <conditionalFormatting sqref="W21 W23">
    <cfRule type="expression" dxfId="249" priority="1">
      <formula>$L24&lt;&gt;""</formula>
    </cfRule>
    <cfRule type="expression" dxfId="248" priority="2">
      <formula>AND($L24&lt;&gt;"",$L25="")</formula>
    </cfRule>
  </conditionalFormatting>
  <dataValidations count="1">
    <dataValidation type="list" allowBlank="1" showInputMessage="1" showErrorMessage="1" sqref="AH6" xr:uid="{E5FE5362-9370-430D-8BE0-3EC221757CDC}">
      <formula1>"A,B,C,D,E,F,G,H"</formula1>
    </dataValidation>
  </dataValidations>
  <hyperlinks>
    <hyperlink ref="W21" r:id="rId1" display="Aprendiz de Excel" xr:uid="{B1839F16-933B-40BF-AD92-5284BDF99E61}"/>
    <hyperlink ref="W23" r:id="rId2" display="Aprendiz de Excel" xr:uid="{8AB9541E-8421-4919-8ED7-02F49487E879}"/>
    <hyperlink ref="W23:W24" r:id="rId3" display="Vídeo YouTube" xr:uid="{33B1A194-2CE7-442D-8840-D3DFCBF7CA1D}"/>
    <hyperlink ref="W23:Y24" r:id="rId4" display="Vídeo YouTube" xr:uid="{79BC1C4F-F682-4E6B-8A5C-A065C4D18E4B}"/>
  </hyperlinks>
  <pageMargins left="0.7" right="0.7" top="0.75" bottom="0.75" header="0.3" footer="0.3"/>
  <pageSetup paperSize="9" orientation="portrait" r:id="rId5"/>
  <drawing r:id="rId6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812DD-7308-4802-B5A2-559223DE1AA0}">
  <dimension ref="A1:BD30"/>
  <sheetViews>
    <sheetView showGridLines="0" zoomScale="90" zoomScaleNormal="90" workbookViewId="0">
      <selection activeCell="L20" sqref="L20"/>
    </sheetView>
  </sheetViews>
  <sheetFormatPr baseColWidth="10" defaultColWidth="14.42578125" defaultRowHeight="15" customHeight="1" x14ac:dyDescent="0.25"/>
  <cols>
    <col min="1" max="1" width="3.5703125" style="28" customWidth="1"/>
    <col min="2" max="2" width="3.7109375" style="28" customWidth="1"/>
    <col min="3" max="3" width="7.7109375" style="28" customWidth="1"/>
    <col min="4" max="4" width="6.7109375" style="28" customWidth="1"/>
    <col min="5" max="5" width="2.7109375" style="28" customWidth="1"/>
    <col min="6" max="6" width="3.7109375" style="28" customWidth="1"/>
    <col min="7" max="7" width="19.7109375" style="28" customWidth="1"/>
    <col min="8" max="8" width="5.7109375" style="28" customWidth="1"/>
    <col min="9" max="9" width="2.7109375" style="28" customWidth="1"/>
    <col min="10" max="10" width="6.7109375" style="28" customWidth="1"/>
    <col min="11" max="11" width="2.7109375" style="28" customWidth="1"/>
    <col min="12" max="12" width="6.7109375" style="28" customWidth="1"/>
    <col min="13" max="13" width="2.7109375" style="28" customWidth="1"/>
    <col min="14" max="14" width="5.7109375" style="28" customWidth="1"/>
    <col min="15" max="15" width="19.7109375" style="28" customWidth="1"/>
    <col min="16" max="16" width="3.7109375" style="28" customWidth="1"/>
    <col min="17" max="17" width="2.5703125" style="28" customWidth="1"/>
    <col min="18" max="18" width="15.5703125" style="28" customWidth="1"/>
    <col min="19" max="19" width="2.7109375" style="28" customWidth="1"/>
    <col min="20" max="20" width="19.7109375" style="28" customWidth="1"/>
    <col min="21" max="21" width="5.7109375" style="28" customWidth="1"/>
    <col min="22" max="22" width="1.7109375" style="28" customWidth="1"/>
    <col min="23" max="29" width="4" style="28" customWidth="1"/>
    <col min="30" max="30" width="6" style="30" customWidth="1"/>
    <col min="31" max="32" width="5" style="29" customWidth="1"/>
    <col min="33" max="33" width="5" style="31" customWidth="1"/>
    <col min="34" max="34" width="14.85546875" style="31" customWidth="1"/>
    <col min="35" max="41" width="5" style="31" customWidth="1"/>
    <col min="42" max="42" width="8.5703125" style="31" customWidth="1"/>
    <col min="43" max="47" width="5" style="31" customWidth="1"/>
    <col min="48" max="49" width="8.5703125" style="31" customWidth="1"/>
    <col min="50" max="50" width="5" style="31" customWidth="1"/>
    <col min="52" max="52" width="7.7109375" style="31" customWidth="1"/>
    <col min="53" max="53" width="14.42578125" style="31"/>
    <col min="54" max="54" width="15" style="28" customWidth="1"/>
    <col min="55" max="16384" width="14.42578125" style="28"/>
  </cols>
  <sheetData>
    <row r="1" spans="1:56" s="153" customFormat="1" ht="27.75" customHeight="1" x14ac:dyDescent="0.25">
      <c r="A1" s="210" t="s">
        <v>314</v>
      </c>
      <c r="B1" s="211"/>
      <c r="C1" s="211"/>
      <c r="D1" s="211"/>
      <c r="E1" s="211"/>
      <c r="F1" s="211"/>
      <c r="G1" s="211"/>
      <c r="H1" s="211"/>
      <c r="I1" s="211"/>
      <c r="J1" s="211"/>
      <c r="K1" s="211"/>
      <c r="L1" s="211"/>
      <c r="M1" s="211"/>
      <c r="N1" s="211"/>
      <c r="O1" s="211"/>
      <c r="P1" s="211"/>
      <c r="Q1" s="211"/>
      <c r="R1" s="211"/>
      <c r="S1" s="211"/>
    </row>
    <row r="2" spans="1:56" s="33" customFormat="1" ht="18.75" x14ac:dyDescent="0.25">
      <c r="B2" s="127"/>
      <c r="C2"/>
      <c r="D2"/>
      <c r="E2"/>
      <c r="F2"/>
      <c r="G2"/>
      <c r="H2"/>
      <c r="I2"/>
      <c r="J2" s="159"/>
      <c r="K2" s="159"/>
      <c r="L2" s="159"/>
      <c r="M2" s="159"/>
      <c r="N2" s="159"/>
      <c r="O2" s="159"/>
      <c r="P2" s="159"/>
      <c r="Q2" s="159"/>
      <c r="R2" s="159"/>
      <c r="S2" s="159"/>
      <c r="T2" s="159"/>
      <c r="U2" s="159"/>
      <c r="V2" s="159"/>
      <c r="W2" s="303"/>
      <c r="X2" s="303"/>
      <c r="Y2" s="303"/>
      <c r="Z2" s="160"/>
      <c r="AA2" s="159"/>
      <c r="AB2" s="159"/>
      <c r="AC2" s="159"/>
      <c r="AD2" s="44"/>
      <c r="AE2" s="45"/>
      <c r="AF2" s="45"/>
      <c r="AG2" s="45"/>
      <c r="AH2" s="45"/>
      <c r="AI2" s="45"/>
      <c r="AJ2" s="45"/>
      <c r="AK2" s="45"/>
      <c r="AL2" s="45"/>
      <c r="AM2" s="45"/>
      <c r="AN2" s="45"/>
      <c r="AO2" s="45"/>
      <c r="AP2" s="45"/>
      <c r="AQ2" s="45"/>
      <c r="AR2" s="45"/>
      <c r="AS2" s="45"/>
      <c r="AT2" s="45"/>
      <c r="AU2" s="45"/>
      <c r="AV2" s="45"/>
      <c r="AW2" s="45"/>
      <c r="AX2" s="45"/>
      <c r="AY2" s="45"/>
      <c r="AZ2" s="45"/>
      <c r="BA2" s="45"/>
      <c r="BB2" s="127"/>
      <c r="BC2" s="127"/>
      <c r="BD2" s="127"/>
    </row>
    <row r="3" spans="1:56" s="33" customFormat="1" ht="35.25" customHeight="1" x14ac:dyDescent="0.25">
      <c r="B3" s="127"/>
      <c r="C3"/>
      <c r="D3"/>
      <c r="E3"/>
      <c r="F3"/>
      <c r="G3" s="161"/>
      <c r="H3" s="161"/>
      <c r="I3" s="161"/>
      <c r="J3"/>
      <c r="K3" s="162"/>
      <c r="L3" s="162"/>
      <c r="M3" s="162"/>
      <c r="N3" s="162"/>
      <c r="O3" s="162"/>
      <c r="P3" s="162"/>
      <c r="Q3" s="162"/>
      <c r="R3" s="162"/>
      <c r="S3" s="162"/>
      <c r="T3" s="159"/>
      <c r="U3" s="159"/>
      <c r="V3" s="159"/>
      <c r="W3" s="159"/>
      <c r="X3" s="159"/>
      <c r="Y3" s="159"/>
      <c r="Z3" s="159"/>
      <c r="AA3" s="159"/>
      <c r="AB3" s="159"/>
      <c r="AC3" s="159"/>
      <c r="AD3" s="44"/>
      <c r="AE3" s="46"/>
      <c r="AF3" s="46"/>
      <c r="AG3" s="46"/>
      <c r="AH3" s="45"/>
      <c r="AI3" s="45"/>
      <c r="AJ3" s="45"/>
      <c r="AK3" s="45"/>
      <c r="AL3" s="45"/>
      <c r="AM3" s="45"/>
      <c r="AN3" s="45"/>
      <c r="AO3" s="45"/>
      <c r="AP3" s="45"/>
      <c r="AQ3" s="45"/>
      <c r="AR3" s="45"/>
      <c r="AS3" s="45"/>
      <c r="AT3" s="45"/>
      <c r="AU3" s="45"/>
      <c r="AV3" s="45"/>
      <c r="AW3" s="45"/>
      <c r="AX3" s="45"/>
      <c r="AY3" s="45"/>
      <c r="AZ3" s="45"/>
      <c r="BA3" s="45"/>
      <c r="BB3" s="127"/>
      <c r="BC3" s="127"/>
      <c r="BD3" s="127"/>
    </row>
    <row r="4" spans="1:56" s="33" customFormat="1" x14ac:dyDescent="0.25">
      <c r="B4" s="127"/>
      <c r="C4"/>
      <c r="D4"/>
      <c r="E4"/>
      <c r="F4"/>
      <c r="G4"/>
      <c r="H4"/>
      <c r="I4"/>
      <c r="J4" s="159"/>
      <c r="K4" s="159"/>
      <c r="L4" s="159"/>
      <c r="M4" s="159"/>
      <c r="N4" s="159"/>
      <c r="O4" s="159"/>
      <c r="P4" s="159"/>
      <c r="Q4" s="159"/>
      <c r="R4" s="159"/>
      <c r="S4" s="159"/>
      <c r="T4" s="159"/>
      <c r="U4" s="159"/>
      <c r="V4" s="159"/>
      <c r="W4" s="159"/>
      <c r="X4" s="159"/>
      <c r="Y4" s="159"/>
      <c r="Z4" s="159"/>
      <c r="AA4" s="159"/>
      <c r="AB4" s="159"/>
      <c r="AC4" s="159"/>
      <c r="AD4" s="44"/>
      <c r="AE4" s="47"/>
      <c r="AF4" s="45"/>
      <c r="AG4" s="45"/>
      <c r="AH4" s="45"/>
      <c r="AI4" s="45"/>
      <c r="AJ4" s="45"/>
      <c r="AK4" s="45"/>
      <c r="AL4" s="45"/>
      <c r="AM4" s="45"/>
      <c r="AN4" s="45"/>
      <c r="AO4" s="45"/>
      <c r="AP4" s="45"/>
      <c r="AQ4" s="45"/>
      <c r="AR4" s="45"/>
      <c r="AS4" s="45"/>
      <c r="AT4" s="45"/>
      <c r="AU4" s="45"/>
      <c r="AV4" s="45"/>
      <c r="AW4" s="45"/>
      <c r="AX4" s="45"/>
      <c r="AY4" s="45"/>
      <c r="AZ4" s="45"/>
      <c r="BA4" s="45"/>
      <c r="BB4" s="127"/>
      <c r="BC4" s="127"/>
      <c r="BD4" s="127"/>
    </row>
    <row r="5" spans="1:56" s="33" customFormat="1" ht="15" customHeight="1" x14ac:dyDescent="0.25">
      <c r="B5" s="127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E5" s="47"/>
      <c r="AF5" s="45"/>
      <c r="AG5" s="45"/>
      <c r="AH5" s="45"/>
      <c r="AI5" s="45"/>
      <c r="AJ5" s="45"/>
      <c r="AK5" s="45"/>
      <c r="AL5" s="45"/>
      <c r="AM5" s="45"/>
      <c r="AN5" s="45"/>
      <c r="AO5" s="45"/>
      <c r="AP5" s="45"/>
      <c r="AQ5" s="45"/>
      <c r="AR5" s="45"/>
      <c r="AS5" s="45"/>
      <c r="AT5" s="45"/>
      <c r="AU5" s="45"/>
      <c r="AV5" s="45"/>
      <c r="AW5" s="45"/>
      <c r="AX5" s="45"/>
      <c r="AY5" s="264" t="s">
        <v>336</v>
      </c>
      <c r="AZ5" s="45"/>
      <c r="BA5" s="138">
        <f>VLOOKUP(BA8,$AH$10:$AW$16,15,0)</f>
        <v>0</v>
      </c>
      <c r="BB5" s="138">
        <f t="shared" ref="BB5:BD5" si="0">VLOOKUP(BB8,$AH$10:$AW$16,15,0)</f>
        <v>0</v>
      </c>
      <c r="BC5" s="138">
        <f t="shared" si="0"/>
        <v>0</v>
      </c>
      <c r="BD5" s="138">
        <f t="shared" si="0"/>
        <v>0</v>
      </c>
    </row>
    <row r="6" spans="1:56" s="30" customFormat="1" ht="15" customHeight="1" x14ac:dyDescent="0.25">
      <c r="B6" s="27"/>
      <c r="C6" s="32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/>
      <c r="T6" s="28"/>
      <c r="U6" s="28"/>
      <c r="V6" s="28"/>
      <c r="W6" s="28"/>
      <c r="X6" s="28"/>
      <c r="Y6" s="28"/>
      <c r="Z6" s="28"/>
      <c r="AA6" s="28"/>
      <c r="AB6" s="28"/>
      <c r="AC6" s="28"/>
      <c r="AD6" s="33"/>
      <c r="AE6" s="47"/>
      <c r="AF6" s="45"/>
      <c r="AG6" s="45"/>
      <c r="AH6" s="166" t="s">
        <v>16</v>
      </c>
      <c r="AI6" s="45"/>
      <c r="AJ6" s="45"/>
      <c r="AK6" s="45"/>
      <c r="AL6" s="45"/>
      <c r="AM6" s="45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64" t="s">
        <v>335</v>
      </c>
      <c r="AZ6" s="29"/>
      <c r="BA6" s="138">
        <f>VLOOKUP(BA8,$AH$10:$AW$16,14,0)</f>
        <v>6</v>
      </c>
      <c r="BB6" s="138">
        <f t="shared" ref="BB6:BD6" si="1">VLOOKUP(BB8,$AH$10:$AW$16,14,0)</f>
        <v>0</v>
      </c>
      <c r="BC6" s="138">
        <f t="shared" si="1"/>
        <v>9</v>
      </c>
      <c r="BD6" s="138">
        <f t="shared" si="1"/>
        <v>3</v>
      </c>
    </row>
    <row r="7" spans="1:56" s="30" customFormat="1" ht="22.15" customHeight="1" thickBot="1" x14ac:dyDescent="0.3">
      <c r="B7" s="107" t="s">
        <v>33</v>
      </c>
      <c r="C7" s="108" t="s">
        <v>34</v>
      </c>
      <c r="D7" s="108" t="s">
        <v>35</v>
      </c>
      <c r="E7" s="304" t="s">
        <v>36</v>
      </c>
      <c r="F7" s="305"/>
      <c r="G7" s="305"/>
      <c r="H7" s="305"/>
      <c r="I7" s="305"/>
      <c r="J7" s="305"/>
      <c r="K7" s="305"/>
      <c r="L7" s="305"/>
      <c r="M7" s="305"/>
      <c r="N7" s="305"/>
      <c r="O7" s="305"/>
      <c r="P7" s="305"/>
      <c r="Q7" s="306"/>
      <c r="R7" s="109" t="s">
        <v>37</v>
      </c>
      <c r="S7" s="34"/>
      <c r="T7" s="307" t="s">
        <v>38</v>
      </c>
      <c r="U7" s="305"/>
      <c r="V7" s="305"/>
      <c r="W7" s="308"/>
      <c r="X7" s="308"/>
      <c r="Y7" s="308"/>
      <c r="Z7" s="308"/>
      <c r="AA7" s="308"/>
      <c r="AB7" s="308"/>
      <c r="AC7" s="309"/>
      <c r="AD7" s="33"/>
      <c r="AE7" s="39"/>
      <c r="AF7" s="46"/>
      <c r="AG7" s="46"/>
      <c r="AH7" s="45"/>
      <c r="AI7" s="45"/>
      <c r="AJ7" s="45"/>
      <c r="AK7" s="45"/>
      <c r="AL7" s="45"/>
      <c r="AM7" s="45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138"/>
      <c r="BB7" s="138"/>
      <c r="BC7" s="138"/>
      <c r="BD7" s="138"/>
    </row>
    <row r="8" spans="1:56" s="30" customFormat="1" ht="15" customHeight="1" thickTop="1" x14ac:dyDescent="0.25"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35"/>
      <c r="U8" s="35"/>
      <c r="V8" s="35"/>
      <c r="W8" s="36" t="s">
        <v>41</v>
      </c>
      <c r="X8" s="37" t="s">
        <v>42</v>
      </c>
      <c r="Y8" s="37" t="s">
        <v>43</v>
      </c>
      <c r="Z8" s="37" t="s">
        <v>44</v>
      </c>
      <c r="AA8" s="38" t="s">
        <v>45</v>
      </c>
      <c r="AB8" s="38" t="s">
        <v>46</v>
      </c>
      <c r="AC8" s="38" t="s">
        <v>47</v>
      </c>
      <c r="AD8" s="33"/>
      <c r="AE8" s="39"/>
      <c r="AF8" s="46"/>
      <c r="AG8" s="46"/>
      <c r="AH8" s="174" t="s">
        <v>8</v>
      </c>
      <c r="AI8" s="175" t="s">
        <v>39</v>
      </c>
      <c r="AJ8" s="176" t="s">
        <v>41</v>
      </c>
      <c r="AK8" s="175" t="s">
        <v>42</v>
      </c>
      <c r="AL8" s="175" t="s">
        <v>43</v>
      </c>
      <c r="AM8" s="175" t="s">
        <v>44</v>
      </c>
      <c r="AN8" s="265" t="s">
        <v>45</v>
      </c>
      <c r="AO8" s="265" t="s">
        <v>46</v>
      </c>
      <c r="AP8" s="265" t="s">
        <v>333</v>
      </c>
      <c r="AQ8" s="265" t="s">
        <v>334</v>
      </c>
      <c r="AR8" s="265" t="s">
        <v>332</v>
      </c>
      <c r="AS8" s="265"/>
      <c r="AT8" s="265"/>
      <c r="AU8" s="29" t="s">
        <v>337</v>
      </c>
      <c r="AV8" s="29" t="s">
        <v>338</v>
      </c>
      <c r="AW8" s="29" t="s">
        <v>339</v>
      </c>
      <c r="AX8" s="29"/>
      <c r="AY8" s="29"/>
      <c r="AZ8" s="29"/>
      <c r="BA8" s="138" t="str">
        <f>AH10</f>
        <v>Flamengo</v>
      </c>
      <c r="BB8" s="140" t="str">
        <f>AH12</f>
        <v>Espérance de Tunis</v>
      </c>
      <c r="BC8" s="140" t="str">
        <f>AH14</f>
        <v>Chelsea</v>
      </c>
      <c r="BD8" s="140" t="str">
        <f>AH16</f>
        <v>Los Angeles</v>
      </c>
    </row>
    <row r="9" spans="1:56" s="30" customFormat="1" ht="10.15" customHeight="1" x14ac:dyDescent="0.25">
      <c r="B9" s="163" t="str" cm="1">
        <f t="array" ref="B9:B21">_xlfn.REDUCE("",_xlfn.TAKE(_xlfn._xlws.FILTER(Aux!M:T,Aux!T:T=AH6),,1),_xlfn.LAMBDA(_xlpm.t,_xlpm.p,_xlfn.VSTACK(_xlpm.t,_xlpm.p,"")))</f>
        <v/>
      </c>
      <c r="C9" s="96"/>
      <c r="D9" s="97"/>
      <c r="E9" s="99"/>
      <c r="F9" s="99"/>
      <c r="G9" s="98"/>
      <c r="H9" s="98"/>
      <c r="I9" s="98"/>
      <c r="J9" s="99"/>
      <c r="K9" s="99"/>
      <c r="L9" s="99"/>
      <c r="M9" s="99"/>
      <c r="N9" s="99"/>
      <c r="O9" s="100"/>
      <c r="P9" s="100"/>
      <c r="Q9" s="100"/>
      <c r="R9" s="101"/>
      <c r="S9"/>
      <c r="T9" s="20"/>
      <c r="U9" s="88"/>
      <c r="V9" s="89"/>
      <c r="W9" s="21"/>
      <c r="X9" s="22"/>
      <c r="Y9" s="22"/>
      <c r="Z9" s="22"/>
      <c r="AA9" s="23"/>
      <c r="AB9" s="23"/>
      <c r="AC9" s="23"/>
      <c r="AD9" s="33"/>
      <c r="AE9" s="39"/>
      <c r="AF9" s="46"/>
      <c r="AG9" s="46"/>
      <c r="AH9" s="174"/>
      <c r="AI9" s="175"/>
      <c r="AJ9" s="176"/>
      <c r="AK9" s="175"/>
      <c r="AL9" s="175"/>
      <c r="AM9" s="175"/>
      <c r="AN9" s="139"/>
      <c r="AO9" s="139"/>
      <c r="AP9" s="29"/>
      <c r="AQ9" s="29"/>
      <c r="AR9" s="29"/>
      <c r="AS9" s="139"/>
      <c r="AT9" s="139"/>
      <c r="AU9" s="139"/>
      <c r="AV9" s="29"/>
      <c r="AW9" s="29"/>
      <c r="AX9" s="29"/>
      <c r="AY9" s="29"/>
      <c r="AZ9" s="29"/>
      <c r="BA9" s="138"/>
      <c r="BB9" s="140"/>
      <c r="BC9" s="140"/>
      <c r="BD9" s="140"/>
    </row>
    <row r="10" spans="1:56" s="30" customFormat="1" ht="22.15" customHeight="1" x14ac:dyDescent="0.25">
      <c r="B10" s="164">
        <v>6</v>
      </c>
      <c r="C10" s="7">
        <f>VLOOKUP(B10,Aux!M:AH,4,0)</f>
        <v>45824.875</v>
      </c>
      <c r="D10" s="8">
        <f>VLOOKUP(B10,Aux!M:AH,4,0)</f>
        <v>45824.875</v>
      </c>
      <c r="E10" s="102"/>
      <c r="F10" s="102" t="e" vm="25">
        <f>IFERROR(VLOOKUP(G10,Aux!$A:$X,8,0),"")</f>
        <v>#VALUE!</v>
      </c>
      <c r="G10" s="157" t="str">
        <f>VLOOKUP(B10,Aux!M:Y,5,0)</f>
        <v>Chelsea</v>
      </c>
      <c r="H10" s="154" t="e" vm="26">
        <f>IFERROR(VLOOKUP(G10,Aux!$A:$C,3,0),"")</f>
        <v>#VALUE!</v>
      </c>
      <c r="I10" s="154"/>
      <c r="J10" s="203">
        <v>2</v>
      </c>
      <c r="K10" s="145" t="s">
        <v>40</v>
      </c>
      <c r="L10" s="203">
        <v>1</v>
      </c>
      <c r="M10" s="16"/>
      <c r="N10" s="154" t="e" vm="2">
        <f>IFERROR(VLOOKUP(O10,Aux!$A:$C,3,0),"")</f>
        <v>#VALUE!</v>
      </c>
      <c r="O10" s="155" t="str">
        <f>VLOOKUP(B10,Aux!M:Y,6,0)</f>
        <v>Los Angeles</v>
      </c>
      <c r="P10" s="102" t="e" vm="1">
        <f>IFERROR(VLOOKUP(O10,Aux!$A:$X,8,0),"")</f>
        <v>#VALUE!</v>
      </c>
      <c r="Q10" s="16"/>
      <c r="R10" s="24" t="str">
        <f>VLOOKUP(B10,Aux!M:Y,7,0)</f>
        <v>Mercedes-Benz Stadium</v>
      </c>
      <c r="S10"/>
      <c r="T10" s="240" t="str">
        <f>INDEX($AH$10:$AH$17,MATCH(1,$AY$10:$AY$16,0))</f>
        <v>Chelsea</v>
      </c>
      <c r="U10" s="91" t="e" vm="26">
        <f>IFERROR(VLOOKUP(T10,Aux!A:C,3,0),"")</f>
        <v>#VALUE!</v>
      </c>
      <c r="V10" s="92"/>
      <c r="W10" s="93">
        <f>VLOOKUP($T10,$AH$10:$AO$16,3,0)</f>
        <v>9</v>
      </c>
      <c r="X10" s="94">
        <f>VLOOKUP($T10,$AH$10:$AO$16,4,0)</f>
        <v>3</v>
      </c>
      <c r="Y10" s="94">
        <f>VLOOKUP($T10,$AH$10:$AO$16,5,0)</f>
        <v>0</v>
      </c>
      <c r="Z10" s="94">
        <f>VLOOKUP($T10,$AH$10:$AO$16,6,0)</f>
        <v>0</v>
      </c>
      <c r="AA10" s="95">
        <f>VLOOKUP($T10,$AH$10:$AO$16,7,0)</f>
        <v>7</v>
      </c>
      <c r="AB10" s="95">
        <f>VLOOKUP($T10,$AH$10:$AO$16,8,0)</f>
        <v>2</v>
      </c>
      <c r="AC10" s="95">
        <f>AA10-AB10</f>
        <v>5</v>
      </c>
      <c r="AD10" s="33"/>
      <c r="AE10" s="47"/>
      <c r="AF10" s="45"/>
      <c r="AG10" s="45">
        <v>1</v>
      </c>
      <c r="AH10" s="177" t="str">
        <f>VLOOKUP($AH$6&amp;AG10,Aux!Z:AA,2,0)</f>
        <v>Flamengo</v>
      </c>
      <c r="AI10" s="45">
        <f>AK10+AL10+AM10</f>
        <v>3</v>
      </c>
      <c r="AJ10" s="45">
        <f>AK10*3+AL10</f>
        <v>6</v>
      </c>
      <c r="AK10" s="45" cm="1">
        <f t="array" ref="AK10">SUM(($G$10:$G$23=$AH10)*($J$10:$J$23&gt;$L$10:$L$23)+($O$10:$O$23=$AH10)*($J$10:$J$23&lt;$L$10:$L$23))</f>
        <v>2</v>
      </c>
      <c r="AL10" s="45" cm="1">
        <f t="array" ref="AL10">SUM(($G$10:$G$23=$AH10)*($J$10:$J$23=$L$10:$L$23)*($J$10:$J$23&lt;&gt;"")+($O$10:$O$23=$AH10)*($J$10:$J$23=$L$10:$L$23)*($J$10:$J$23&lt;&gt;""))</f>
        <v>0</v>
      </c>
      <c r="AM10" s="45" cm="1">
        <f t="array" ref="AM10">SUM(($G$10:$G$23=$AH10)*($J$10:$J$23&lt;$L$10:$L$23)+($O$10:$O$23=$AH10)*($J$10:$J$23&gt;$L$10:$L$23))</f>
        <v>1</v>
      </c>
      <c r="AN10" s="29" cm="1">
        <f t="array" ref="AN10">SUM(($G$10:$G$23=$AH10)*($J$10:$J$23)+($O$10:$O$23=$AH10)*($L$10:$L$23))</f>
        <v>6</v>
      </c>
      <c r="AO10" s="29" cm="1">
        <f t="array" ref="AO10">SUM(($G$10:$G$23=$AH10)*($L$10:$L$23)+($O$10:$O$23=$AH10)*($J$10:$J$23))</f>
        <v>3</v>
      </c>
      <c r="AP10" s="141">
        <f>AN10-AO10</f>
        <v>3</v>
      </c>
      <c r="AQ10" s="138">
        <v>0</v>
      </c>
      <c r="AR10" s="141">
        <f>+AW10+AV10+AU10</f>
        <v>6.0006030600000004</v>
      </c>
      <c r="AS10" s="29"/>
      <c r="AT10" s="29"/>
      <c r="AU10" s="141">
        <f>+AJ10</f>
        <v>6</v>
      </c>
      <c r="AV10" s="141">
        <f>SUMIFS($BA10:$BD10,$BA$6:$BD$6,AJ10)/1000</f>
        <v>0</v>
      </c>
      <c r="AW10" s="141">
        <f>SUMIFS($BA10:$BD10,$BA$5:$BD$5,AV10)/1000000</f>
        <v>6.0305999999999999E-4</v>
      </c>
      <c r="AX10" s="29">
        <f>_xlfn.RANK.EQ(AJ10,$AJ$10:$AJ$16)+_xlfn.RANK.EQ(AR10,$AR$10:$AR$16)/10+_xlfn.RANK.EQ(AP10,$AP$10:$AP$16)/1000+_xlfn.RANK.EQ(AN10,$AN$10:$AN$16)/100000+_xlfn.RANK.EQ(AQ10,$AQ$10:$AQ$16)/100000+ROW()/1000000</f>
        <v>2.2020400000000002</v>
      </c>
      <c r="AY10" s="29">
        <f>_xlfn.RANK.EQ(AX10,$AX$10:$AX$16,1)</f>
        <v>2</v>
      </c>
      <c r="AZ10" s="29"/>
      <c r="BA10" s="29" cm="1">
        <f t="array" ref="BA10">(SUM(($G$10:$G$23=$AH10)*($J$10:$J$23&gt;$L$10:$L$23)*($O$10:$O$23=BA$8)+($O$10:$O$23=$AH10)*($J$10:$J$23&lt;$L$10:$L$23)*($G$10:$G$23=BA$8)))*300+
(SUM(($G$10:$G$23=$AH10)*($J$10:$J$23=$L$10:$L$23)*($O$10:$O$23=BA$8)+($O$10:$O$23=$AH10)*($J$10:$J$23=$L$10:$L$23)*($G$10:$G$23=BA$8)))*100
+SUM(($G$10:$G$23=$AH10)*($J$10:$J$23)*($O$10:$O$23=BA$8)+($O$10:$O$23=$AH10)*($L$10:$L$23)*($G$10:$G$23=BA$8))
-SUM(($G$10:$G$23=$AH10)*($L$10:$L$23)*($O$10:$O$23=BA$8)+($O$10:$O$23=$AH10)*($J$10:$J$23)*($G$10:$G$23=BA$8))
+SUM(($G$10:$G$23=$AH10)*($J$10:$J$23)*($O$10:$O$23=BA$8)+($O$10:$O$23=$AH10)*($L$10:$L$23)*($G$10:$G$23=BA$8))/100</f>
        <v>0</v>
      </c>
      <c r="BB10" s="29" cm="1">
        <f t="array" ref="BB10">(SUM(($G$10:$G$23=$AH10)*($J$10:$J$23&gt;$L$10:$L$23)*($O$10:$O$23=BB$8)+($O$10:$O$23=$AH10)*($J$10:$J$23&lt;$L$10:$L$23)*($G$10:$G$23=BB$8)))*300+
(SUM(($G$10:$G$23=$AH10)*($J$10:$J$23=$L$10:$L$23)*($O$10:$O$23=BB$8)+($O$10:$O$23=$AH10)*($J$10:$J$23=$L$10:$L$23)*($G$10:$G$23=BB$8)))*100
+SUM(($G$10:$G$23=$AH10)*($J$10:$J$23)*($O$10:$O$23=BB$8)+($O$10:$O$23=$AH10)*($L$10:$L$23)*($G$10:$G$23=BB$8))
-SUM(($G$10:$G$23=$AH10)*($L$10:$L$23)*($O$10:$O$23=BB$8)+($O$10:$O$23=$AH10)*($J$10:$J$23)*($G$10:$G$23=BB$8))
+SUM(($G$10:$G$23=$AH10)*($J$10:$J$23)*($O$10:$O$23=BB$8)+($O$10:$O$23=$AH10)*($L$10:$L$23)*($G$10:$G$23=BB$8))/100</f>
        <v>303.02999999999997</v>
      </c>
      <c r="BC10" s="29" cm="1">
        <f t="array" ref="BC10">(SUM(($G$10:$G$23=$AH10)*($J$10:$J$23&gt;$L$10:$L$23)*($O$10:$O$23=BC$8)+($O$10:$O$23=$AH10)*($J$10:$J$23&lt;$L$10:$L$23)*($G$10:$G$23=BC$8)))*300+
(SUM(($G$10:$G$23=$AH10)*($J$10:$J$23=$L$10:$L$23)*($O$10:$O$23=BC$8)+($O$10:$O$23=$AH10)*($J$10:$J$23=$L$10:$L$23)*($G$10:$G$23=BC$8)))*100
+SUM(($G$10:$G$23=$AH10)*($J$10:$J$23)*($O$10:$O$23=BC$8)+($O$10:$O$23=$AH10)*($L$10:$L$23)*($G$10:$G$23=BC$8))
-SUM(($G$10:$G$23=$AH10)*($L$10:$L$23)*($O$10:$O$23=BC$8)+($O$10:$O$23=$AH10)*($J$10:$J$23)*($G$10:$G$23=BC$8))
+SUM(($G$10:$G$23=$AH10)*($J$10:$J$23)*($O$10:$O$23=BC$8)+($O$10:$O$23=$AH10)*($L$10:$L$23)*($G$10:$G$23=BC$8))/100</f>
        <v>-0.99</v>
      </c>
      <c r="BD10" s="29" cm="1">
        <f t="array" ref="BD10">(SUM(($G$10:$G$23=$AH10)*($J$10:$J$23&gt;$L$10:$L$23)*($O$10:$O$23=BD$8)+($O$10:$O$23=$AH10)*($J$10:$J$23&lt;$L$10:$L$23)*($G$10:$G$23=BD$8)))*300+
(SUM(($G$10:$G$23=$AH10)*($J$10:$J$23=$L$10:$L$23)*($O$10:$O$23=BD$8)+($O$10:$O$23=$AH10)*($J$10:$J$23=$L$10:$L$23)*($G$10:$G$23=BD$8)))*100
+SUM(($G$10:$G$23=$AH10)*($J$10:$J$23)*($O$10:$O$23=BD$8)+($O$10:$O$23=$AH10)*($L$10:$L$23)*($G$10:$G$23=BD$8))
-SUM(($G$10:$G$23=$AH10)*($L$10:$L$23)*($O$10:$O$23=BD$8)+($O$10:$O$23=$AH10)*($J$10:$J$23)*($G$10:$G$23=BD$8))
+SUM(($G$10:$G$23=$AH10)*($J$10:$J$23)*($O$10:$O$23=BD$8)+($O$10:$O$23=$AH10)*($L$10:$L$23)*($G$10:$G$23=BD$8))/100</f>
        <v>301.02</v>
      </c>
    </row>
    <row r="11" spans="1:56" s="30" customFormat="1" ht="10.15" customHeight="1" x14ac:dyDescent="0.25">
      <c r="B11" s="164" t="str">
        <v/>
      </c>
      <c r="C11" s="7"/>
      <c r="D11" s="8"/>
      <c r="E11" s="102"/>
      <c r="F11" s="102"/>
      <c r="G11" s="157"/>
      <c r="H11" s="9"/>
      <c r="I11" s="9"/>
      <c r="J11" s="154"/>
      <c r="K11" s="9"/>
      <c r="L11" s="154"/>
      <c r="M11" s="16"/>
      <c r="N11" s="154"/>
      <c r="O11" s="155"/>
      <c r="P11" s="16"/>
      <c r="Q11" s="16"/>
      <c r="R11" s="24"/>
      <c r="S11"/>
      <c r="T11" s="240"/>
      <c r="U11" s="91"/>
      <c r="V11" s="92"/>
      <c r="W11" s="93"/>
      <c r="X11" s="94"/>
      <c r="Y11" s="94"/>
      <c r="Z11" s="94"/>
      <c r="AA11" s="95"/>
      <c r="AB11" s="95"/>
      <c r="AC11" s="95"/>
      <c r="AD11" s="33"/>
      <c r="AE11" s="47"/>
      <c r="AF11" s="45"/>
      <c r="AG11" s="45"/>
      <c r="AH11" s="177"/>
      <c r="AI11" s="45"/>
      <c r="AJ11" s="45"/>
      <c r="AK11" s="45"/>
      <c r="AL11" s="45"/>
      <c r="AM11" s="45"/>
      <c r="AN11" s="29"/>
      <c r="AO11" s="29"/>
      <c r="AP11" s="141"/>
      <c r="AQ11" s="138"/>
      <c r="AR11" s="141"/>
      <c r="AS11" s="29"/>
      <c r="AT11" s="29"/>
      <c r="AU11" s="29"/>
      <c r="AV11" s="141"/>
      <c r="AW11" s="141"/>
      <c r="AX11" s="29"/>
      <c r="AY11" s="29"/>
      <c r="AZ11" s="29"/>
      <c r="BA11" s="29"/>
      <c r="BB11" s="29"/>
      <c r="BC11" s="29"/>
      <c r="BD11" s="29"/>
    </row>
    <row r="12" spans="1:56" s="30" customFormat="1" ht="22.15" customHeight="1" x14ac:dyDescent="0.25">
      <c r="B12" s="164">
        <v>8</v>
      </c>
      <c r="C12" s="7">
        <f>VLOOKUP(B12,Aux!M:AH,4,0)</f>
        <v>45825.125</v>
      </c>
      <c r="D12" s="8">
        <f>VLOOKUP(B12,Aux!M:AH,4,0)</f>
        <v>45825.125</v>
      </c>
      <c r="E12" s="102"/>
      <c r="F12" s="102" t="e" vm="9">
        <f>IFERROR(VLOOKUP(G12,Aux!$A:$X,8,0),"")</f>
        <v>#VALUE!</v>
      </c>
      <c r="G12" s="157" t="str">
        <f>VLOOKUP(B12,Aux!M:Y,5,0)</f>
        <v>Flamengo</v>
      </c>
      <c r="H12" s="154" t="e" vm="27">
        <f>IFERROR(VLOOKUP(G12,Aux!$A:$C,3,0),"")</f>
        <v>#VALUE!</v>
      </c>
      <c r="I12" s="154"/>
      <c r="J12" s="203">
        <v>3</v>
      </c>
      <c r="K12" s="145" t="s">
        <v>40</v>
      </c>
      <c r="L12" s="203">
        <v>0</v>
      </c>
      <c r="M12" s="16"/>
      <c r="N12" s="154" t="e" vm="28">
        <f>IFERROR(VLOOKUP(O12,Aux!$A:$C,3,0),"")</f>
        <v>#VALUE!</v>
      </c>
      <c r="O12" s="155" t="str">
        <f>VLOOKUP(B12,Aux!M:Y,6,0)</f>
        <v>Espérance de Tunis</v>
      </c>
      <c r="P12" s="102" t="e" vm="29">
        <f>IFERROR(VLOOKUP(O12,Aux!$A:$X,8,0),"")</f>
        <v>#VALUE!</v>
      </c>
      <c r="Q12" s="16"/>
      <c r="R12" s="24" t="str">
        <f>VLOOKUP(B12,Aux!M:Y,7,0)</f>
        <v>Lincoln Financial Field</v>
      </c>
      <c r="S12"/>
      <c r="T12" s="240" t="str">
        <f>INDEX($AH$10:$AH$17,MATCH(2,$AY$10:$AY$16,0))</f>
        <v>Flamengo</v>
      </c>
      <c r="U12" s="91" t="e" vm="27">
        <f>IFERROR(VLOOKUP(T12,Aux!A:C,3,0),"")</f>
        <v>#VALUE!</v>
      </c>
      <c r="V12" s="92"/>
      <c r="W12" s="93">
        <f>VLOOKUP($T12,$AH$10:$AO$16,3,0)</f>
        <v>6</v>
      </c>
      <c r="X12" s="94">
        <f>VLOOKUP($T12,$AH$10:$AO$16,4,0)</f>
        <v>2</v>
      </c>
      <c r="Y12" s="94">
        <f>VLOOKUP($T12,$AH$10:$AO$16,5,0)</f>
        <v>0</v>
      </c>
      <c r="Z12" s="94">
        <f>VLOOKUP($T12,$AH$10:$AO$16,6,0)</f>
        <v>1</v>
      </c>
      <c r="AA12" s="95">
        <f>VLOOKUP($T12,$AH$10:$AO$16,7,0)</f>
        <v>6</v>
      </c>
      <c r="AB12" s="95">
        <f>VLOOKUP($T12,$AH$10:$AO$16,8,0)</f>
        <v>3</v>
      </c>
      <c r="AC12" s="95">
        <f>AA12-AB12</f>
        <v>3</v>
      </c>
      <c r="AD12" s="33"/>
      <c r="AE12" s="39"/>
      <c r="AF12" s="46"/>
      <c r="AG12" s="45">
        <v>2</v>
      </c>
      <c r="AH12" s="177" t="str">
        <f>VLOOKUP($AH$6&amp;AG12,Aux!Z:AA,2,0)</f>
        <v>Espérance de Tunis</v>
      </c>
      <c r="AI12" s="45">
        <f>AK12+AL12+AM12</f>
        <v>3</v>
      </c>
      <c r="AJ12" s="45">
        <f>AK12*3+AL12</f>
        <v>0</v>
      </c>
      <c r="AK12" s="45" cm="1">
        <f t="array" ref="AK12">SUM(($G$10:$G$23=$AH12)*($J$10:$J$23&gt;$L$10:$L$23)+($O$10:$O$23=$AH12)*($J$10:$J$23&lt;$L$10:$L$23))</f>
        <v>0</v>
      </c>
      <c r="AL12" s="45" cm="1">
        <f t="array" ref="AL12">SUM(($G$10:$G$23=$AH12)*($J$10:$J$23=$L$10:$L$23)*($J$10:$J$23&lt;&gt;"")+($O$10:$O$23=$AH12)*($J$10:$J$23=$L$10:$L$23)*($J$10:$J$23&lt;&gt;""))</f>
        <v>0</v>
      </c>
      <c r="AM12" s="45" cm="1">
        <f t="array" ref="AM12">SUM(($G$10:$G$23=$AH12)*($J$10:$J$23&lt;$L$10:$L$23)+($O$10:$O$23=$AH12)*($J$10:$J$23&gt;$L$10:$L$23))</f>
        <v>3</v>
      </c>
      <c r="AN12" s="29" cm="1">
        <f t="array" ref="AN12">SUM(($G$10:$G$23=$AH12)*($J$10:$J$23)+($O$10:$O$23=$AH12)*($L$10:$L$23))</f>
        <v>1</v>
      </c>
      <c r="AO12" s="29" cm="1">
        <f t="array" ref="AO12">SUM(($G$10:$G$23=$AH12)*($L$10:$L$23)+($O$10:$O$23=$AH12)*($J$10:$J$23))</f>
        <v>8</v>
      </c>
      <c r="AP12" s="141">
        <f>AN12-AO12</f>
        <v>-7</v>
      </c>
      <c r="AQ12" s="138">
        <v>0</v>
      </c>
      <c r="AR12" s="141">
        <f>+AW12+AV12+AU12</f>
        <v>-6.99E-6</v>
      </c>
      <c r="AS12" s="29"/>
      <c r="AT12" s="29"/>
      <c r="AU12" s="141">
        <f>+AJ12</f>
        <v>0</v>
      </c>
      <c r="AV12" s="141">
        <f>SUMIFS($BA12:$BD12,$BA$6:$BD$6,AJ12)/1000</f>
        <v>0</v>
      </c>
      <c r="AW12" s="141">
        <f>SUMIFS($BA12:$BD12,$BA$5:$BD$5,AV12)/1000000</f>
        <v>-6.99E-6</v>
      </c>
      <c r="AX12" s="29">
        <f>_xlfn.RANK.EQ(AJ12,$AJ$10:$AJ$16)+_xlfn.RANK.EQ(AR12,$AR$10:$AR$16)/10+_xlfn.RANK.EQ(AP12,$AP$10:$AP$16)/1000+_xlfn.RANK.EQ(AN12,$AN$10:$AN$16)/100000+_xlfn.RANK.EQ(AQ12,$AQ$10:$AQ$16)/100000+ROW()/1000000</f>
        <v>4.4040619999999997</v>
      </c>
      <c r="AY12" s="29">
        <f>_xlfn.RANK.EQ(AX12,$AX$10:$AX$16,1)</f>
        <v>4</v>
      </c>
      <c r="AZ12" s="29"/>
      <c r="BA12" s="29" cm="1">
        <f t="array" ref="BA12">(SUM(($G$10:$G$23=$AH12)*($J$10:$J$23&gt;$L$10:$L$23)*($O$10:$O$23=BA$8)+($O$10:$O$23=$AH12)*($J$10:$J$23&lt;$L$10:$L$23)*($G$10:$G$23=BA$8)))*300+
(SUM(($G$10:$G$23=$AH12)*($J$10:$J$23=$L$10:$L$23)*($O$10:$O$23=BA$8)+($O$10:$O$23=$AH12)*($J$10:$J$23=$L$10:$L$23)*($G$10:$G$23=BA$8)))*100
+SUM(($G$10:$G$23=$AH12)*($J$10:$J$23)*($O$10:$O$23=BA$8)+($O$10:$O$23=$AH12)*($L$10:$L$23)*($G$10:$G$23=BA$8))
-SUM(($G$10:$G$23=$AH12)*($L$10:$L$23)*($O$10:$O$23=BA$8)+($O$10:$O$23=$AH12)*($J$10:$J$23)*($G$10:$G$23=BA$8))
+SUM(($G$10:$G$23=$AH12)*($J$10:$J$23)*($O$10:$O$23=BA$8)+($O$10:$O$23=$AH12)*($L$10:$L$23)*($G$10:$G$23=BA$8))/100</f>
        <v>-3</v>
      </c>
      <c r="BB12" s="29" cm="1">
        <f t="array" ref="BB12">(SUM(($G$10:$G$23=$AH12)*($J$10:$J$23&gt;$L$10:$L$23)*($O$10:$O$23=BB$8)+($O$10:$O$23=$AH12)*($J$10:$J$23&lt;$L$10:$L$23)*($G$10:$G$23=BB$8)))*300+
(SUM(($G$10:$G$23=$AH12)*($J$10:$J$23=$L$10:$L$23)*($O$10:$O$23=BB$8)+($O$10:$O$23=$AH12)*($J$10:$J$23=$L$10:$L$23)*($G$10:$G$23=BB$8)))*100
+SUM(($G$10:$G$23=$AH12)*($J$10:$J$23)*($O$10:$O$23=BB$8)+($O$10:$O$23=$AH12)*($L$10:$L$23)*($G$10:$G$23=BB$8))
-SUM(($G$10:$G$23=$AH12)*($L$10:$L$23)*($O$10:$O$23=BB$8)+($O$10:$O$23=$AH12)*($J$10:$J$23)*($G$10:$G$23=BB$8))
+SUM(($G$10:$G$23=$AH12)*($J$10:$J$23)*($O$10:$O$23=BB$8)+($O$10:$O$23=$AH12)*($L$10:$L$23)*($G$10:$G$23=BB$8))/100</f>
        <v>0</v>
      </c>
      <c r="BC12" s="29" cm="1">
        <f t="array" ref="BC12">(SUM(($G$10:$G$23=$AH12)*($J$10:$J$23&gt;$L$10:$L$23)*($O$10:$O$23=BC$8)+($O$10:$O$23=$AH12)*($J$10:$J$23&lt;$L$10:$L$23)*($G$10:$G$23=BC$8)))*300+
(SUM(($G$10:$G$23=$AH12)*($J$10:$J$23=$L$10:$L$23)*($O$10:$O$23=BC$8)+($O$10:$O$23=$AH12)*($J$10:$J$23=$L$10:$L$23)*($G$10:$G$23=BC$8)))*100
+SUM(($G$10:$G$23=$AH12)*($J$10:$J$23)*($O$10:$O$23=BC$8)+($O$10:$O$23=$AH12)*($L$10:$L$23)*($G$10:$G$23=BC$8))
-SUM(($G$10:$G$23=$AH12)*($L$10:$L$23)*($O$10:$O$23=BC$8)+($O$10:$O$23=$AH12)*($J$10:$J$23)*($G$10:$G$23=BC$8))
+SUM(($G$10:$G$23=$AH12)*($J$10:$J$23)*($O$10:$O$23=BC$8)+($O$10:$O$23=$AH12)*($L$10:$L$23)*($G$10:$G$23=BC$8))/100</f>
        <v>-3</v>
      </c>
      <c r="BD12" s="29" cm="1">
        <f t="array" ref="BD12">(SUM(($G$10:$G$23=$AH12)*($J$10:$J$23&gt;$L$10:$L$23)*($O$10:$O$23=BD$8)+($O$10:$O$23=$AH12)*($J$10:$J$23&lt;$L$10:$L$23)*($G$10:$G$23=BD$8)))*300+
(SUM(($G$10:$G$23=$AH12)*($J$10:$J$23=$L$10:$L$23)*($O$10:$O$23=BD$8)+($O$10:$O$23=$AH12)*($J$10:$J$23=$L$10:$L$23)*($G$10:$G$23=BD$8)))*100
+SUM(($G$10:$G$23=$AH12)*($J$10:$J$23)*($O$10:$O$23=BD$8)+($O$10:$O$23=$AH12)*($L$10:$L$23)*($G$10:$G$23=BD$8))
-SUM(($G$10:$G$23=$AH12)*($L$10:$L$23)*($O$10:$O$23=BD$8)+($O$10:$O$23=$AH12)*($J$10:$J$23)*($G$10:$G$23=BD$8))
+SUM(($G$10:$G$23=$AH12)*($J$10:$J$23)*($O$10:$O$23=BD$8)+($O$10:$O$23=$AH12)*($L$10:$L$23)*($G$10:$G$23=BD$8))/100</f>
        <v>-0.99</v>
      </c>
    </row>
    <row r="13" spans="1:56" s="30" customFormat="1" ht="10.15" customHeight="1" x14ac:dyDescent="0.25">
      <c r="B13" s="164" t="str">
        <v/>
      </c>
      <c r="C13" s="10"/>
      <c r="D13" s="11"/>
      <c r="E13" s="103"/>
      <c r="F13" s="103"/>
      <c r="G13" s="158"/>
      <c r="H13" s="12"/>
      <c r="I13" s="12"/>
      <c r="J13" s="145"/>
      <c r="K13" s="145"/>
      <c r="L13" s="145"/>
      <c r="M13" s="16"/>
      <c r="N13" s="154"/>
      <c r="O13" s="156"/>
      <c r="P13" s="17"/>
      <c r="Q13" s="17"/>
      <c r="R13" s="25"/>
      <c r="S13"/>
      <c r="T13" s="240"/>
      <c r="U13" s="91"/>
      <c r="V13" s="92"/>
      <c r="W13" s="93"/>
      <c r="X13" s="94"/>
      <c r="Y13" s="94"/>
      <c r="Z13" s="94"/>
      <c r="AA13" s="95"/>
      <c r="AB13" s="95"/>
      <c r="AC13" s="95"/>
      <c r="AD13" s="33"/>
      <c r="AE13" s="39"/>
      <c r="AF13" s="46"/>
      <c r="AG13" s="45"/>
      <c r="AH13" s="177"/>
      <c r="AI13" s="45"/>
      <c r="AJ13" s="45"/>
      <c r="AK13" s="45"/>
      <c r="AL13" s="45"/>
      <c r="AM13" s="45"/>
      <c r="AN13" s="29"/>
      <c r="AO13" s="29"/>
      <c r="AP13" s="141"/>
      <c r="AQ13" s="138"/>
      <c r="AR13" s="141"/>
      <c r="AS13" s="29"/>
      <c r="AT13" s="29"/>
      <c r="AU13" s="29"/>
      <c r="AV13" s="141"/>
      <c r="AW13" s="141"/>
      <c r="AX13" s="29"/>
      <c r="AY13" s="29"/>
      <c r="AZ13" s="29"/>
      <c r="BA13" s="29"/>
      <c r="BB13" s="29"/>
      <c r="BC13" s="29"/>
      <c r="BD13" s="29"/>
    </row>
    <row r="14" spans="1:56" s="30" customFormat="1" ht="22.15" customHeight="1" x14ac:dyDescent="0.25">
      <c r="B14" s="164">
        <v>22</v>
      </c>
      <c r="C14" s="7">
        <f>VLOOKUP(B14,Aux!M:AH,4,0)</f>
        <v>45828.833333333336</v>
      </c>
      <c r="D14" s="8">
        <f>VLOOKUP(B14,Aux!M:AH,4,0)</f>
        <v>45828.833333333336</v>
      </c>
      <c r="E14" s="102"/>
      <c r="F14" s="102" t="e" vm="9">
        <f>IFERROR(VLOOKUP(G14,Aux!$A:$X,8,0),"")</f>
        <v>#VALUE!</v>
      </c>
      <c r="G14" s="157" t="str">
        <f>VLOOKUP(B14,Aux!M:Y,5,0)</f>
        <v>Flamengo</v>
      </c>
      <c r="H14" s="154" t="e" vm="27">
        <f>IFERROR(VLOOKUP(G14,Aux!$A:$C,3,0),"")</f>
        <v>#VALUE!</v>
      </c>
      <c r="I14" s="154"/>
      <c r="J14" s="203">
        <v>1</v>
      </c>
      <c r="K14" s="145" t="s">
        <v>40</v>
      </c>
      <c r="L14" s="203">
        <v>2</v>
      </c>
      <c r="M14" s="16"/>
      <c r="N14" s="154" t="e" vm="26">
        <f>IFERROR(VLOOKUP(O14,Aux!$A:$C,3,0),"")</f>
        <v>#VALUE!</v>
      </c>
      <c r="O14" s="155" t="str">
        <f>VLOOKUP(B14,Aux!M:Y,6,0)</f>
        <v>Chelsea</v>
      </c>
      <c r="P14" s="102" t="e" vm="25">
        <f>IFERROR(VLOOKUP(O14,Aux!$A:$X,8,0),"")</f>
        <v>#VALUE!</v>
      </c>
      <c r="Q14" s="16"/>
      <c r="R14" s="24" t="str">
        <f>VLOOKUP(B14,Aux!M:Y,7,0)</f>
        <v>Lincoln Financial Field</v>
      </c>
      <c r="S14"/>
      <c r="T14" s="240" t="str">
        <f>INDEX($AH$10:$AH$17,MATCH(3,$AY$10:$AY$16,0))</f>
        <v>Los Angeles</v>
      </c>
      <c r="U14" s="91" t="e" vm="2">
        <f>IFERROR(VLOOKUP(T14,Aux!A:C,3,0),"")</f>
        <v>#VALUE!</v>
      </c>
      <c r="V14" s="92"/>
      <c r="W14" s="93">
        <f>VLOOKUP($T14,$AH$10:$AO$16,3,0)</f>
        <v>3</v>
      </c>
      <c r="X14" s="94">
        <f>VLOOKUP($T14,$AH$10:$AO$16,4,0)</f>
        <v>1</v>
      </c>
      <c r="Y14" s="94">
        <f>VLOOKUP($T14,$AH$10:$AO$16,5,0)</f>
        <v>0</v>
      </c>
      <c r="Z14" s="94">
        <f>VLOOKUP($T14,$AH$10:$AO$16,6,0)</f>
        <v>2</v>
      </c>
      <c r="AA14" s="95">
        <f>VLOOKUP($T14,$AH$10:$AO$16,7,0)</f>
        <v>4</v>
      </c>
      <c r="AB14" s="95">
        <f>VLOOKUP($T14,$AH$10:$AO$16,8,0)</f>
        <v>5</v>
      </c>
      <c r="AC14" s="95">
        <f>AA14-AB14</f>
        <v>-1</v>
      </c>
      <c r="AD14" s="33"/>
      <c r="AE14" s="47"/>
      <c r="AF14" s="45"/>
      <c r="AG14" s="45">
        <v>3</v>
      </c>
      <c r="AH14" s="177" t="str">
        <f>VLOOKUP($AH$6&amp;AG14,Aux!Z:AA,2,0)</f>
        <v>Chelsea</v>
      </c>
      <c r="AI14" s="45">
        <f>AK14+AL14+AM14</f>
        <v>3</v>
      </c>
      <c r="AJ14" s="45">
        <f>AK14*3+AL14</f>
        <v>9</v>
      </c>
      <c r="AK14" s="45" cm="1">
        <f t="array" ref="AK14">SUM(($G$10:$G$23=$AH14)*($J$10:$J$23&gt;$L$10:$L$23)+($O$10:$O$23=$AH14)*($J$10:$J$23&lt;$L$10:$L$23))</f>
        <v>3</v>
      </c>
      <c r="AL14" s="45" cm="1">
        <f t="array" ref="AL14">SUM(($G$10:$G$23=$AH14)*($J$10:$J$23=$L$10:$L$23)*($J$10:$J$23&lt;&gt;"")+($O$10:$O$23=$AH14)*($J$10:$J$23=$L$10:$L$23)*($J$10:$J$23&lt;&gt;""))</f>
        <v>0</v>
      </c>
      <c r="AM14" s="45" cm="1">
        <f t="array" ref="AM14">SUM(($G$10:$G$23=$AH14)*($J$10:$J$23&lt;$L$10:$L$23)+($O$10:$O$23=$AH14)*($J$10:$J$23&gt;$L$10:$L$23))</f>
        <v>0</v>
      </c>
      <c r="AN14" s="29" cm="1">
        <f t="array" ref="AN14">SUM(($G$10:$G$23=$AH14)*($J$10:$J$23)+($O$10:$O$23=$AH14)*($L$10:$L$23))</f>
        <v>7</v>
      </c>
      <c r="AO14" s="29" cm="1">
        <f t="array" ref="AO14">SUM(($G$10:$G$23=$AH14)*($L$10:$L$23)+($O$10:$O$23=$AH14)*($J$10:$J$23))</f>
        <v>2</v>
      </c>
      <c r="AP14" s="141">
        <f>AN14-AO14</f>
        <v>5</v>
      </c>
      <c r="AQ14" s="138">
        <v>0</v>
      </c>
      <c r="AR14" s="141">
        <f>+AW14+AV14+AU14</f>
        <v>9.00090507</v>
      </c>
      <c r="AS14" s="29"/>
      <c r="AT14" s="29"/>
      <c r="AU14" s="141">
        <f>+AJ14</f>
        <v>9</v>
      </c>
      <c r="AV14" s="141">
        <f>SUMIFS($BA14:$BD14,$BA$6:$BD$6,AJ14)/1000</f>
        <v>0</v>
      </c>
      <c r="AW14" s="141">
        <f>SUMIFS($BA14:$BD14,$BA$5:$BD$5,AV14)/1000000</f>
        <v>9.050699999999999E-4</v>
      </c>
      <c r="AX14" s="29">
        <f>_xlfn.RANK.EQ(AJ14,$AJ$10:$AJ$16)+_xlfn.RANK.EQ(AR14,$AR$10:$AR$16)/10+_xlfn.RANK.EQ(AP14,$AP$10:$AP$16)/1000+_xlfn.RANK.EQ(AN14,$AN$10:$AN$16)/100000+_xlfn.RANK.EQ(AQ14,$AQ$10:$AQ$16)/100000+ROW()/1000000</f>
        <v>1.1010340000000001</v>
      </c>
      <c r="AY14" s="29">
        <f>_xlfn.RANK.EQ(AX14,$AX$10:$AX$16,1)</f>
        <v>1</v>
      </c>
      <c r="AZ14" s="29"/>
      <c r="BA14" s="29" cm="1">
        <f t="array" ref="BA14">(SUM(($G$10:$G$23=$AH14)*($J$10:$J$23&gt;$L$10:$L$23)*($O$10:$O$23=BA$8)+($O$10:$O$23=$AH14)*($J$10:$J$23&lt;$L$10:$L$23)*($G$10:$G$23=BA$8)))*300+
(SUM(($G$10:$G$23=$AH14)*($J$10:$J$23=$L$10:$L$23)*($O$10:$O$23=BA$8)+($O$10:$O$23=$AH14)*($J$10:$J$23=$L$10:$L$23)*($G$10:$G$23=BA$8)))*100
+SUM(($G$10:$G$23=$AH14)*($J$10:$J$23)*($O$10:$O$23=BA$8)+($O$10:$O$23=$AH14)*($L$10:$L$23)*($G$10:$G$23=BA$8))
-SUM(($G$10:$G$23=$AH14)*($L$10:$L$23)*($O$10:$O$23=BA$8)+($O$10:$O$23=$AH14)*($J$10:$J$23)*($G$10:$G$23=BA$8))
+SUM(($G$10:$G$23=$AH14)*($J$10:$J$23)*($O$10:$O$23=BA$8)+($O$10:$O$23=$AH14)*($L$10:$L$23)*($G$10:$G$23=BA$8))/100</f>
        <v>301.02</v>
      </c>
      <c r="BB14" s="29" cm="1">
        <f t="array" ref="BB14">(SUM(($G$10:$G$23=$AH14)*($J$10:$J$23&gt;$L$10:$L$23)*($O$10:$O$23=BB$8)+($O$10:$O$23=$AH14)*($J$10:$J$23&lt;$L$10:$L$23)*($G$10:$G$23=BB$8)))*300+
(SUM(($G$10:$G$23=$AH14)*($J$10:$J$23=$L$10:$L$23)*($O$10:$O$23=BB$8)+($O$10:$O$23=$AH14)*($J$10:$J$23=$L$10:$L$23)*($G$10:$G$23=BB$8)))*100
+SUM(($G$10:$G$23=$AH14)*($J$10:$J$23)*($O$10:$O$23=BB$8)+($O$10:$O$23=$AH14)*($L$10:$L$23)*($G$10:$G$23=BB$8))
-SUM(($G$10:$G$23=$AH14)*($L$10:$L$23)*($O$10:$O$23=BB$8)+($O$10:$O$23=$AH14)*($J$10:$J$23)*($G$10:$G$23=BB$8))
+SUM(($G$10:$G$23=$AH14)*($J$10:$J$23)*($O$10:$O$23=BB$8)+($O$10:$O$23=$AH14)*($L$10:$L$23)*($G$10:$G$23=BB$8))/100</f>
        <v>303.02999999999997</v>
      </c>
      <c r="BC14" s="29" cm="1">
        <f t="array" ref="BC14">(SUM(($G$10:$G$23=$AH14)*($J$10:$J$23&gt;$L$10:$L$23)*($O$10:$O$23=BC$8)+($O$10:$O$23=$AH14)*($J$10:$J$23&lt;$L$10:$L$23)*($G$10:$G$23=BC$8)))*300+
(SUM(($G$10:$G$23=$AH14)*($J$10:$J$23=$L$10:$L$23)*($O$10:$O$23=BC$8)+($O$10:$O$23=$AH14)*($J$10:$J$23=$L$10:$L$23)*($G$10:$G$23=BC$8)))*100
+SUM(($G$10:$G$23=$AH14)*($J$10:$J$23)*($O$10:$O$23=BC$8)+($O$10:$O$23=$AH14)*($L$10:$L$23)*($G$10:$G$23=BC$8))
-SUM(($G$10:$G$23=$AH14)*($L$10:$L$23)*($O$10:$O$23=BC$8)+($O$10:$O$23=$AH14)*($J$10:$J$23)*($G$10:$G$23=BC$8))
+SUM(($G$10:$G$23=$AH14)*($J$10:$J$23)*($O$10:$O$23=BC$8)+($O$10:$O$23=$AH14)*($L$10:$L$23)*($G$10:$G$23=BC$8))/100</f>
        <v>0</v>
      </c>
      <c r="BD14" s="29" cm="1">
        <f t="array" ref="BD14">(SUM(($G$10:$G$23=$AH14)*($J$10:$J$23&gt;$L$10:$L$23)*($O$10:$O$23=BD$8)+($O$10:$O$23=$AH14)*($J$10:$J$23&lt;$L$10:$L$23)*($G$10:$G$23=BD$8)))*300+
(SUM(($G$10:$G$23=$AH14)*($J$10:$J$23=$L$10:$L$23)*($O$10:$O$23=BD$8)+($O$10:$O$23=$AH14)*($J$10:$J$23=$L$10:$L$23)*($G$10:$G$23=BD$8)))*100
+SUM(($G$10:$G$23=$AH14)*($J$10:$J$23)*($O$10:$O$23=BD$8)+($O$10:$O$23=$AH14)*($L$10:$L$23)*($G$10:$G$23=BD$8))
-SUM(($G$10:$G$23=$AH14)*($L$10:$L$23)*($O$10:$O$23=BD$8)+($O$10:$O$23=$AH14)*($J$10:$J$23)*($G$10:$G$23=BD$8))
+SUM(($G$10:$G$23=$AH14)*($J$10:$J$23)*($O$10:$O$23=BD$8)+($O$10:$O$23=$AH14)*($L$10:$L$23)*($G$10:$G$23=BD$8))/100</f>
        <v>301.02</v>
      </c>
    </row>
    <row r="15" spans="1:56" s="30" customFormat="1" ht="10.15" customHeight="1" x14ac:dyDescent="0.25">
      <c r="B15" s="164" t="str">
        <v/>
      </c>
      <c r="C15" s="7"/>
      <c r="D15" s="8"/>
      <c r="E15" s="102"/>
      <c r="F15" s="102"/>
      <c r="G15" s="157"/>
      <c r="H15" s="9"/>
      <c r="I15" s="9"/>
      <c r="J15" s="154"/>
      <c r="K15" s="9"/>
      <c r="L15" s="154"/>
      <c r="M15" s="16"/>
      <c r="N15" s="154"/>
      <c r="O15" s="155"/>
      <c r="P15" s="16"/>
      <c r="Q15" s="16"/>
      <c r="R15" s="24"/>
      <c r="S15"/>
      <c r="T15" s="240"/>
      <c r="U15" s="91"/>
      <c r="V15" s="92"/>
      <c r="W15" s="93"/>
      <c r="X15" s="94"/>
      <c r="Y15" s="94"/>
      <c r="Z15" s="94"/>
      <c r="AA15" s="95"/>
      <c r="AB15" s="95"/>
      <c r="AC15" s="95"/>
      <c r="AD15" s="33"/>
      <c r="AE15" s="47"/>
      <c r="AF15" s="45"/>
      <c r="AG15" s="45"/>
      <c r="AH15" s="177"/>
      <c r="AI15" s="45"/>
      <c r="AJ15" s="45"/>
      <c r="AK15" s="45"/>
      <c r="AL15" s="45"/>
      <c r="AM15" s="45"/>
      <c r="AN15" s="29"/>
      <c r="AO15" s="29"/>
      <c r="AP15" s="141"/>
      <c r="AQ15" s="138"/>
      <c r="AR15" s="141"/>
      <c r="AS15" s="29"/>
      <c r="AT15" s="29"/>
      <c r="AU15" s="29"/>
      <c r="AV15" s="141"/>
      <c r="AW15" s="141"/>
      <c r="AX15" s="29"/>
      <c r="AY15" s="29"/>
      <c r="AZ15" s="29"/>
      <c r="BA15" s="29"/>
      <c r="BB15" s="29"/>
      <c r="BC15" s="29"/>
      <c r="BD15" s="29"/>
    </row>
    <row r="16" spans="1:56" s="30" customFormat="1" ht="22.15" customHeight="1" x14ac:dyDescent="0.25">
      <c r="B16" s="164">
        <v>23</v>
      </c>
      <c r="C16" s="7">
        <f>VLOOKUP(B16,Aux!M:AH,4,0)</f>
        <v>45829.000000000007</v>
      </c>
      <c r="D16" s="8">
        <f>VLOOKUP(B16,Aux!M:AH,4,0)</f>
        <v>45829.000000000007</v>
      </c>
      <c r="E16" s="102"/>
      <c r="F16" s="102" t="e" vm="1">
        <f>IFERROR(VLOOKUP(G16,Aux!$A:$X,8,0),"")</f>
        <v>#VALUE!</v>
      </c>
      <c r="G16" s="157" t="str">
        <f>VLOOKUP(B16,Aux!M:Y,5,0)</f>
        <v>Los Angeles</v>
      </c>
      <c r="H16" s="154" t="e" vm="2">
        <f>IFERROR(VLOOKUP(G16,Aux!$A:$C,3,0),"")</f>
        <v>#VALUE!</v>
      </c>
      <c r="I16" s="154"/>
      <c r="J16" s="203">
        <v>2</v>
      </c>
      <c r="K16" s="145" t="s">
        <v>40</v>
      </c>
      <c r="L16" s="203">
        <v>1</v>
      </c>
      <c r="M16" s="16"/>
      <c r="N16" s="154" t="e" vm="28">
        <f>IFERROR(VLOOKUP(O16,Aux!$A:$C,3,0),"")</f>
        <v>#VALUE!</v>
      </c>
      <c r="O16" s="155" t="str">
        <f>VLOOKUP(B16,Aux!M:Y,6,0)</f>
        <v>Espérance de Tunis</v>
      </c>
      <c r="P16" s="102" t="e" vm="29">
        <f>IFERROR(VLOOKUP(O16,Aux!$A:$X,8,0),"")</f>
        <v>#VALUE!</v>
      </c>
      <c r="Q16" s="16"/>
      <c r="R16" s="24" t="str">
        <f>VLOOKUP(B16,Aux!M:Y,7,0)</f>
        <v>Geodis Park</v>
      </c>
      <c r="S16"/>
      <c r="T16" s="240" t="str">
        <f>INDEX($AH$10:$AH$17,MATCH(4,$AY$10:$AY$16,0))</f>
        <v>Espérance de Tunis</v>
      </c>
      <c r="U16" s="91" t="e" vm="28">
        <f>IFERROR(VLOOKUP(T16,Aux!A:C,3,0),"")</f>
        <v>#VALUE!</v>
      </c>
      <c r="V16" s="92"/>
      <c r="W16" s="93">
        <f>VLOOKUP($T16,$AH$10:$AO$16,3,0)</f>
        <v>0</v>
      </c>
      <c r="X16" s="94">
        <f>VLOOKUP($T16,$AH$10:$AO$16,4,0)</f>
        <v>0</v>
      </c>
      <c r="Y16" s="94">
        <f>VLOOKUP($T16,$AH$10:$AO$16,5,0)</f>
        <v>0</v>
      </c>
      <c r="Z16" s="94">
        <f>VLOOKUP($T16,$AH$10:$AO$16,6,0)</f>
        <v>3</v>
      </c>
      <c r="AA16" s="95">
        <f>VLOOKUP($T16,$AH$10:$AO$16,7,0)</f>
        <v>1</v>
      </c>
      <c r="AB16" s="95">
        <f>VLOOKUP($T16,$AH$10:$AO$16,8,0)</f>
        <v>8</v>
      </c>
      <c r="AC16" s="95">
        <f>AA16-AB16</f>
        <v>-7</v>
      </c>
      <c r="AD16" s="33"/>
      <c r="AE16" s="39"/>
      <c r="AF16" s="46"/>
      <c r="AG16" s="45">
        <v>4</v>
      </c>
      <c r="AH16" s="177" t="str">
        <f>VLOOKUP($AH$6&amp;AG16,Aux!Z:AA,2,0)</f>
        <v>Los Angeles</v>
      </c>
      <c r="AI16" s="45">
        <f>AK16+AL16+AM16</f>
        <v>3</v>
      </c>
      <c r="AJ16" s="45">
        <f>AK16*3+AL16</f>
        <v>3</v>
      </c>
      <c r="AK16" s="45" cm="1">
        <f t="array" ref="AK16">SUM(($G$10:$G$23=$AH16)*($J$10:$J$23&gt;$L$10:$L$23)+($O$10:$O$23=$AH16)*($J$10:$J$23&lt;$L$10:$L$23))</f>
        <v>1</v>
      </c>
      <c r="AL16" s="45" cm="1">
        <f t="array" ref="AL16">SUM(($G$10:$G$23=$AH16)*($J$10:$J$23=$L$10:$L$23)*($J$10:$J$23&lt;&gt;"")+($O$10:$O$23=$AH16)*($J$10:$J$23=$L$10:$L$23)*($J$10:$J$23&lt;&gt;""))</f>
        <v>0</v>
      </c>
      <c r="AM16" s="45" cm="1">
        <f t="array" ref="AM16">SUM(($G$10:$G$23=$AH16)*($J$10:$J$23&lt;$L$10:$L$23)+($O$10:$O$23=$AH16)*($J$10:$J$23&gt;$L$10:$L$23))</f>
        <v>2</v>
      </c>
      <c r="AN16" s="29" cm="1">
        <f t="array" ref="AN16">SUM(($G$10:$G$23=$AH16)*($J$10:$J$23)+($O$10:$O$23=$AH16)*($L$10:$L$23))</f>
        <v>4</v>
      </c>
      <c r="AO16" s="29" cm="1">
        <f t="array" ref="AO16">SUM(($G$10:$G$23=$AH16)*($L$10:$L$23)+($O$10:$O$23=$AH16)*($J$10:$J$23))</f>
        <v>5</v>
      </c>
      <c r="AP16" s="141">
        <f>AN16-AO16</f>
        <v>-1</v>
      </c>
      <c r="AQ16" s="138">
        <v>0</v>
      </c>
      <c r="AR16" s="141">
        <f>+AW16+AV16+AU16</f>
        <v>3.0002990399999998</v>
      </c>
      <c r="AS16" s="29"/>
      <c r="AT16" s="29"/>
      <c r="AU16" s="141">
        <f>+AJ16</f>
        <v>3</v>
      </c>
      <c r="AV16" s="141">
        <f>SUMIFS($BA16:$BD16,$BA$6:$BD$6,AJ16)/1000</f>
        <v>0</v>
      </c>
      <c r="AW16" s="141">
        <f>SUMIFS($BA16:$BD16,$BA$5:$BD$5,AV16)/1000000</f>
        <v>2.9903999999999998E-4</v>
      </c>
      <c r="AX16" s="29">
        <f>_xlfn.RANK.EQ(AJ16,$AJ$10:$AJ$16)+_xlfn.RANK.EQ(AR16,$AR$10:$AR$16)/10+_xlfn.RANK.EQ(AP16,$AP$10:$AP$16)/1000+_xlfn.RANK.EQ(AN16,$AN$10:$AN$16)/100000+_xlfn.RANK.EQ(AQ16,$AQ$10:$AQ$16)/100000+ROW()/1000000</f>
        <v>3.3030560000000002</v>
      </c>
      <c r="AY16" s="29">
        <f>_xlfn.RANK.EQ(AX16,$AX$10:$AX$16,1)</f>
        <v>3</v>
      </c>
      <c r="AZ16" s="29"/>
      <c r="BA16" s="29" cm="1">
        <f t="array" ref="BA16">(SUM(($G$10:$G$23=$AH16)*($J$10:$J$23&gt;$L$10:$L$23)*($O$10:$O$23=BA$8)+($O$10:$O$23=$AH16)*($J$10:$J$23&lt;$L$10:$L$23)*($G$10:$G$23=BA$8)))*300+
(SUM(($G$10:$G$23=$AH16)*($J$10:$J$23=$L$10:$L$23)*($O$10:$O$23=BA$8)+($O$10:$O$23=$AH16)*($J$10:$J$23=$L$10:$L$23)*($G$10:$G$23=BA$8)))*100
+SUM(($G$10:$G$23=$AH16)*($J$10:$J$23)*($O$10:$O$23=BA$8)+($O$10:$O$23=$AH16)*($L$10:$L$23)*($G$10:$G$23=BA$8))
-SUM(($G$10:$G$23=$AH16)*($L$10:$L$23)*($O$10:$O$23=BA$8)+($O$10:$O$23=$AH16)*($J$10:$J$23)*($G$10:$G$23=BA$8))
+SUM(($G$10:$G$23=$AH16)*($J$10:$J$23)*($O$10:$O$23=BA$8)+($O$10:$O$23=$AH16)*($L$10:$L$23)*($G$10:$G$23=BA$8))/100</f>
        <v>-0.99</v>
      </c>
      <c r="BB16" s="29" cm="1">
        <f t="array" ref="BB16">(SUM(($G$10:$G$23=$AH16)*($J$10:$J$23&gt;$L$10:$L$23)*($O$10:$O$23=BB$8)+($O$10:$O$23=$AH16)*($J$10:$J$23&lt;$L$10:$L$23)*($G$10:$G$23=BB$8)))*300+
(SUM(($G$10:$G$23=$AH16)*($J$10:$J$23=$L$10:$L$23)*($O$10:$O$23=BB$8)+($O$10:$O$23=$AH16)*($J$10:$J$23=$L$10:$L$23)*($G$10:$G$23=BB$8)))*100
+SUM(($G$10:$G$23=$AH16)*($J$10:$J$23)*($O$10:$O$23=BB$8)+($O$10:$O$23=$AH16)*($L$10:$L$23)*($G$10:$G$23=BB$8))
-SUM(($G$10:$G$23=$AH16)*($L$10:$L$23)*($O$10:$O$23=BB$8)+($O$10:$O$23=$AH16)*($J$10:$J$23)*($G$10:$G$23=BB$8))
+SUM(($G$10:$G$23=$AH16)*($J$10:$J$23)*($O$10:$O$23=BB$8)+($O$10:$O$23=$AH16)*($L$10:$L$23)*($G$10:$G$23=BB$8))/100</f>
        <v>301.02</v>
      </c>
      <c r="BC16" s="29" cm="1">
        <f t="array" ref="BC16">(SUM(($G$10:$G$23=$AH16)*($J$10:$J$23&gt;$L$10:$L$23)*($O$10:$O$23=BC$8)+($O$10:$O$23=$AH16)*($J$10:$J$23&lt;$L$10:$L$23)*($G$10:$G$23=BC$8)))*300+
(SUM(($G$10:$G$23=$AH16)*($J$10:$J$23=$L$10:$L$23)*($O$10:$O$23=BC$8)+($O$10:$O$23=$AH16)*($J$10:$J$23=$L$10:$L$23)*($G$10:$G$23=BC$8)))*100
+SUM(($G$10:$G$23=$AH16)*($J$10:$J$23)*($O$10:$O$23=BC$8)+($O$10:$O$23=$AH16)*($L$10:$L$23)*($G$10:$G$23=BC$8))
-SUM(($G$10:$G$23=$AH16)*($L$10:$L$23)*($O$10:$O$23=BC$8)+($O$10:$O$23=$AH16)*($J$10:$J$23)*($G$10:$G$23=BC$8))
+SUM(($G$10:$G$23=$AH16)*($J$10:$J$23)*($O$10:$O$23=BC$8)+($O$10:$O$23=$AH16)*($L$10:$L$23)*($G$10:$G$23=BC$8))/100</f>
        <v>-0.99</v>
      </c>
      <c r="BD16" s="29" cm="1">
        <f t="array" ref="BD16">(SUM(($G$10:$G$23=$AH16)*($J$10:$J$23&gt;$L$10:$L$23)*($O$10:$O$23=BD$8)+($O$10:$O$23=$AH16)*($J$10:$J$23&lt;$L$10:$L$23)*($G$10:$G$23=BD$8)))*300+
(SUM(($G$10:$G$23=$AH16)*($J$10:$J$23=$L$10:$L$23)*($O$10:$O$23=BD$8)+($O$10:$O$23=$AH16)*($J$10:$J$23=$L$10:$L$23)*($G$10:$G$23=BD$8)))*100
+SUM(($G$10:$G$23=$AH16)*($J$10:$J$23)*($O$10:$O$23=BD$8)+($O$10:$O$23=$AH16)*($L$10:$L$23)*($G$10:$G$23=BD$8))
-SUM(($G$10:$G$23=$AH16)*($L$10:$L$23)*($O$10:$O$23=BD$8)+($O$10:$O$23=$AH16)*($J$10:$J$23)*($G$10:$G$23=BD$8))
+SUM(($G$10:$G$23=$AH16)*($J$10:$J$23)*($O$10:$O$23=BD$8)+($O$10:$O$23=$AH16)*($L$10:$L$23)*($G$10:$G$23=BD$8))/100</f>
        <v>0</v>
      </c>
    </row>
    <row r="17" spans="2:56" s="30" customFormat="1" ht="10.15" customHeight="1" x14ac:dyDescent="0.25">
      <c r="B17" s="164" t="str">
        <v/>
      </c>
      <c r="C17" s="10"/>
      <c r="D17" s="11"/>
      <c r="E17" s="103"/>
      <c r="F17" s="103"/>
      <c r="G17" s="158"/>
      <c r="H17" s="12"/>
      <c r="I17" s="12"/>
      <c r="J17" s="145"/>
      <c r="K17" s="145"/>
      <c r="L17" s="145"/>
      <c r="M17" s="16"/>
      <c r="N17" s="154"/>
      <c r="O17" s="156"/>
      <c r="P17" s="17"/>
      <c r="Q17" s="17"/>
      <c r="R17" s="25"/>
      <c r="S17"/>
      <c r="T17" s="90"/>
      <c r="U17" s="91"/>
      <c r="V17" s="92"/>
      <c r="W17" s="93"/>
      <c r="X17" s="94"/>
      <c r="Y17" s="94"/>
      <c r="Z17" s="94"/>
      <c r="AA17" s="95"/>
      <c r="AB17" s="95"/>
      <c r="AC17" s="95"/>
      <c r="AD17" s="33"/>
      <c r="AE17" s="39"/>
      <c r="AF17" s="46"/>
      <c r="AG17" s="45"/>
      <c r="AH17" s="177"/>
      <c r="AI17" s="45"/>
      <c r="AJ17" s="45"/>
      <c r="AK17" s="45"/>
      <c r="AL17" s="45"/>
      <c r="AM17" s="45"/>
      <c r="AN17" s="29"/>
      <c r="AO17" s="29"/>
      <c r="AP17" s="141"/>
      <c r="AQ17" s="29"/>
      <c r="AR17" s="29"/>
      <c r="AS17" s="29"/>
      <c r="AT17" s="29"/>
      <c r="AU17" s="29"/>
      <c r="AV17" s="141"/>
      <c r="AW17" s="29"/>
      <c r="AX17" s="29"/>
      <c r="AY17" s="29"/>
      <c r="AZ17" s="29"/>
      <c r="BA17" s="29"/>
      <c r="BB17" s="29"/>
      <c r="BC17" s="29"/>
      <c r="BD17" s="29"/>
    </row>
    <row r="18" spans="2:56" s="30" customFormat="1" ht="22.15" customHeight="1" thickBot="1" x14ac:dyDescent="0.3">
      <c r="B18" s="164">
        <v>39</v>
      </c>
      <c r="C18" s="7">
        <f>VLOOKUP(B18,Aux!M:AH,4,0)</f>
        <v>45833.125</v>
      </c>
      <c r="D18" s="8">
        <f>VLOOKUP(B18,Aux!M:AH,4,0)</f>
        <v>45833.125</v>
      </c>
      <c r="E18" s="102"/>
      <c r="F18" s="102" t="e" vm="1">
        <f>IFERROR(VLOOKUP(G18,Aux!$A:$X,8,0),"")</f>
        <v>#VALUE!</v>
      </c>
      <c r="G18" s="157" t="str">
        <f>VLOOKUP(B18,Aux!M:Y,5,0)</f>
        <v>Los Angeles</v>
      </c>
      <c r="H18" s="154" t="e" vm="2">
        <f>IFERROR(VLOOKUP(G18,Aux!$A:$C,3,0),"")</f>
        <v>#VALUE!</v>
      </c>
      <c r="I18" s="154"/>
      <c r="J18" s="203">
        <v>1</v>
      </c>
      <c r="K18" s="145" t="s">
        <v>40</v>
      </c>
      <c r="L18" s="203">
        <v>2</v>
      </c>
      <c r="M18" s="16"/>
      <c r="N18" s="154" t="e" vm="27">
        <f>IFERROR(VLOOKUP(O18,Aux!$A:$C,3,0),"")</f>
        <v>#VALUE!</v>
      </c>
      <c r="O18" s="155" t="str">
        <f>VLOOKUP(B18,Aux!M:Y,6,0)</f>
        <v>Flamengo</v>
      </c>
      <c r="P18" s="102" t="e" vm="9">
        <f>IFERROR(VLOOKUP(O18,Aux!$A:$X,8,0),"")</f>
        <v>#VALUE!</v>
      </c>
      <c r="Q18" s="16"/>
      <c r="R18" s="24" t="str">
        <f>VLOOKUP(B18,Aux!M:Y,7,0)</f>
        <v>Camping World Stadium</v>
      </c>
      <c r="S18"/>
      <c r="T18" s="310"/>
      <c r="U18" s="310"/>
      <c r="V18" s="310"/>
      <c r="W18" s="310"/>
      <c r="X18" s="310"/>
      <c r="Y18" s="310"/>
      <c r="Z18" s="310"/>
      <c r="AA18" s="310"/>
      <c r="AB18" s="310"/>
      <c r="AC18" s="310"/>
      <c r="AD18" s="33"/>
      <c r="AE18" s="33"/>
      <c r="AF18" s="45"/>
      <c r="AG18" s="45"/>
      <c r="AH18" s="45"/>
      <c r="AI18" s="45"/>
      <c r="AJ18" s="45"/>
      <c r="AK18" s="45"/>
      <c r="AL18" s="45"/>
      <c r="AM18" s="45"/>
      <c r="AN18" s="29"/>
      <c r="AO18" s="29"/>
      <c r="AP18" s="29"/>
      <c r="AQ18" s="29"/>
      <c r="AR18" s="29"/>
      <c r="AS18" s="29"/>
      <c r="AT18" s="29"/>
      <c r="AU18" s="29"/>
      <c r="AV18" s="29"/>
      <c r="AW18" s="29"/>
      <c r="AX18" s="29"/>
      <c r="AY18" s="29"/>
      <c r="AZ18" s="29"/>
      <c r="BA18" s="29"/>
      <c r="BB18" s="29"/>
      <c r="BC18" s="29"/>
      <c r="BD18" s="29"/>
    </row>
    <row r="19" spans="2:56" s="30" customFormat="1" ht="10.15" customHeight="1" thickTop="1" x14ac:dyDescent="0.25">
      <c r="B19" s="164" t="str">
        <v/>
      </c>
      <c r="C19" s="10"/>
      <c r="D19" s="11"/>
      <c r="E19" s="103"/>
      <c r="F19" s="103"/>
      <c r="G19" s="158"/>
      <c r="H19" s="12"/>
      <c r="I19" s="12"/>
      <c r="J19" s="145"/>
      <c r="K19" s="145"/>
      <c r="L19" s="145"/>
      <c r="M19" s="16"/>
      <c r="N19" s="154"/>
      <c r="O19" s="155"/>
      <c r="P19" s="17"/>
      <c r="Q19" s="17"/>
      <c r="R19" s="25"/>
      <c r="S19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33"/>
      <c r="AE19" s="33"/>
      <c r="AF19" s="45"/>
      <c r="AG19" s="45"/>
      <c r="AH19" s="45"/>
      <c r="AI19" s="45"/>
      <c r="AJ19" s="45"/>
      <c r="AK19" s="45"/>
      <c r="AL19" s="45"/>
      <c r="AM19" s="45"/>
      <c r="AN19" s="29"/>
      <c r="AO19" s="29"/>
      <c r="AP19" s="29"/>
      <c r="AQ19" s="29"/>
      <c r="AR19" s="29"/>
      <c r="AS19" s="29"/>
      <c r="AT19" s="29"/>
      <c r="AU19" s="29"/>
      <c r="AV19" s="29"/>
      <c r="AW19" s="29"/>
      <c r="AX19" s="29"/>
      <c r="AY19" s="29"/>
      <c r="AZ19" s="29"/>
      <c r="BA19" s="45"/>
      <c r="BB19" s="127"/>
      <c r="BC19" s="127"/>
      <c r="BD19" s="127"/>
    </row>
    <row r="20" spans="2:56" s="30" customFormat="1" ht="22.15" customHeight="1" x14ac:dyDescent="0.25">
      <c r="B20" s="164">
        <v>40</v>
      </c>
      <c r="C20" s="7">
        <f>VLOOKUP(B20,Aux!M:AH,4,0)</f>
        <v>45833.125</v>
      </c>
      <c r="D20" s="8">
        <f>VLOOKUP(B20,Aux!M:AH,4,0)</f>
        <v>45833.125</v>
      </c>
      <c r="E20" s="102"/>
      <c r="F20" s="102" t="e" vm="29">
        <f>IFERROR(VLOOKUP(G20,Aux!$A:$X,8,0),"")</f>
        <v>#VALUE!</v>
      </c>
      <c r="G20" s="157" t="str">
        <f>VLOOKUP(B20,Aux!M:Y,5,0)</f>
        <v>Espérance de Tunis</v>
      </c>
      <c r="H20" s="154" t="e" vm="28">
        <f>IFERROR(VLOOKUP(G20,Aux!$A:$C,3,0),"")</f>
        <v>#VALUE!</v>
      </c>
      <c r="I20" s="154"/>
      <c r="J20" s="203">
        <v>0</v>
      </c>
      <c r="K20" s="145" t="s">
        <v>40</v>
      </c>
      <c r="L20" s="203">
        <v>3</v>
      </c>
      <c r="M20" s="16"/>
      <c r="N20" s="154" t="e" vm="26">
        <f>IFERROR(VLOOKUP(O20,Aux!$A:$C,3,0),"")</f>
        <v>#VALUE!</v>
      </c>
      <c r="O20" s="155" t="str">
        <f>VLOOKUP(B20,Aux!M:Y,6,0)</f>
        <v>Chelsea</v>
      </c>
      <c r="P20" s="102" t="e" vm="25">
        <f>IFERROR(VLOOKUP(O20,Aux!$A:$X,8,0),"")</f>
        <v>#VALUE!</v>
      </c>
      <c r="Q20" s="16"/>
      <c r="R20" s="24" t="str">
        <f>VLOOKUP(B20,Aux!M:Y,7,0)</f>
        <v>Lincoln Financial Field</v>
      </c>
      <c r="S20"/>
      <c r="T20" s="28"/>
      <c r="U20" s="28"/>
      <c r="V20" s="28"/>
      <c r="W20"/>
      <c r="X20" s="28"/>
      <c r="Y20" s="28"/>
      <c r="Z20" s="28"/>
      <c r="AA20" s="28"/>
      <c r="AB20" s="28"/>
      <c r="AC20" s="28"/>
      <c r="AD20" s="33"/>
      <c r="AE20" s="33"/>
      <c r="AF20" s="45"/>
      <c r="AG20" s="45"/>
      <c r="AH20" s="45"/>
      <c r="AI20" s="45"/>
      <c r="AJ20" s="45"/>
      <c r="AK20" s="45"/>
      <c r="AL20" s="45"/>
      <c r="AM20" s="45"/>
      <c r="AN20" s="29"/>
      <c r="AO20" s="29"/>
      <c r="AP20" s="29"/>
      <c r="AQ20" s="29"/>
      <c r="AR20" s="29"/>
      <c r="AS20" s="29"/>
      <c r="AT20" s="29"/>
      <c r="AU20" s="29"/>
      <c r="AV20" s="29"/>
      <c r="AW20" s="29"/>
      <c r="AX20" s="29"/>
      <c r="AY20" s="29"/>
      <c r="AZ20" s="29"/>
      <c r="BA20" s="138"/>
      <c r="BB20" s="138"/>
      <c r="BC20" s="138"/>
      <c r="BD20" s="138"/>
    </row>
    <row r="21" spans="2:56" s="30" customFormat="1" ht="10.15" customHeight="1" x14ac:dyDescent="0.25">
      <c r="B21" s="165" t="str">
        <v/>
      </c>
      <c r="C21" s="13"/>
      <c r="D21" s="14"/>
      <c r="E21" s="18"/>
      <c r="F21" s="18"/>
      <c r="G21" s="15"/>
      <c r="H21" s="15"/>
      <c r="I21" s="15"/>
      <c r="J21" s="18"/>
      <c r="K21" s="18"/>
      <c r="L21" s="18"/>
      <c r="M21" s="18"/>
      <c r="N21" s="18"/>
      <c r="O21" s="19"/>
      <c r="P21" s="19"/>
      <c r="Q21" s="19"/>
      <c r="R21" s="26"/>
      <c r="S21"/>
      <c r="T21" s="28"/>
      <c r="U21" s="28"/>
      <c r="V21" s="28"/>
      <c r="W21" s="301" t="s">
        <v>134</v>
      </c>
      <c r="X21" s="301"/>
      <c r="Y21" s="301"/>
      <c r="Z21" s="28"/>
      <c r="AA21" s="28"/>
      <c r="AB21" s="28"/>
      <c r="AC21" s="28"/>
      <c r="AD21" s="33"/>
      <c r="AE21" s="33"/>
      <c r="AF21" s="45"/>
      <c r="AG21" s="45"/>
      <c r="AH21" s="45"/>
      <c r="AI21" s="45"/>
      <c r="AJ21" s="45"/>
      <c r="AK21" s="45"/>
      <c r="AL21" s="45"/>
      <c r="AM21" s="45"/>
      <c r="AN21" s="29"/>
      <c r="AO21" s="29"/>
      <c r="AP21" s="29"/>
      <c r="AQ21" s="29"/>
      <c r="AR21" s="29"/>
      <c r="AS21" s="29"/>
      <c r="AT21" s="29"/>
      <c r="AU21" s="29"/>
      <c r="AV21" s="29"/>
      <c r="AW21" s="29"/>
      <c r="AX21" s="29"/>
      <c r="AY21" s="29"/>
      <c r="AZ21" s="29"/>
      <c r="BA21" s="138"/>
      <c r="BB21" s="138"/>
      <c r="BC21" s="138"/>
      <c r="BD21" s="138"/>
    </row>
    <row r="22" spans="2:56" ht="15" customHeight="1" x14ac:dyDescent="0.25">
      <c r="W22" s="301"/>
      <c r="X22" s="301"/>
      <c r="Y22" s="301"/>
      <c r="AD22" s="33"/>
      <c r="AE22" s="45"/>
      <c r="AF22" s="45"/>
      <c r="AG22" s="45"/>
      <c r="AH22" s="45"/>
      <c r="AI22" s="45"/>
      <c r="AJ22" s="45"/>
      <c r="AK22" s="45"/>
      <c r="AL22" s="45"/>
      <c r="AM22" s="45"/>
      <c r="AN22" s="29"/>
      <c r="AO22" s="29"/>
      <c r="AP22" s="29"/>
      <c r="AQ22" s="29"/>
      <c r="AR22" s="29"/>
      <c r="AS22" s="29"/>
      <c r="AT22" s="29"/>
      <c r="AU22" s="29"/>
      <c r="AV22" s="29"/>
      <c r="AW22" s="29"/>
      <c r="AX22" s="29"/>
      <c r="AY22" s="127"/>
      <c r="AZ22" s="29"/>
      <c r="BA22" s="138"/>
      <c r="BB22" s="138"/>
      <c r="BC22" s="138"/>
      <c r="BD22" s="138"/>
    </row>
    <row r="23" spans="2:56" ht="15" customHeight="1" x14ac:dyDescent="0.25">
      <c r="N23"/>
      <c r="O23"/>
      <c r="P23"/>
      <c r="Q23"/>
      <c r="R23"/>
      <c r="W23" s="302" t="s">
        <v>135</v>
      </c>
      <c r="X23" s="302"/>
      <c r="Y23" s="302"/>
      <c r="AD23" s="33"/>
      <c r="AE23" s="45"/>
      <c r="AF23" s="45"/>
      <c r="AG23" s="45"/>
      <c r="AH23" s="45"/>
      <c r="AI23" s="47"/>
      <c r="AJ23" s="47"/>
      <c r="AK23" s="47"/>
      <c r="AL23" s="47"/>
      <c r="AM23" s="47"/>
      <c r="BA23" s="262"/>
      <c r="BB23" s="263"/>
      <c r="BC23" s="263"/>
      <c r="BD23" s="263"/>
    </row>
    <row r="24" spans="2:56" ht="15" customHeight="1" x14ac:dyDescent="0.25">
      <c r="N24"/>
      <c r="O24"/>
      <c r="P24"/>
      <c r="Q24"/>
      <c r="R24"/>
      <c r="W24" s="302"/>
      <c r="X24" s="302"/>
      <c r="Y24" s="302"/>
      <c r="AD24" s="33"/>
      <c r="AE24" s="45"/>
      <c r="AF24" s="45"/>
      <c r="AG24" s="45"/>
      <c r="AH24" s="45"/>
      <c r="AI24" s="47"/>
      <c r="AJ24" s="47"/>
      <c r="AK24" s="47"/>
      <c r="AL24" s="47"/>
      <c r="AM24" s="47"/>
      <c r="BB24" s="31"/>
      <c r="BC24" s="31"/>
      <c r="BD24" s="31"/>
    </row>
    <row r="25" spans="2:56" ht="15" customHeight="1" x14ac:dyDescent="0.25">
      <c r="N25"/>
      <c r="O25"/>
      <c r="P25"/>
      <c r="Q25"/>
      <c r="R25"/>
      <c r="W25"/>
      <c r="AD25" s="33"/>
      <c r="AE25" s="45"/>
      <c r="AF25" s="45"/>
      <c r="AG25" s="45"/>
      <c r="AH25" s="45"/>
      <c r="AI25" s="47"/>
      <c r="AJ25" s="47"/>
      <c r="AK25" s="47"/>
      <c r="AL25" s="47"/>
      <c r="AM25" s="47"/>
      <c r="BB25" s="31"/>
      <c r="BC25" s="31"/>
      <c r="BD25" s="31"/>
    </row>
    <row r="26" spans="2:56" ht="15" customHeight="1" x14ac:dyDescent="0.25">
      <c r="N26"/>
      <c r="O26"/>
      <c r="P26"/>
      <c r="Q26"/>
      <c r="R26"/>
      <c r="AG26" s="29"/>
      <c r="AH26" s="29"/>
      <c r="BB26" s="31"/>
      <c r="BC26" s="31"/>
      <c r="BD26" s="31"/>
    </row>
    <row r="27" spans="2:56" ht="15" customHeight="1" x14ac:dyDescent="0.25">
      <c r="N27"/>
      <c r="O27"/>
      <c r="P27"/>
      <c r="Q27"/>
      <c r="R27"/>
      <c r="AG27" s="29"/>
      <c r="AH27" s="29"/>
      <c r="BB27" s="31"/>
      <c r="BC27" s="31"/>
      <c r="BD27" s="31"/>
    </row>
    <row r="28" spans="2:56" ht="15" customHeight="1" x14ac:dyDescent="0.25">
      <c r="N28"/>
      <c r="O28"/>
      <c r="P28"/>
      <c r="Q28"/>
      <c r="R28"/>
      <c r="AG28" s="29"/>
      <c r="AH28" s="29"/>
      <c r="BB28" s="31"/>
      <c r="BC28" s="31"/>
      <c r="BD28" s="31"/>
    </row>
    <row r="29" spans="2:56" ht="15" customHeight="1" x14ac:dyDescent="0.25">
      <c r="N29"/>
      <c r="O29"/>
      <c r="P29"/>
      <c r="Q29"/>
      <c r="R29"/>
      <c r="AG29" s="29"/>
      <c r="AH29" s="29"/>
      <c r="AI29" s="29"/>
      <c r="AJ29" s="29"/>
      <c r="AK29" s="29"/>
      <c r="AL29" s="29"/>
      <c r="AM29" s="29"/>
      <c r="AN29" s="29"/>
      <c r="AO29" s="29"/>
      <c r="AP29" s="29"/>
      <c r="AQ29" s="29"/>
      <c r="AR29" s="29"/>
      <c r="AS29" s="29"/>
      <c r="AT29" s="29"/>
      <c r="AU29" s="29"/>
      <c r="AV29" s="29"/>
      <c r="AW29" s="29"/>
      <c r="AX29" s="29"/>
      <c r="AZ29" s="29"/>
      <c r="BB29" s="31"/>
      <c r="BC29" s="31"/>
      <c r="BD29" s="31"/>
    </row>
    <row r="30" spans="2:56" ht="15" customHeight="1" x14ac:dyDescent="0.25">
      <c r="BB30" s="31"/>
      <c r="BC30" s="31"/>
      <c r="BD30" s="31"/>
    </row>
  </sheetData>
  <mergeCells count="6">
    <mergeCell ref="W23:Y24"/>
    <mergeCell ref="W2:Y2"/>
    <mergeCell ref="E7:Q7"/>
    <mergeCell ref="T7:AC7"/>
    <mergeCell ref="T18:AC18"/>
    <mergeCell ref="W21:Y22"/>
  </mergeCells>
  <conditionalFormatting sqref="J10 J12 J14 J16 J18 J20">
    <cfRule type="expression" dxfId="247" priority="5">
      <formula>#REF!="P"</formula>
    </cfRule>
    <cfRule type="expression" dxfId="246" priority="6">
      <formula>#REF!="E"</formula>
    </cfRule>
    <cfRule type="expression" dxfId="245" priority="7">
      <formula>#REF!="G"</formula>
    </cfRule>
  </conditionalFormatting>
  <conditionalFormatting sqref="L10 L12 L14 L16 L18 L20">
    <cfRule type="expression" dxfId="244" priority="8">
      <formula>#REF!="P"</formula>
    </cfRule>
    <cfRule type="expression" dxfId="243" priority="9">
      <formula>#REF!="E"</formula>
    </cfRule>
    <cfRule type="expression" dxfId="242" priority="10">
      <formula>#REF!="G"</formula>
    </cfRule>
  </conditionalFormatting>
  <conditionalFormatting sqref="W21 W23">
    <cfRule type="expression" dxfId="241" priority="1">
      <formula>$L24&lt;&gt;""</formula>
    </cfRule>
    <cfRule type="expression" dxfId="240" priority="2">
      <formula>AND($L24&lt;&gt;"",$L25="")</formula>
    </cfRule>
  </conditionalFormatting>
  <dataValidations count="1">
    <dataValidation type="list" allowBlank="1" showInputMessage="1" showErrorMessage="1" sqref="AH6" xr:uid="{A6CC34B9-90D1-425A-B9C2-87FB4809A6FC}">
      <formula1>"A,B,C,D,E,F,G,H"</formula1>
    </dataValidation>
  </dataValidations>
  <hyperlinks>
    <hyperlink ref="W21" r:id="rId1" display="Aprendiz de Excel" xr:uid="{4A45B8A6-0219-4CB9-85F9-9C6597CD3EF0}"/>
    <hyperlink ref="W23" r:id="rId2" display="Aprendiz de Excel" xr:uid="{230FAF24-FF89-4F14-BAA7-1C393D5FB28E}"/>
    <hyperlink ref="W23:W24" r:id="rId3" display="Vídeo YouTube" xr:uid="{07BD616D-0332-4F21-A6C6-44ABA2A04E57}"/>
    <hyperlink ref="W23:Y24" r:id="rId4" display="Vídeo YouTube" xr:uid="{ED57D49A-43B8-441E-88C8-17DF9655C6F1}"/>
  </hyperlinks>
  <pageMargins left="0.7" right="0.7" top="0.75" bottom="0.75" header="0.3" footer="0.3"/>
  <pageSetup paperSize="9" orientation="portrait" r:id="rId5"/>
  <drawing r:id="rId6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63AFA-E479-42FC-AB40-06C12DFE47DF}">
  <dimension ref="A1:BD30"/>
  <sheetViews>
    <sheetView showGridLines="0" zoomScale="90" zoomScaleNormal="90" workbookViewId="0">
      <selection activeCell="S23" sqref="S23"/>
    </sheetView>
  </sheetViews>
  <sheetFormatPr baseColWidth="10" defaultColWidth="14.42578125" defaultRowHeight="15" customHeight="1" x14ac:dyDescent="0.25"/>
  <cols>
    <col min="1" max="1" width="3.5703125" style="28" customWidth="1"/>
    <col min="2" max="2" width="3.7109375" style="28" customWidth="1"/>
    <col min="3" max="3" width="7.7109375" style="28" customWidth="1"/>
    <col min="4" max="4" width="6.7109375" style="28" customWidth="1"/>
    <col min="5" max="5" width="2.7109375" style="28" customWidth="1"/>
    <col min="6" max="6" width="3.7109375" style="28" customWidth="1"/>
    <col min="7" max="7" width="19.7109375" style="28" customWidth="1"/>
    <col min="8" max="8" width="5.7109375" style="28" customWidth="1"/>
    <col min="9" max="9" width="2.7109375" style="28" customWidth="1"/>
    <col min="10" max="10" width="6.7109375" style="28" customWidth="1"/>
    <col min="11" max="11" width="2.7109375" style="28" customWidth="1"/>
    <col min="12" max="12" width="6.7109375" style="28" customWidth="1"/>
    <col min="13" max="13" width="2.7109375" style="28" customWidth="1"/>
    <col min="14" max="14" width="5.7109375" style="28" customWidth="1"/>
    <col min="15" max="15" width="19.7109375" style="28" customWidth="1"/>
    <col min="16" max="16" width="3.7109375" style="28" customWidth="1"/>
    <col min="17" max="17" width="2.5703125" style="28" customWidth="1"/>
    <col min="18" max="18" width="15.5703125" style="28" customWidth="1"/>
    <col min="19" max="19" width="2.7109375" style="28" customWidth="1"/>
    <col min="20" max="20" width="19.7109375" style="28" customWidth="1"/>
    <col min="21" max="21" width="5.7109375" style="28" customWidth="1"/>
    <col min="22" max="22" width="1.7109375" style="28" customWidth="1"/>
    <col min="23" max="29" width="4" style="28" customWidth="1"/>
    <col min="30" max="30" width="6" style="30" customWidth="1"/>
    <col min="31" max="32" width="5" style="29" customWidth="1"/>
    <col min="33" max="33" width="5" style="31" customWidth="1"/>
    <col min="34" max="34" width="14.85546875" style="31" customWidth="1"/>
    <col min="35" max="41" width="5" style="31" customWidth="1"/>
    <col min="42" max="42" width="8.5703125" style="31" customWidth="1"/>
    <col min="43" max="47" width="5" style="31" customWidth="1"/>
    <col min="48" max="49" width="8.5703125" style="31" customWidth="1"/>
    <col min="50" max="50" width="5" style="31" customWidth="1"/>
    <col min="52" max="52" width="7.7109375" style="31" customWidth="1"/>
    <col min="53" max="53" width="14.42578125" style="31"/>
    <col min="54" max="54" width="15" style="28" customWidth="1"/>
    <col min="55" max="16384" width="14.42578125" style="28"/>
  </cols>
  <sheetData>
    <row r="1" spans="1:56" s="153" customFormat="1" ht="27.75" customHeight="1" x14ac:dyDescent="0.25">
      <c r="A1" s="210" t="s">
        <v>314</v>
      </c>
      <c r="B1" s="211"/>
      <c r="C1" s="211"/>
      <c r="D1" s="211"/>
      <c r="E1" s="211"/>
      <c r="F1" s="211"/>
      <c r="G1" s="211"/>
      <c r="H1" s="211"/>
      <c r="I1" s="211"/>
      <c r="J1" s="211"/>
      <c r="K1" s="211"/>
      <c r="L1" s="211"/>
      <c r="M1" s="211"/>
      <c r="N1" s="211"/>
      <c r="O1" s="211"/>
      <c r="P1" s="211"/>
      <c r="Q1" s="211"/>
      <c r="R1" s="211"/>
      <c r="S1" s="211"/>
    </row>
    <row r="2" spans="1:56" s="33" customFormat="1" ht="18.75" x14ac:dyDescent="0.25">
      <c r="B2" s="127"/>
      <c r="C2"/>
      <c r="D2"/>
      <c r="E2"/>
      <c r="F2"/>
      <c r="G2"/>
      <c r="H2"/>
      <c r="I2"/>
      <c r="J2" s="159"/>
      <c r="K2" s="159"/>
      <c r="L2" s="159"/>
      <c r="M2" s="159"/>
      <c r="N2" s="159"/>
      <c r="O2" s="159"/>
      <c r="P2" s="159"/>
      <c r="Q2" s="159"/>
      <c r="R2" s="159"/>
      <c r="S2" s="159"/>
      <c r="T2" s="159"/>
      <c r="U2" s="159"/>
      <c r="V2" s="159"/>
      <c r="W2" s="303"/>
      <c r="X2" s="303"/>
      <c r="Y2" s="303"/>
      <c r="Z2" s="160"/>
      <c r="AA2" s="159"/>
      <c r="AB2" s="159"/>
      <c r="AC2" s="159"/>
      <c r="AD2" s="44"/>
      <c r="AE2" s="45"/>
      <c r="AF2" s="45"/>
      <c r="AG2" s="45"/>
      <c r="AH2" s="45"/>
      <c r="AI2" s="45"/>
      <c r="AJ2" s="45"/>
      <c r="AK2" s="45"/>
      <c r="AL2" s="45"/>
      <c r="AM2" s="45"/>
      <c r="AN2" s="45"/>
      <c r="AO2" s="45"/>
      <c r="AP2" s="45"/>
      <c r="AQ2" s="45"/>
      <c r="AR2" s="45"/>
      <c r="AS2" s="45"/>
      <c r="AT2" s="45"/>
      <c r="AU2" s="45"/>
      <c r="AV2" s="45"/>
      <c r="AW2" s="45"/>
      <c r="AX2" s="45"/>
      <c r="AY2" s="45"/>
      <c r="AZ2" s="45"/>
      <c r="BA2" s="45"/>
      <c r="BB2" s="127"/>
      <c r="BC2" s="127"/>
      <c r="BD2" s="127"/>
    </row>
    <row r="3" spans="1:56" s="33" customFormat="1" ht="35.25" customHeight="1" x14ac:dyDescent="0.25">
      <c r="B3" s="127"/>
      <c r="C3"/>
      <c r="D3"/>
      <c r="E3"/>
      <c r="F3"/>
      <c r="G3" s="161"/>
      <c r="H3" s="161"/>
      <c r="I3" s="161"/>
      <c r="J3"/>
      <c r="K3" s="162"/>
      <c r="L3" s="162"/>
      <c r="M3" s="162"/>
      <c r="N3" s="162"/>
      <c r="O3" s="162"/>
      <c r="P3" s="162"/>
      <c r="Q3" s="162"/>
      <c r="R3" s="162"/>
      <c r="S3" s="162"/>
      <c r="T3" s="159"/>
      <c r="U3" s="159"/>
      <c r="V3" s="159"/>
      <c r="W3" s="159"/>
      <c r="X3" s="159"/>
      <c r="Y3" s="159"/>
      <c r="Z3" s="159"/>
      <c r="AA3" s="159"/>
      <c r="AB3" s="159"/>
      <c r="AC3" s="159"/>
      <c r="AD3" s="44"/>
      <c r="AE3" s="46"/>
      <c r="AF3" s="46"/>
      <c r="AG3" s="46"/>
      <c r="AH3" s="45"/>
      <c r="AI3" s="45"/>
      <c r="AJ3" s="45"/>
      <c r="AK3" s="45"/>
      <c r="AL3" s="45"/>
      <c r="AM3" s="45"/>
      <c r="AN3" s="45"/>
      <c r="AO3" s="45"/>
      <c r="AP3" s="45"/>
      <c r="AQ3" s="45"/>
      <c r="AR3" s="45"/>
      <c r="AS3" s="45"/>
      <c r="AT3" s="45"/>
      <c r="AU3" s="45"/>
      <c r="AV3" s="45"/>
      <c r="AW3" s="45"/>
      <c r="AX3" s="45"/>
      <c r="AY3" s="45"/>
      <c r="AZ3" s="45"/>
      <c r="BA3" s="45"/>
      <c r="BB3" s="127"/>
      <c r="BC3" s="127"/>
      <c r="BD3" s="127"/>
    </row>
    <row r="4" spans="1:56" s="33" customFormat="1" x14ac:dyDescent="0.25">
      <c r="B4" s="127"/>
      <c r="C4"/>
      <c r="D4"/>
      <c r="E4"/>
      <c r="F4"/>
      <c r="G4"/>
      <c r="H4"/>
      <c r="I4"/>
      <c r="J4" s="159"/>
      <c r="K4" s="159"/>
      <c r="L4" s="159"/>
      <c r="M4" s="159"/>
      <c r="N4" s="159"/>
      <c r="O4" s="159"/>
      <c r="P4" s="159"/>
      <c r="Q4" s="159"/>
      <c r="R4" s="159"/>
      <c r="S4" s="159"/>
      <c r="T4" s="159"/>
      <c r="U4" s="159"/>
      <c r="V4" s="159"/>
      <c r="W4" s="159"/>
      <c r="X4" s="159"/>
      <c r="Y4" s="159"/>
      <c r="Z4" s="159"/>
      <c r="AA4" s="159"/>
      <c r="AB4" s="159"/>
      <c r="AC4" s="159"/>
      <c r="AD4" s="44"/>
      <c r="AE4" s="47"/>
      <c r="AF4" s="45"/>
      <c r="AG4" s="45"/>
      <c r="AH4" s="45"/>
      <c r="AI4" s="45"/>
      <c r="AJ4" s="45"/>
      <c r="AK4" s="45"/>
      <c r="AL4" s="45"/>
      <c r="AM4" s="45"/>
      <c r="AN4" s="45"/>
      <c r="AO4" s="45"/>
      <c r="AP4" s="45"/>
      <c r="AQ4" s="45"/>
      <c r="AR4" s="45"/>
      <c r="AS4" s="45"/>
      <c r="AT4" s="45"/>
      <c r="AU4" s="45"/>
      <c r="AV4" s="45"/>
      <c r="AW4" s="45"/>
      <c r="AX4" s="45"/>
      <c r="AY4" s="45"/>
      <c r="AZ4" s="45"/>
      <c r="BA4" s="45"/>
      <c r="BB4" s="127"/>
      <c r="BC4" s="127"/>
      <c r="BD4" s="127"/>
    </row>
    <row r="5" spans="1:56" s="33" customFormat="1" ht="15" customHeight="1" x14ac:dyDescent="0.25">
      <c r="B5" s="127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E5" s="47"/>
      <c r="AF5" s="45"/>
      <c r="AG5" s="45"/>
      <c r="AH5" s="45"/>
      <c r="AI5" s="45"/>
      <c r="AJ5" s="45"/>
      <c r="AK5" s="45"/>
      <c r="AL5" s="45"/>
      <c r="AM5" s="45"/>
      <c r="AN5" s="45"/>
      <c r="AO5" s="45"/>
      <c r="AP5" s="45"/>
      <c r="AQ5" s="45"/>
      <c r="AR5" s="45"/>
      <c r="AS5" s="45"/>
      <c r="AT5" s="45"/>
      <c r="AU5" s="45"/>
      <c r="AV5" s="45"/>
      <c r="AW5" s="45"/>
      <c r="AX5" s="45"/>
      <c r="AY5" s="264" t="s">
        <v>336</v>
      </c>
      <c r="AZ5" s="45"/>
      <c r="BA5" s="138">
        <f>VLOOKUP(BA8,$AH$10:$AW$16,15,0)</f>
        <v>0</v>
      </c>
      <c r="BB5" s="138">
        <f t="shared" ref="BB5:BD5" si="0">VLOOKUP(BB8,$AH$10:$AW$16,15,0)</f>
        <v>0</v>
      </c>
      <c r="BC5" s="138">
        <f t="shared" si="0"/>
        <v>0</v>
      </c>
      <c r="BD5" s="138">
        <f t="shared" si="0"/>
        <v>0</v>
      </c>
    </row>
    <row r="6" spans="1:56" s="30" customFormat="1" ht="15" customHeight="1" x14ac:dyDescent="0.25">
      <c r="B6" s="27"/>
      <c r="C6" s="32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/>
      <c r="T6" s="28"/>
      <c r="U6" s="28"/>
      <c r="V6" s="28"/>
      <c r="W6" s="28"/>
      <c r="X6" s="28"/>
      <c r="Y6" s="28"/>
      <c r="Z6" s="28"/>
      <c r="AA6" s="28"/>
      <c r="AB6" s="28"/>
      <c r="AC6" s="28"/>
      <c r="AD6" s="33"/>
      <c r="AE6" s="47"/>
      <c r="AF6" s="45"/>
      <c r="AG6" s="45"/>
      <c r="AH6" s="166" t="s">
        <v>175</v>
      </c>
      <c r="AI6" s="45"/>
      <c r="AJ6" s="45"/>
      <c r="AK6" s="45"/>
      <c r="AL6" s="45"/>
      <c r="AM6" s="45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64" t="s">
        <v>335</v>
      </c>
      <c r="AZ6" s="29"/>
      <c r="BA6" s="138">
        <f>VLOOKUP(BA8,$AH$10:$AW$16,14,0)</f>
        <v>7</v>
      </c>
      <c r="BB6" s="138">
        <f t="shared" ref="BB6:BD6" si="1">VLOOKUP(BB8,$AH$10:$AW$16,14,0)</f>
        <v>0</v>
      </c>
      <c r="BC6" s="138">
        <f t="shared" si="1"/>
        <v>4</v>
      </c>
      <c r="BD6" s="138">
        <f t="shared" si="1"/>
        <v>5</v>
      </c>
    </row>
    <row r="7" spans="1:56" s="30" customFormat="1" ht="22.15" customHeight="1" thickBot="1" x14ac:dyDescent="0.3">
      <c r="B7" s="107" t="s">
        <v>33</v>
      </c>
      <c r="C7" s="108" t="s">
        <v>34</v>
      </c>
      <c r="D7" s="108" t="s">
        <v>35</v>
      </c>
      <c r="E7" s="304" t="s">
        <v>36</v>
      </c>
      <c r="F7" s="305"/>
      <c r="G7" s="305"/>
      <c r="H7" s="305"/>
      <c r="I7" s="305"/>
      <c r="J7" s="305"/>
      <c r="K7" s="305"/>
      <c r="L7" s="305"/>
      <c r="M7" s="305"/>
      <c r="N7" s="305"/>
      <c r="O7" s="305"/>
      <c r="P7" s="305"/>
      <c r="Q7" s="306"/>
      <c r="R7" s="109" t="s">
        <v>37</v>
      </c>
      <c r="S7" s="34"/>
      <c r="T7" s="307" t="s">
        <v>38</v>
      </c>
      <c r="U7" s="305"/>
      <c r="V7" s="305"/>
      <c r="W7" s="308"/>
      <c r="X7" s="308"/>
      <c r="Y7" s="308"/>
      <c r="Z7" s="308"/>
      <c r="AA7" s="308"/>
      <c r="AB7" s="308"/>
      <c r="AC7" s="309"/>
      <c r="AD7" s="33"/>
      <c r="AE7" s="39"/>
      <c r="AF7" s="46"/>
      <c r="AG7" s="46"/>
      <c r="AH7" s="45"/>
      <c r="AI7" s="45"/>
      <c r="AJ7" s="45"/>
      <c r="AK7" s="45"/>
      <c r="AL7" s="45"/>
      <c r="AM7" s="45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138"/>
      <c r="BB7" s="138"/>
      <c r="BC7" s="138"/>
      <c r="BD7" s="138"/>
    </row>
    <row r="8" spans="1:56" s="30" customFormat="1" ht="15" customHeight="1" thickTop="1" x14ac:dyDescent="0.25"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35"/>
      <c r="U8" s="35"/>
      <c r="V8" s="35"/>
      <c r="W8" s="36" t="s">
        <v>41</v>
      </c>
      <c r="X8" s="37" t="s">
        <v>42</v>
      </c>
      <c r="Y8" s="37" t="s">
        <v>43</v>
      </c>
      <c r="Z8" s="37" t="s">
        <v>44</v>
      </c>
      <c r="AA8" s="38" t="s">
        <v>45</v>
      </c>
      <c r="AB8" s="38" t="s">
        <v>46</v>
      </c>
      <c r="AC8" s="38" t="s">
        <v>47</v>
      </c>
      <c r="AD8" s="33"/>
      <c r="AE8" s="39"/>
      <c r="AF8" s="46"/>
      <c r="AG8" s="46"/>
      <c r="AH8" s="174" t="s">
        <v>8</v>
      </c>
      <c r="AI8" s="175" t="s">
        <v>39</v>
      </c>
      <c r="AJ8" s="176" t="s">
        <v>41</v>
      </c>
      <c r="AK8" s="175" t="s">
        <v>42</v>
      </c>
      <c r="AL8" s="175" t="s">
        <v>43</v>
      </c>
      <c r="AM8" s="175" t="s">
        <v>44</v>
      </c>
      <c r="AN8" s="265" t="s">
        <v>45</v>
      </c>
      <c r="AO8" s="265" t="s">
        <v>46</v>
      </c>
      <c r="AP8" s="265" t="s">
        <v>333</v>
      </c>
      <c r="AQ8" s="265" t="s">
        <v>334</v>
      </c>
      <c r="AR8" s="265" t="s">
        <v>332</v>
      </c>
      <c r="AS8" s="265"/>
      <c r="AT8" s="265"/>
      <c r="AU8" s="29" t="s">
        <v>337</v>
      </c>
      <c r="AV8" s="29" t="s">
        <v>338</v>
      </c>
      <c r="AW8" s="29" t="s">
        <v>339</v>
      </c>
      <c r="AX8" s="29"/>
      <c r="AY8" s="29"/>
      <c r="AZ8" s="29"/>
      <c r="BA8" s="138" t="str">
        <f>AH10</f>
        <v>River Plate</v>
      </c>
      <c r="BB8" s="140" t="str">
        <f>AH12</f>
        <v>Urawa Red Diamonds</v>
      </c>
      <c r="BC8" s="140" t="str">
        <f>AH14</f>
        <v>Monterrey</v>
      </c>
      <c r="BD8" s="140" t="str">
        <f>AH16</f>
        <v>Inter de Milán</v>
      </c>
    </row>
    <row r="9" spans="1:56" s="30" customFormat="1" ht="10.15" customHeight="1" x14ac:dyDescent="0.25">
      <c r="B9" s="163" t="str" cm="1">
        <f t="array" ref="B9:B21">_xlfn.REDUCE("",_xlfn.TAKE(_xlfn._xlws.FILTER(Aux!M:T,Aux!T:T=AH6),,1),_xlfn.LAMBDA(_xlpm.t,_xlpm.p,_xlfn.VSTACK(_xlpm.t,_xlpm.p,"")))</f>
        <v/>
      </c>
      <c r="C9" s="96"/>
      <c r="D9" s="97"/>
      <c r="E9" s="99"/>
      <c r="F9" s="99"/>
      <c r="G9" s="98"/>
      <c r="H9" s="98"/>
      <c r="I9" s="98"/>
      <c r="J9" s="99"/>
      <c r="K9" s="99"/>
      <c r="L9" s="99"/>
      <c r="M9" s="99"/>
      <c r="N9" s="99"/>
      <c r="O9" s="100"/>
      <c r="P9" s="100"/>
      <c r="Q9" s="100"/>
      <c r="R9" s="101"/>
      <c r="S9"/>
      <c r="T9" s="20"/>
      <c r="U9" s="88"/>
      <c r="V9" s="89"/>
      <c r="W9" s="21"/>
      <c r="X9" s="22"/>
      <c r="Y9" s="22"/>
      <c r="Z9" s="22"/>
      <c r="AA9" s="23"/>
      <c r="AB9" s="23"/>
      <c r="AC9" s="23"/>
      <c r="AD9" s="33"/>
      <c r="AE9" s="39"/>
      <c r="AF9" s="46"/>
      <c r="AG9" s="46"/>
      <c r="AH9" s="174"/>
      <c r="AI9" s="175"/>
      <c r="AJ9" s="176"/>
      <c r="AK9" s="175"/>
      <c r="AL9" s="175"/>
      <c r="AM9" s="175"/>
      <c r="AN9" s="139"/>
      <c r="AO9" s="139"/>
      <c r="AP9" s="29"/>
      <c r="AQ9" s="29"/>
      <c r="AR9" s="29"/>
      <c r="AS9" s="139"/>
      <c r="AT9" s="139"/>
      <c r="AU9" s="139"/>
      <c r="AV9" s="29"/>
      <c r="AW9" s="29"/>
      <c r="AX9" s="29"/>
      <c r="AY9" s="29"/>
      <c r="AZ9" s="29"/>
      <c r="BA9" s="138"/>
      <c r="BB9" s="140"/>
      <c r="BC9" s="140"/>
      <c r="BD9" s="140"/>
    </row>
    <row r="10" spans="1:56" s="30" customFormat="1" ht="22.15" customHeight="1" x14ac:dyDescent="0.25">
      <c r="B10" s="164">
        <v>10</v>
      </c>
      <c r="C10" s="7">
        <f>VLOOKUP(B10,Aux!M:AH,4,0)</f>
        <v>45825.875</v>
      </c>
      <c r="D10" s="8">
        <f>VLOOKUP(B10,Aux!M:AH,4,0)</f>
        <v>45825.875</v>
      </c>
      <c r="E10" s="102"/>
      <c r="F10" s="102" t="e" vm="22">
        <f>IFERROR(VLOOKUP(G10,Aux!$A:$X,8,0),"")</f>
        <v>#VALUE!</v>
      </c>
      <c r="G10" s="157" t="str">
        <f>VLOOKUP(B10,Aux!M:Y,5,0)</f>
        <v>River Plate</v>
      </c>
      <c r="H10" s="154" t="e" vm="30">
        <f>IFERROR(VLOOKUP(G10,Aux!$A:$C,3,0),"")</f>
        <v>#VALUE!</v>
      </c>
      <c r="I10" s="154"/>
      <c r="J10" s="203">
        <v>3</v>
      </c>
      <c r="K10" s="145" t="s">
        <v>40</v>
      </c>
      <c r="L10" s="203">
        <v>0</v>
      </c>
      <c r="M10" s="16"/>
      <c r="N10" s="154" t="e" vm="31">
        <f>IFERROR(VLOOKUP(O10,Aux!$A:$C,3,0),"")</f>
        <v>#VALUE!</v>
      </c>
      <c r="O10" s="155" t="str">
        <f>VLOOKUP(B10,Aux!M:Y,6,0)</f>
        <v>Urawa Red Diamonds</v>
      </c>
      <c r="P10" s="102" t="e" vm="32">
        <f>IFERROR(VLOOKUP(O10,Aux!$A:$X,8,0),"")</f>
        <v>#VALUE!</v>
      </c>
      <c r="Q10" s="16"/>
      <c r="R10" s="24" t="str">
        <f>VLOOKUP(B10,Aux!M:Y,7,0)</f>
        <v>Lumen Field</v>
      </c>
      <c r="S10"/>
      <c r="T10" s="240" t="str">
        <f>INDEX($AH$10:$AH$17,MATCH(1,$AY$10:$AY$16,0))</f>
        <v>River Plate</v>
      </c>
      <c r="U10" s="91" t="e" vm="30">
        <f>IFERROR(VLOOKUP(T10,Aux!A:C,3,0),"")</f>
        <v>#VALUE!</v>
      </c>
      <c r="V10" s="92"/>
      <c r="W10" s="93">
        <f>VLOOKUP($T10,$AH$10:$AO$16,3,0)</f>
        <v>7</v>
      </c>
      <c r="X10" s="94">
        <f>VLOOKUP($T10,$AH$10:$AO$16,4,0)</f>
        <v>2</v>
      </c>
      <c r="Y10" s="94">
        <f>VLOOKUP($T10,$AH$10:$AO$16,5,0)</f>
        <v>1</v>
      </c>
      <c r="Z10" s="94">
        <f>VLOOKUP($T10,$AH$10:$AO$16,6,0)</f>
        <v>0</v>
      </c>
      <c r="AA10" s="95">
        <f>VLOOKUP($T10,$AH$10:$AO$16,7,0)</f>
        <v>5</v>
      </c>
      <c r="AB10" s="95">
        <f>VLOOKUP($T10,$AH$10:$AO$16,8,0)</f>
        <v>1</v>
      </c>
      <c r="AC10" s="95">
        <f>AA10-AB10</f>
        <v>4</v>
      </c>
      <c r="AD10" s="33"/>
      <c r="AE10" s="47"/>
      <c r="AF10" s="45"/>
      <c r="AG10" s="45">
        <v>1</v>
      </c>
      <c r="AH10" s="177" t="str">
        <f>VLOOKUP($AH$6&amp;AG10,Aux!Z:AA,2,0)</f>
        <v>River Plate</v>
      </c>
      <c r="AI10" s="45">
        <f>AK10+AL10+AM10</f>
        <v>3</v>
      </c>
      <c r="AJ10" s="45">
        <f>AK10*3+AL10</f>
        <v>7</v>
      </c>
      <c r="AK10" s="45" cm="1">
        <f t="array" ref="AK10">SUM(($G$10:$G$23=$AH10)*($J$10:$J$23&gt;$L$10:$L$23)+($O$10:$O$23=$AH10)*($J$10:$J$23&lt;$L$10:$L$23))</f>
        <v>2</v>
      </c>
      <c r="AL10" s="45" cm="1">
        <f t="array" ref="AL10">SUM(($G$10:$G$23=$AH10)*($J$10:$J$23=$L$10:$L$23)*($J$10:$J$23&lt;&gt;"")+($O$10:$O$23=$AH10)*($J$10:$J$23=$L$10:$L$23)*($J$10:$J$23&lt;&gt;""))</f>
        <v>1</v>
      </c>
      <c r="AM10" s="45" cm="1">
        <f t="array" ref="AM10">SUM(($G$10:$G$23=$AH10)*($J$10:$J$23&lt;$L$10:$L$23)+($O$10:$O$23=$AH10)*($J$10:$J$23&gt;$L$10:$L$23))</f>
        <v>0</v>
      </c>
      <c r="AN10" s="29" cm="1">
        <f t="array" ref="AN10">SUM(($G$10:$G$23=$AH10)*($J$10:$J$23)+($O$10:$O$23=$AH10)*($L$10:$L$23))</f>
        <v>5</v>
      </c>
      <c r="AO10" s="29" cm="1">
        <f t="array" ref="AO10">SUM(($G$10:$G$23=$AH10)*($L$10:$L$23)+($O$10:$O$23=$AH10)*($J$10:$J$23))</f>
        <v>1</v>
      </c>
      <c r="AP10" s="141">
        <f>AN10-AO10</f>
        <v>4</v>
      </c>
      <c r="AQ10" s="138">
        <v>0</v>
      </c>
      <c r="AR10" s="141">
        <f>+AW10+AV10+AU10</f>
        <v>7.0007040500000004</v>
      </c>
      <c r="AS10" s="29"/>
      <c r="AT10" s="29"/>
      <c r="AU10" s="141">
        <f>+AJ10</f>
        <v>7</v>
      </c>
      <c r="AV10" s="141">
        <f>SUMIFS($BA10:$BD10,$BA$6:$BD$6,AJ10)/1000</f>
        <v>0</v>
      </c>
      <c r="AW10" s="141">
        <f>SUMIFS($BA10:$BD10,$BA$5:$BD$5,AV10)/1000000</f>
        <v>7.040499999999999E-4</v>
      </c>
      <c r="AX10" s="29">
        <f>_xlfn.RANK.EQ(AJ10,$AJ$10:$AJ$16)+_xlfn.RANK.EQ(AR10,$AR$10:$AR$16)/10+_xlfn.RANK.EQ(AP10,$AP$10:$AP$16)/1000+_xlfn.RANK.EQ(AN10,$AN$10:$AN$16)/100000+_xlfn.RANK.EQ(AQ10,$AQ$10:$AQ$16)/100000+ROW()/1000000</f>
        <v>1.1010300000000002</v>
      </c>
      <c r="AY10" s="29">
        <f>_xlfn.RANK.EQ(AX10,$AX$10:$AX$16,1)</f>
        <v>1</v>
      </c>
      <c r="AZ10" s="29"/>
      <c r="BA10" s="29" cm="1">
        <f t="array" ref="BA10">(SUM(($G$10:$G$23=$AH10)*($J$10:$J$23&gt;$L$10:$L$23)*($O$10:$O$23=BA$8)+($O$10:$O$23=$AH10)*($J$10:$J$23&lt;$L$10:$L$23)*($G$10:$G$23=BA$8)))*300+
(SUM(($G$10:$G$23=$AH10)*($J$10:$J$23=$L$10:$L$23)*($O$10:$O$23=BA$8)+($O$10:$O$23=$AH10)*($J$10:$J$23=$L$10:$L$23)*($G$10:$G$23=BA$8)))*100
+SUM(($G$10:$G$23=$AH10)*($J$10:$J$23)*($O$10:$O$23=BA$8)+($O$10:$O$23=$AH10)*($L$10:$L$23)*($G$10:$G$23=BA$8))
-SUM(($G$10:$G$23=$AH10)*($L$10:$L$23)*($O$10:$O$23=BA$8)+($O$10:$O$23=$AH10)*($J$10:$J$23)*($G$10:$G$23=BA$8))
+SUM(($G$10:$G$23=$AH10)*($J$10:$J$23)*($O$10:$O$23=BA$8)+($O$10:$O$23=$AH10)*($L$10:$L$23)*($G$10:$G$23=BA$8))/100</f>
        <v>0</v>
      </c>
      <c r="BB10" s="29" cm="1">
        <f t="array" ref="BB10">(SUM(($G$10:$G$23=$AH10)*($J$10:$J$23&gt;$L$10:$L$23)*($O$10:$O$23=BB$8)+($O$10:$O$23=$AH10)*($J$10:$J$23&lt;$L$10:$L$23)*($G$10:$G$23=BB$8)))*300+
(SUM(($G$10:$G$23=$AH10)*($J$10:$J$23=$L$10:$L$23)*($O$10:$O$23=BB$8)+($O$10:$O$23=$AH10)*($J$10:$J$23=$L$10:$L$23)*($G$10:$G$23=BB$8)))*100
+SUM(($G$10:$G$23=$AH10)*($J$10:$J$23)*($O$10:$O$23=BB$8)+($O$10:$O$23=$AH10)*($L$10:$L$23)*($G$10:$G$23=BB$8))
-SUM(($G$10:$G$23=$AH10)*($L$10:$L$23)*($O$10:$O$23=BB$8)+($O$10:$O$23=$AH10)*($J$10:$J$23)*($G$10:$G$23=BB$8))
+SUM(($G$10:$G$23=$AH10)*($J$10:$J$23)*($O$10:$O$23=BB$8)+($O$10:$O$23=$AH10)*($L$10:$L$23)*($G$10:$G$23=BB$8))/100</f>
        <v>303.02999999999997</v>
      </c>
      <c r="BC10" s="29" cm="1">
        <f t="array" ref="BC10">(SUM(($G$10:$G$23=$AH10)*($J$10:$J$23&gt;$L$10:$L$23)*($O$10:$O$23=BC$8)+($O$10:$O$23=$AH10)*($J$10:$J$23&lt;$L$10:$L$23)*($G$10:$G$23=BC$8)))*300+
(SUM(($G$10:$G$23=$AH10)*($J$10:$J$23=$L$10:$L$23)*($O$10:$O$23=BC$8)+($O$10:$O$23=$AH10)*($J$10:$J$23=$L$10:$L$23)*($G$10:$G$23=BC$8)))*100
+SUM(($G$10:$G$23=$AH10)*($J$10:$J$23)*($O$10:$O$23=BC$8)+($O$10:$O$23=$AH10)*($L$10:$L$23)*($G$10:$G$23=BC$8))
-SUM(($G$10:$G$23=$AH10)*($L$10:$L$23)*($O$10:$O$23=BC$8)+($O$10:$O$23=$AH10)*($J$10:$J$23)*($G$10:$G$23=BC$8))
+SUM(($G$10:$G$23=$AH10)*($J$10:$J$23)*($O$10:$O$23=BC$8)+($O$10:$O$23=$AH10)*($L$10:$L$23)*($G$10:$G$23=BC$8))/100</f>
        <v>301.01</v>
      </c>
      <c r="BD10" s="29" cm="1">
        <f t="array" ref="BD10">(SUM(($G$10:$G$23=$AH10)*($J$10:$J$23&gt;$L$10:$L$23)*($O$10:$O$23=BD$8)+($O$10:$O$23=$AH10)*($J$10:$J$23&lt;$L$10:$L$23)*($G$10:$G$23=BD$8)))*300+
(SUM(($G$10:$G$23=$AH10)*($J$10:$J$23=$L$10:$L$23)*($O$10:$O$23=BD$8)+($O$10:$O$23=$AH10)*($J$10:$J$23=$L$10:$L$23)*($G$10:$G$23=BD$8)))*100
+SUM(($G$10:$G$23=$AH10)*($J$10:$J$23)*($O$10:$O$23=BD$8)+($O$10:$O$23=$AH10)*($L$10:$L$23)*($G$10:$G$23=BD$8))
-SUM(($G$10:$G$23=$AH10)*($L$10:$L$23)*($O$10:$O$23=BD$8)+($O$10:$O$23=$AH10)*($J$10:$J$23)*($G$10:$G$23=BD$8))
+SUM(($G$10:$G$23=$AH10)*($J$10:$J$23)*($O$10:$O$23=BD$8)+($O$10:$O$23=$AH10)*($L$10:$L$23)*($G$10:$G$23=BD$8))/100</f>
        <v>100.01</v>
      </c>
    </row>
    <row r="11" spans="1:56" s="30" customFormat="1" ht="10.15" customHeight="1" x14ac:dyDescent="0.25">
      <c r="B11" s="164" t="str">
        <v/>
      </c>
      <c r="C11" s="7"/>
      <c r="D11" s="8"/>
      <c r="E11" s="102"/>
      <c r="F11" s="102"/>
      <c r="G11" s="157"/>
      <c r="H11" s="9"/>
      <c r="I11" s="9"/>
      <c r="J11" s="154"/>
      <c r="K11" s="9"/>
      <c r="L11" s="154"/>
      <c r="M11" s="16"/>
      <c r="N11" s="154"/>
      <c r="O11" s="155"/>
      <c r="P11" s="16"/>
      <c r="Q11" s="16"/>
      <c r="R11" s="24"/>
      <c r="S11"/>
      <c r="T11" s="240"/>
      <c r="U11" s="91"/>
      <c r="V11" s="92"/>
      <c r="W11" s="93"/>
      <c r="X11" s="94"/>
      <c r="Y11" s="94"/>
      <c r="Z11" s="94"/>
      <c r="AA11" s="95"/>
      <c r="AB11" s="95"/>
      <c r="AC11" s="95"/>
      <c r="AD11" s="33"/>
      <c r="AE11" s="47"/>
      <c r="AF11" s="45"/>
      <c r="AG11" s="45"/>
      <c r="AH11" s="177"/>
      <c r="AI11" s="45"/>
      <c r="AJ11" s="45"/>
      <c r="AK11" s="45"/>
      <c r="AL11" s="45"/>
      <c r="AM11" s="45"/>
      <c r="AN11" s="29"/>
      <c r="AO11" s="29"/>
      <c r="AP11" s="141"/>
      <c r="AQ11" s="138"/>
      <c r="AR11" s="141"/>
      <c r="AS11" s="29"/>
      <c r="AT11" s="29"/>
      <c r="AU11" s="29"/>
      <c r="AV11" s="141"/>
      <c r="AW11" s="141"/>
      <c r="AX11" s="29"/>
      <c r="AY11" s="29"/>
      <c r="AZ11" s="29"/>
      <c r="BA11" s="29"/>
      <c r="BB11" s="29"/>
      <c r="BC11" s="29"/>
      <c r="BD11" s="29"/>
    </row>
    <row r="12" spans="1:56" s="30" customFormat="1" ht="22.15" customHeight="1" x14ac:dyDescent="0.25">
      <c r="B12" s="164">
        <v>12</v>
      </c>
      <c r="C12" s="7">
        <f>VLOOKUP(B12,Aux!M:AH,4,0)</f>
        <v>45826.125</v>
      </c>
      <c r="D12" s="8">
        <f>VLOOKUP(B12,Aux!M:AH,4,0)</f>
        <v>45826.125</v>
      </c>
      <c r="E12" s="102"/>
      <c r="F12" s="102" t="e" vm="4">
        <f>IFERROR(VLOOKUP(G12,Aux!$A:$X,8,0),"")</f>
        <v>#VALUE!</v>
      </c>
      <c r="G12" s="157" t="str">
        <f>VLOOKUP(B12,Aux!M:Y,5,0)</f>
        <v>Monterrey</v>
      </c>
      <c r="H12" s="154" t="e" vm="33">
        <f>IFERROR(VLOOKUP(G12,Aux!$A:$C,3,0),"")</f>
        <v>#VALUE!</v>
      </c>
      <c r="I12" s="154"/>
      <c r="J12" s="203">
        <v>1</v>
      </c>
      <c r="K12" s="145" t="s">
        <v>40</v>
      </c>
      <c r="L12" s="203">
        <v>1</v>
      </c>
      <c r="M12" s="16"/>
      <c r="N12" s="154" t="e" vm="34">
        <f>IFERROR(VLOOKUP(O12,Aux!$A:$C,3,0),"")</f>
        <v>#VALUE!</v>
      </c>
      <c r="O12" s="155" t="str">
        <f>VLOOKUP(B12,Aux!M:Y,6,0)</f>
        <v>Inter de Milán</v>
      </c>
      <c r="P12" s="102" t="e" vm="35">
        <f>IFERROR(VLOOKUP(O12,Aux!$A:$X,8,0),"")</f>
        <v>#VALUE!</v>
      </c>
      <c r="Q12" s="16"/>
      <c r="R12" s="24" t="str">
        <f>VLOOKUP(B12,Aux!M:Y,7,0)</f>
        <v>Rose Bowl</v>
      </c>
      <c r="S12"/>
      <c r="T12" s="240" t="str">
        <f>INDEX($AH$10:$AH$17,MATCH(2,$AY$10:$AY$16,0))</f>
        <v>Inter de Milán</v>
      </c>
      <c r="U12" s="91" t="e" vm="34">
        <f>IFERROR(VLOOKUP(T12,Aux!A:C,3,0),"")</f>
        <v>#VALUE!</v>
      </c>
      <c r="V12" s="92"/>
      <c r="W12" s="93">
        <f>VLOOKUP($T12,$AH$10:$AO$16,3,0)</f>
        <v>5</v>
      </c>
      <c r="X12" s="94">
        <f>VLOOKUP($T12,$AH$10:$AO$16,4,0)</f>
        <v>1</v>
      </c>
      <c r="Y12" s="94">
        <f>VLOOKUP($T12,$AH$10:$AO$16,5,0)</f>
        <v>2</v>
      </c>
      <c r="Z12" s="94">
        <f>VLOOKUP($T12,$AH$10:$AO$16,6,0)</f>
        <v>0</v>
      </c>
      <c r="AA12" s="95">
        <f>VLOOKUP($T12,$AH$10:$AO$16,7,0)</f>
        <v>4</v>
      </c>
      <c r="AB12" s="95">
        <f>VLOOKUP($T12,$AH$10:$AO$16,8,0)</f>
        <v>2</v>
      </c>
      <c r="AC12" s="95">
        <f>AA12-AB12</f>
        <v>2</v>
      </c>
      <c r="AD12" s="33"/>
      <c r="AE12" s="39"/>
      <c r="AF12" s="46"/>
      <c r="AG12" s="45">
        <v>2</v>
      </c>
      <c r="AH12" s="177" t="str">
        <f>VLOOKUP($AH$6&amp;AG12,Aux!Z:AA,2,0)</f>
        <v>Urawa Red Diamonds</v>
      </c>
      <c r="AI12" s="45">
        <f>AK12+AL12+AM12</f>
        <v>3</v>
      </c>
      <c r="AJ12" s="45">
        <f>AK12*3+AL12</f>
        <v>0</v>
      </c>
      <c r="AK12" s="45" cm="1">
        <f t="array" ref="AK12">SUM(($G$10:$G$23=$AH12)*($J$10:$J$23&gt;$L$10:$L$23)+($O$10:$O$23=$AH12)*($J$10:$J$23&lt;$L$10:$L$23))</f>
        <v>0</v>
      </c>
      <c r="AL12" s="45" cm="1">
        <f t="array" ref="AL12">SUM(($G$10:$G$23=$AH12)*($J$10:$J$23=$L$10:$L$23)*($J$10:$J$23&lt;&gt;"")+($O$10:$O$23=$AH12)*($J$10:$J$23=$L$10:$L$23)*($J$10:$J$23&lt;&gt;""))</f>
        <v>0</v>
      </c>
      <c r="AM12" s="45" cm="1">
        <f t="array" ref="AM12">SUM(($G$10:$G$23=$AH12)*($J$10:$J$23&lt;$L$10:$L$23)+($O$10:$O$23=$AH12)*($J$10:$J$23&gt;$L$10:$L$23))</f>
        <v>3</v>
      </c>
      <c r="AN12" s="29" cm="1">
        <f t="array" ref="AN12">SUM(($G$10:$G$23=$AH12)*($J$10:$J$23)+($O$10:$O$23=$AH12)*($L$10:$L$23))</f>
        <v>0</v>
      </c>
      <c r="AO12" s="29" cm="1">
        <f t="array" ref="AO12">SUM(($G$10:$G$23=$AH12)*($L$10:$L$23)+($O$10:$O$23=$AH12)*($J$10:$J$23))</f>
        <v>6</v>
      </c>
      <c r="AP12" s="141">
        <f>AN12-AO12</f>
        <v>-6</v>
      </c>
      <c r="AQ12" s="138">
        <v>0</v>
      </c>
      <c r="AR12" s="141">
        <f>+AW12+AV12+AU12</f>
        <v>-6.0000000000000002E-6</v>
      </c>
      <c r="AS12" s="29"/>
      <c r="AT12" s="29"/>
      <c r="AU12" s="141">
        <f>+AJ12</f>
        <v>0</v>
      </c>
      <c r="AV12" s="141">
        <f>SUMIFS($BA12:$BD12,$BA$6:$BD$6,AJ12)/1000</f>
        <v>0</v>
      </c>
      <c r="AW12" s="141">
        <f>SUMIFS($BA12:$BD12,$BA$5:$BD$5,AV12)/1000000</f>
        <v>-6.0000000000000002E-6</v>
      </c>
      <c r="AX12" s="29">
        <f>_xlfn.RANK.EQ(AJ12,$AJ$10:$AJ$16)+_xlfn.RANK.EQ(AR12,$AR$10:$AR$16)/10+_xlfn.RANK.EQ(AP12,$AP$10:$AP$16)/1000+_xlfn.RANK.EQ(AN12,$AN$10:$AN$16)/100000+_xlfn.RANK.EQ(AQ12,$AQ$10:$AQ$16)/100000+ROW()/1000000</f>
        <v>4.4040619999999997</v>
      </c>
      <c r="AY12" s="29">
        <f>_xlfn.RANK.EQ(AX12,$AX$10:$AX$16,1)</f>
        <v>4</v>
      </c>
      <c r="AZ12" s="29"/>
      <c r="BA12" s="29" cm="1">
        <f t="array" ref="BA12">(SUM(($G$10:$G$23=$AH12)*($J$10:$J$23&gt;$L$10:$L$23)*($O$10:$O$23=BA$8)+($O$10:$O$23=$AH12)*($J$10:$J$23&lt;$L$10:$L$23)*($G$10:$G$23=BA$8)))*300+
(SUM(($G$10:$G$23=$AH12)*($J$10:$J$23=$L$10:$L$23)*($O$10:$O$23=BA$8)+($O$10:$O$23=$AH12)*($J$10:$J$23=$L$10:$L$23)*($G$10:$G$23=BA$8)))*100
+SUM(($G$10:$G$23=$AH12)*($J$10:$J$23)*($O$10:$O$23=BA$8)+($O$10:$O$23=$AH12)*($L$10:$L$23)*($G$10:$G$23=BA$8))
-SUM(($G$10:$G$23=$AH12)*($L$10:$L$23)*($O$10:$O$23=BA$8)+($O$10:$O$23=$AH12)*($J$10:$J$23)*($G$10:$G$23=BA$8))
+SUM(($G$10:$G$23=$AH12)*($J$10:$J$23)*($O$10:$O$23=BA$8)+($O$10:$O$23=$AH12)*($L$10:$L$23)*($G$10:$G$23=BA$8))/100</f>
        <v>-3</v>
      </c>
      <c r="BB12" s="29" cm="1">
        <f t="array" ref="BB12">(SUM(($G$10:$G$23=$AH12)*($J$10:$J$23&gt;$L$10:$L$23)*($O$10:$O$23=BB$8)+($O$10:$O$23=$AH12)*($J$10:$J$23&lt;$L$10:$L$23)*($G$10:$G$23=BB$8)))*300+
(SUM(($G$10:$G$23=$AH12)*($J$10:$J$23=$L$10:$L$23)*($O$10:$O$23=BB$8)+($O$10:$O$23=$AH12)*($J$10:$J$23=$L$10:$L$23)*($G$10:$G$23=BB$8)))*100
+SUM(($G$10:$G$23=$AH12)*($J$10:$J$23)*($O$10:$O$23=BB$8)+($O$10:$O$23=$AH12)*($L$10:$L$23)*($G$10:$G$23=BB$8))
-SUM(($G$10:$G$23=$AH12)*($L$10:$L$23)*($O$10:$O$23=BB$8)+($O$10:$O$23=$AH12)*($J$10:$J$23)*($G$10:$G$23=BB$8))
+SUM(($G$10:$G$23=$AH12)*($J$10:$J$23)*($O$10:$O$23=BB$8)+($O$10:$O$23=$AH12)*($L$10:$L$23)*($G$10:$G$23=BB$8))/100</f>
        <v>0</v>
      </c>
      <c r="BC12" s="29" cm="1">
        <f t="array" ref="BC12">(SUM(($G$10:$G$23=$AH12)*($J$10:$J$23&gt;$L$10:$L$23)*($O$10:$O$23=BC$8)+($O$10:$O$23=$AH12)*($J$10:$J$23&lt;$L$10:$L$23)*($G$10:$G$23=BC$8)))*300+
(SUM(($G$10:$G$23=$AH12)*($J$10:$J$23=$L$10:$L$23)*($O$10:$O$23=BC$8)+($O$10:$O$23=$AH12)*($J$10:$J$23=$L$10:$L$23)*($G$10:$G$23=BC$8)))*100
+SUM(($G$10:$G$23=$AH12)*($J$10:$J$23)*($O$10:$O$23=BC$8)+($O$10:$O$23=$AH12)*($L$10:$L$23)*($G$10:$G$23=BC$8))
-SUM(($G$10:$G$23=$AH12)*($L$10:$L$23)*($O$10:$O$23=BC$8)+($O$10:$O$23=$AH12)*($J$10:$J$23)*($G$10:$G$23=BC$8))
+SUM(($G$10:$G$23=$AH12)*($J$10:$J$23)*($O$10:$O$23=BC$8)+($O$10:$O$23=$AH12)*($L$10:$L$23)*($G$10:$G$23=BC$8))/100</f>
        <v>-1</v>
      </c>
      <c r="BD12" s="29" cm="1">
        <f t="array" ref="BD12">(SUM(($G$10:$G$23=$AH12)*($J$10:$J$23&gt;$L$10:$L$23)*($O$10:$O$23=BD$8)+($O$10:$O$23=$AH12)*($J$10:$J$23&lt;$L$10:$L$23)*($G$10:$G$23=BD$8)))*300+
(SUM(($G$10:$G$23=$AH12)*($J$10:$J$23=$L$10:$L$23)*($O$10:$O$23=BD$8)+($O$10:$O$23=$AH12)*($J$10:$J$23=$L$10:$L$23)*($G$10:$G$23=BD$8)))*100
+SUM(($G$10:$G$23=$AH12)*($J$10:$J$23)*($O$10:$O$23=BD$8)+($O$10:$O$23=$AH12)*($L$10:$L$23)*($G$10:$G$23=BD$8))
-SUM(($G$10:$G$23=$AH12)*($L$10:$L$23)*($O$10:$O$23=BD$8)+($O$10:$O$23=$AH12)*($J$10:$J$23)*($G$10:$G$23=BD$8))
+SUM(($G$10:$G$23=$AH12)*($J$10:$J$23)*($O$10:$O$23=BD$8)+($O$10:$O$23=$AH12)*($L$10:$L$23)*($G$10:$G$23=BD$8))/100</f>
        <v>-2</v>
      </c>
    </row>
    <row r="13" spans="1:56" s="30" customFormat="1" ht="10.15" customHeight="1" x14ac:dyDescent="0.25">
      <c r="B13" s="164" t="str">
        <v/>
      </c>
      <c r="C13" s="10"/>
      <c r="D13" s="11"/>
      <c r="E13" s="103"/>
      <c r="F13" s="103"/>
      <c r="G13" s="158"/>
      <c r="H13" s="12"/>
      <c r="I13" s="12"/>
      <c r="J13" s="145"/>
      <c r="K13" s="145"/>
      <c r="L13" s="145"/>
      <c r="M13" s="16"/>
      <c r="N13" s="154"/>
      <c r="O13" s="156"/>
      <c r="P13" s="17"/>
      <c r="Q13" s="17"/>
      <c r="R13" s="25"/>
      <c r="S13"/>
      <c r="T13" s="240"/>
      <c r="U13" s="91"/>
      <c r="V13" s="92"/>
      <c r="W13" s="93"/>
      <c r="X13" s="94"/>
      <c r="Y13" s="94"/>
      <c r="Z13" s="94"/>
      <c r="AA13" s="95"/>
      <c r="AB13" s="95"/>
      <c r="AC13" s="95"/>
      <c r="AD13" s="33"/>
      <c r="AE13" s="39"/>
      <c r="AF13" s="46"/>
      <c r="AG13" s="45"/>
      <c r="AH13" s="177"/>
      <c r="AI13" s="45"/>
      <c r="AJ13" s="45"/>
      <c r="AK13" s="45"/>
      <c r="AL13" s="45"/>
      <c r="AM13" s="45"/>
      <c r="AN13" s="29"/>
      <c r="AO13" s="29"/>
      <c r="AP13" s="141"/>
      <c r="AQ13" s="138"/>
      <c r="AR13" s="141"/>
      <c r="AS13" s="29"/>
      <c r="AT13" s="29"/>
      <c r="AU13" s="29"/>
      <c r="AV13" s="141"/>
      <c r="AW13" s="141"/>
      <c r="AX13" s="29"/>
      <c r="AY13" s="29"/>
      <c r="AZ13" s="29"/>
      <c r="BA13" s="29"/>
      <c r="BB13" s="29"/>
      <c r="BC13" s="29"/>
      <c r="BD13" s="29"/>
    </row>
    <row r="14" spans="1:56" s="30" customFormat="1" ht="22.15" customHeight="1" x14ac:dyDescent="0.25">
      <c r="B14" s="164">
        <v>26</v>
      </c>
      <c r="C14" s="7">
        <f>VLOOKUP(B14,Aux!M:AH,4,0)</f>
        <v>45829.875</v>
      </c>
      <c r="D14" s="8">
        <f>VLOOKUP(B14,Aux!M:AH,4,0)</f>
        <v>45829.875</v>
      </c>
      <c r="E14" s="102"/>
      <c r="F14" s="102" t="e" vm="35">
        <f>IFERROR(VLOOKUP(G14,Aux!$A:$X,8,0),"")</f>
        <v>#VALUE!</v>
      </c>
      <c r="G14" s="157" t="str">
        <f>VLOOKUP(B14,Aux!M:Y,5,0)</f>
        <v>Inter de Milán</v>
      </c>
      <c r="H14" s="154" t="e" vm="34">
        <f>IFERROR(VLOOKUP(G14,Aux!$A:$C,3,0),"")</f>
        <v>#VALUE!</v>
      </c>
      <c r="I14" s="154"/>
      <c r="J14" s="203">
        <v>2</v>
      </c>
      <c r="K14" s="145" t="s">
        <v>40</v>
      </c>
      <c r="L14" s="203">
        <v>0</v>
      </c>
      <c r="M14" s="16"/>
      <c r="N14" s="154" t="e" vm="31">
        <f>IFERROR(VLOOKUP(O14,Aux!$A:$C,3,0),"")</f>
        <v>#VALUE!</v>
      </c>
      <c r="O14" s="155" t="str">
        <f>VLOOKUP(B14,Aux!M:Y,6,0)</f>
        <v>Urawa Red Diamonds</v>
      </c>
      <c r="P14" s="102" t="e" vm="32">
        <f>IFERROR(VLOOKUP(O14,Aux!$A:$X,8,0),"")</f>
        <v>#VALUE!</v>
      </c>
      <c r="Q14" s="16"/>
      <c r="R14" s="24" t="str">
        <f>VLOOKUP(B14,Aux!M:Y,7,0)</f>
        <v>Lumen Field</v>
      </c>
      <c r="S14"/>
      <c r="T14" s="240" t="str">
        <f>INDEX($AH$10:$AH$17,MATCH(3,$AY$10:$AY$16,0))</f>
        <v>Monterrey</v>
      </c>
      <c r="U14" s="91" t="e" vm="33">
        <f>IFERROR(VLOOKUP(T14,Aux!A:C,3,0),"")</f>
        <v>#VALUE!</v>
      </c>
      <c r="V14" s="92"/>
      <c r="W14" s="93">
        <f>VLOOKUP($T14,$AH$10:$AO$16,3,0)</f>
        <v>4</v>
      </c>
      <c r="X14" s="94">
        <f>VLOOKUP($T14,$AH$10:$AO$16,4,0)</f>
        <v>1</v>
      </c>
      <c r="Y14" s="94">
        <f>VLOOKUP($T14,$AH$10:$AO$16,5,0)</f>
        <v>1</v>
      </c>
      <c r="Z14" s="94">
        <f>VLOOKUP($T14,$AH$10:$AO$16,6,0)</f>
        <v>1</v>
      </c>
      <c r="AA14" s="95">
        <f>VLOOKUP($T14,$AH$10:$AO$16,7,0)</f>
        <v>2</v>
      </c>
      <c r="AB14" s="95">
        <f>VLOOKUP($T14,$AH$10:$AO$16,8,0)</f>
        <v>2</v>
      </c>
      <c r="AC14" s="95">
        <f>AA14-AB14</f>
        <v>0</v>
      </c>
      <c r="AD14" s="33"/>
      <c r="AE14" s="47"/>
      <c r="AF14" s="45"/>
      <c r="AG14" s="45">
        <v>3</v>
      </c>
      <c r="AH14" s="177" t="str">
        <f>VLOOKUP($AH$6&amp;AG14,Aux!Z:AA,2,0)</f>
        <v>Monterrey</v>
      </c>
      <c r="AI14" s="45">
        <f>AK14+AL14+AM14</f>
        <v>3</v>
      </c>
      <c r="AJ14" s="45">
        <f>AK14*3+AL14</f>
        <v>4</v>
      </c>
      <c r="AK14" s="45" cm="1">
        <f t="array" ref="AK14">SUM(($G$10:$G$23=$AH14)*($J$10:$J$23&gt;$L$10:$L$23)+($O$10:$O$23=$AH14)*($J$10:$J$23&lt;$L$10:$L$23))</f>
        <v>1</v>
      </c>
      <c r="AL14" s="45" cm="1">
        <f t="array" ref="AL14">SUM(($G$10:$G$23=$AH14)*($J$10:$J$23=$L$10:$L$23)*($J$10:$J$23&lt;&gt;"")+($O$10:$O$23=$AH14)*($J$10:$J$23=$L$10:$L$23)*($J$10:$J$23&lt;&gt;""))</f>
        <v>1</v>
      </c>
      <c r="AM14" s="45" cm="1">
        <f t="array" ref="AM14">SUM(($G$10:$G$23=$AH14)*($J$10:$J$23&lt;$L$10:$L$23)+($O$10:$O$23=$AH14)*($J$10:$J$23&gt;$L$10:$L$23))</f>
        <v>1</v>
      </c>
      <c r="AN14" s="29" cm="1">
        <f t="array" ref="AN14">SUM(($G$10:$G$23=$AH14)*($J$10:$J$23)+($O$10:$O$23=$AH14)*($L$10:$L$23))</f>
        <v>2</v>
      </c>
      <c r="AO14" s="29" cm="1">
        <f t="array" ref="AO14">SUM(($G$10:$G$23=$AH14)*($L$10:$L$23)+($O$10:$O$23=$AH14)*($J$10:$J$23))</f>
        <v>2</v>
      </c>
      <c r="AP14" s="141">
        <f>AN14-AO14</f>
        <v>0</v>
      </c>
      <c r="AQ14" s="138">
        <v>0</v>
      </c>
      <c r="AR14" s="141">
        <f>+AW14+AV14+AU14</f>
        <v>4.0004000199999998</v>
      </c>
      <c r="AS14" s="29"/>
      <c r="AT14" s="29"/>
      <c r="AU14" s="141">
        <f>+AJ14</f>
        <v>4</v>
      </c>
      <c r="AV14" s="141">
        <f>SUMIFS($BA14:$BD14,$BA$6:$BD$6,AJ14)/1000</f>
        <v>0</v>
      </c>
      <c r="AW14" s="141">
        <f>SUMIFS($BA14:$BD14,$BA$5:$BD$5,AV14)/1000000</f>
        <v>4.0002000000000001E-4</v>
      </c>
      <c r="AX14" s="29">
        <f>_xlfn.RANK.EQ(AJ14,$AJ$10:$AJ$16)+_xlfn.RANK.EQ(AR14,$AR$10:$AR$16)/10+_xlfn.RANK.EQ(AP14,$AP$10:$AP$16)/1000+_xlfn.RANK.EQ(AN14,$AN$10:$AN$16)/100000+_xlfn.RANK.EQ(AQ14,$AQ$10:$AQ$16)/100000+ROW()/1000000</f>
        <v>3.3030540000000004</v>
      </c>
      <c r="AY14" s="29">
        <f>_xlfn.RANK.EQ(AX14,$AX$10:$AX$16,1)</f>
        <v>3</v>
      </c>
      <c r="AZ14" s="29"/>
      <c r="BA14" s="29" cm="1">
        <f t="array" ref="BA14">(SUM(($G$10:$G$23=$AH14)*($J$10:$J$23&gt;$L$10:$L$23)*($O$10:$O$23=BA$8)+($O$10:$O$23=$AH14)*($J$10:$J$23&lt;$L$10:$L$23)*($G$10:$G$23=BA$8)))*300+
(SUM(($G$10:$G$23=$AH14)*($J$10:$J$23=$L$10:$L$23)*($O$10:$O$23=BA$8)+($O$10:$O$23=$AH14)*($J$10:$J$23=$L$10:$L$23)*($G$10:$G$23=BA$8)))*100
+SUM(($G$10:$G$23=$AH14)*($J$10:$J$23)*($O$10:$O$23=BA$8)+($O$10:$O$23=$AH14)*($L$10:$L$23)*($G$10:$G$23=BA$8))
-SUM(($G$10:$G$23=$AH14)*($L$10:$L$23)*($O$10:$O$23=BA$8)+($O$10:$O$23=$AH14)*($J$10:$J$23)*($G$10:$G$23=BA$8))
+SUM(($G$10:$G$23=$AH14)*($J$10:$J$23)*($O$10:$O$23=BA$8)+($O$10:$O$23=$AH14)*($L$10:$L$23)*($G$10:$G$23=BA$8))/100</f>
        <v>-1</v>
      </c>
      <c r="BB14" s="29" cm="1">
        <f t="array" ref="BB14">(SUM(($G$10:$G$23=$AH14)*($J$10:$J$23&gt;$L$10:$L$23)*($O$10:$O$23=BB$8)+($O$10:$O$23=$AH14)*($J$10:$J$23&lt;$L$10:$L$23)*($G$10:$G$23=BB$8)))*300+
(SUM(($G$10:$G$23=$AH14)*($J$10:$J$23=$L$10:$L$23)*($O$10:$O$23=BB$8)+($O$10:$O$23=$AH14)*($J$10:$J$23=$L$10:$L$23)*($G$10:$G$23=BB$8)))*100
+SUM(($G$10:$G$23=$AH14)*($J$10:$J$23)*($O$10:$O$23=BB$8)+($O$10:$O$23=$AH14)*($L$10:$L$23)*($G$10:$G$23=BB$8))
-SUM(($G$10:$G$23=$AH14)*($L$10:$L$23)*($O$10:$O$23=BB$8)+($O$10:$O$23=$AH14)*($J$10:$J$23)*($G$10:$G$23=BB$8))
+SUM(($G$10:$G$23=$AH14)*($J$10:$J$23)*($O$10:$O$23=BB$8)+($O$10:$O$23=$AH14)*($L$10:$L$23)*($G$10:$G$23=BB$8))/100</f>
        <v>301.01</v>
      </c>
      <c r="BC14" s="29" cm="1">
        <f t="array" ref="BC14">(SUM(($G$10:$G$23=$AH14)*($J$10:$J$23&gt;$L$10:$L$23)*($O$10:$O$23=BC$8)+($O$10:$O$23=$AH14)*($J$10:$J$23&lt;$L$10:$L$23)*($G$10:$G$23=BC$8)))*300+
(SUM(($G$10:$G$23=$AH14)*($J$10:$J$23=$L$10:$L$23)*($O$10:$O$23=BC$8)+($O$10:$O$23=$AH14)*($J$10:$J$23=$L$10:$L$23)*($G$10:$G$23=BC$8)))*100
+SUM(($G$10:$G$23=$AH14)*($J$10:$J$23)*($O$10:$O$23=BC$8)+($O$10:$O$23=$AH14)*($L$10:$L$23)*($G$10:$G$23=BC$8))
-SUM(($G$10:$G$23=$AH14)*($L$10:$L$23)*($O$10:$O$23=BC$8)+($O$10:$O$23=$AH14)*($J$10:$J$23)*($G$10:$G$23=BC$8))
+SUM(($G$10:$G$23=$AH14)*($J$10:$J$23)*($O$10:$O$23=BC$8)+($O$10:$O$23=$AH14)*($L$10:$L$23)*($G$10:$G$23=BC$8))/100</f>
        <v>0</v>
      </c>
      <c r="BD14" s="29" cm="1">
        <f t="array" ref="BD14">(SUM(($G$10:$G$23=$AH14)*($J$10:$J$23&gt;$L$10:$L$23)*($O$10:$O$23=BD$8)+($O$10:$O$23=$AH14)*($J$10:$J$23&lt;$L$10:$L$23)*($G$10:$G$23=BD$8)))*300+
(SUM(($G$10:$G$23=$AH14)*($J$10:$J$23=$L$10:$L$23)*($O$10:$O$23=BD$8)+($O$10:$O$23=$AH14)*($J$10:$J$23=$L$10:$L$23)*($G$10:$G$23=BD$8)))*100
+SUM(($G$10:$G$23=$AH14)*($J$10:$J$23)*($O$10:$O$23=BD$8)+($O$10:$O$23=$AH14)*($L$10:$L$23)*($G$10:$G$23=BD$8))
-SUM(($G$10:$G$23=$AH14)*($L$10:$L$23)*($O$10:$O$23=BD$8)+($O$10:$O$23=$AH14)*($J$10:$J$23)*($G$10:$G$23=BD$8))
+SUM(($G$10:$G$23=$AH14)*($J$10:$J$23)*($O$10:$O$23=BD$8)+($O$10:$O$23=$AH14)*($L$10:$L$23)*($G$10:$G$23=BD$8))/100</f>
        <v>100.01</v>
      </c>
    </row>
    <row r="15" spans="1:56" s="30" customFormat="1" ht="10.15" customHeight="1" x14ac:dyDescent="0.25">
      <c r="B15" s="164" t="str">
        <v/>
      </c>
      <c r="C15" s="7"/>
      <c r="D15" s="8"/>
      <c r="E15" s="102"/>
      <c r="F15" s="102"/>
      <c r="G15" s="157"/>
      <c r="H15" s="9"/>
      <c r="I15" s="9"/>
      <c r="J15" s="154"/>
      <c r="K15" s="9"/>
      <c r="L15" s="154"/>
      <c r="M15" s="16"/>
      <c r="N15" s="154"/>
      <c r="O15" s="155"/>
      <c r="P15" s="16"/>
      <c r="Q15" s="16"/>
      <c r="R15" s="24"/>
      <c r="S15"/>
      <c r="T15" s="240"/>
      <c r="U15" s="91"/>
      <c r="V15" s="92"/>
      <c r="W15" s="93"/>
      <c r="X15" s="94"/>
      <c r="Y15" s="94"/>
      <c r="Z15" s="94"/>
      <c r="AA15" s="95"/>
      <c r="AB15" s="95"/>
      <c r="AC15" s="95"/>
      <c r="AD15" s="33"/>
      <c r="AE15" s="47"/>
      <c r="AF15" s="45"/>
      <c r="AG15" s="45"/>
      <c r="AH15" s="177"/>
      <c r="AI15" s="45"/>
      <c r="AJ15" s="45"/>
      <c r="AK15" s="45"/>
      <c r="AL15" s="45"/>
      <c r="AM15" s="45"/>
      <c r="AN15" s="29"/>
      <c r="AO15" s="29"/>
      <c r="AP15" s="141"/>
      <c r="AQ15" s="138"/>
      <c r="AR15" s="141"/>
      <c r="AS15" s="29"/>
      <c r="AT15" s="29"/>
      <c r="AU15" s="29"/>
      <c r="AV15" s="141"/>
      <c r="AW15" s="141"/>
      <c r="AX15" s="29"/>
      <c r="AY15" s="29"/>
      <c r="AZ15" s="29"/>
      <c r="BA15" s="29"/>
      <c r="BB15" s="29"/>
      <c r="BC15" s="29"/>
      <c r="BD15" s="29"/>
    </row>
    <row r="16" spans="1:56" s="30" customFormat="1" ht="22.15" customHeight="1" x14ac:dyDescent="0.25">
      <c r="B16" s="164">
        <v>28</v>
      </c>
      <c r="C16" s="7">
        <f>VLOOKUP(B16,Aux!M:AH,4,0)</f>
        <v>45830.125</v>
      </c>
      <c r="D16" s="8">
        <f>VLOOKUP(B16,Aux!M:AH,4,0)</f>
        <v>45830.125</v>
      </c>
      <c r="E16" s="102"/>
      <c r="F16" s="102" t="e" vm="22">
        <f>IFERROR(VLOOKUP(G16,Aux!$A:$X,8,0),"")</f>
        <v>#VALUE!</v>
      </c>
      <c r="G16" s="157" t="str">
        <f>VLOOKUP(B16,Aux!M:Y,5,0)</f>
        <v>River Plate</v>
      </c>
      <c r="H16" s="154" t="e" vm="30">
        <f>IFERROR(VLOOKUP(G16,Aux!$A:$C,3,0),"")</f>
        <v>#VALUE!</v>
      </c>
      <c r="I16" s="154"/>
      <c r="J16" s="203">
        <v>1</v>
      </c>
      <c r="K16" s="145" t="s">
        <v>40</v>
      </c>
      <c r="L16" s="203">
        <v>0</v>
      </c>
      <c r="M16" s="16"/>
      <c r="N16" s="154" t="e" vm="33">
        <f>IFERROR(VLOOKUP(O16,Aux!$A:$C,3,0),"")</f>
        <v>#VALUE!</v>
      </c>
      <c r="O16" s="155" t="str">
        <f>VLOOKUP(B16,Aux!M:Y,6,0)</f>
        <v>Monterrey</v>
      </c>
      <c r="P16" s="102" t="e" vm="4">
        <f>IFERROR(VLOOKUP(O16,Aux!$A:$X,8,0),"")</f>
        <v>#VALUE!</v>
      </c>
      <c r="Q16" s="16"/>
      <c r="R16" s="24" t="str">
        <f>VLOOKUP(B16,Aux!M:Y,7,0)</f>
        <v>Rose Bowl</v>
      </c>
      <c r="S16"/>
      <c r="T16" s="240" t="str">
        <f>INDEX($AH$10:$AH$17,MATCH(4,$AY$10:$AY$16,0))</f>
        <v>Urawa Red Diamonds</v>
      </c>
      <c r="U16" s="91" t="e" vm="31">
        <f>IFERROR(VLOOKUP(T16,Aux!A:C,3,0),"")</f>
        <v>#VALUE!</v>
      </c>
      <c r="V16" s="92"/>
      <c r="W16" s="93">
        <f>VLOOKUP($T16,$AH$10:$AO$16,3,0)</f>
        <v>0</v>
      </c>
      <c r="X16" s="94">
        <f>VLOOKUP($T16,$AH$10:$AO$16,4,0)</f>
        <v>0</v>
      </c>
      <c r="Y16" s="94">
        <f>VLOOKUP($T16,$AH$10:$AO$16,5,0)</f>
        <v>0</v>
      </c>
      <c r="Z16" s="94">
        <f>VLOOKUP($T16,$AH$10:$AO$16,6,0)</f>
        <v>3</v>
      </c>
      <c r="AA16" s="95">
        <f>VLOOKUP($T16,$AH$10:$AO$16,7,0)</f>
        <v>0</v>
      </c>
      <c r="AB16" s="95">
        <f>VLOOKUP($T16,$AH$10:$AO$16,8,0)</f>
        <v>6</v>
      </c>
      <c r="AC16" s="95">
        <f>AA16-AB16</f>
        <v>-6</v>
      </c>
      <c r="AD16" s="33"/>
      <c r="AE16" s="39"/>
      <c r="AF16" s="46"/>
      <c r="AG16" s="45">
        <v>4</v>
      </c>
      <c r="AH16" s="177" t="str">
        <f>VLOOKUP($AH$6&amp;AG16,Aux!Z:AA,2,0)</f>
        <v>Inter de Milán</v>
      </c>
      <c r="AI16" s="45">
        <f>AK16+AL16+AM16</f>
        <v>3</v>
      </c>
      <c r="AJ16" s="45">
        <f>AK16*3+AL16</f>
        <v>5</v>
      </c>
      <c r="AK16" s="45" cm="1">
        <f t="array" ref="AK16">SUM(($G$10:$G$23=$AH16)*($J$10:$J$23&gt;$L$10:$L$23)+($O$10:$O$23=$AH16)*($J$10:$J$23&lt;$L$10:$L$23))</f>
        <v>1</v>
      </c>
      <c r="AL16" s="45" cm="1">
        <f t="array" ref="AL16">SUM(($G$10:$G$23=$AH16)*($J$10:$J$23=$L$10:$L$23)*($J$10:$J$23&lt;&gt;"")+($O$10:$O$23=$AH16)*($J$10:$J$23=$L$10:$L$23)*($J$10:$J$23&lt;&gt;""))</f>
        <v>2</v>
      </c>
      <c r="AM16" s="45" cm="1">
        <f t="array" ref="AM16">SUM(($G$10:$G$23=$AH16)*($J$10:$J$23&lt;$L$10:$L$23)+($O$10:$O$23=$AH16)*($J$10:$J$23&gt;$L$10:$L$23))</f>
        <v>0</v>
      </c>
      <c r="AN16" s="29" cm="1">
        <f t="array" ref="AN16">SUM(($G$10:$G$23=$AH16)*($J$10:$J$23)+($O$10:$O$23=$AH16)*($L$10:$L$23))</f>
        <v>4</v>
      </c>
      <c r="AO16" s="29" cm="1">
        <f t="array" ref="AO16">SUM(($G$10:$G$23=$AH16)*($L$10:$L$23)+($O$10:$O$23=$AH16)*($J$10:$J$23))</f>
        <v>2</v>
      </c>
      <c r="AP16" s="141">
        <f>AN16-AO16</f>
        <v>2</v>
      </c>
      <c r="AQ16" s="138">
        <v>0</v>
      </c>
      <c r="AR16" s="141">
        <f>+AW16+AV16+AU16</f>
        <v>5.0005020399999998</v>
      </c>
      <c r="AS16" s="29"/>
      <c r="AT16" s="29"/>
      <c r="AU16" s="141">
        <f>+AJ16</f>
        <v>5</v>
      </c>
      <c r="AV16" s="141">
        <f>SUMIFS($BA16:$BD16,$BA$6:$BD$6,AJ16)/1000</f>
        <v>0</v>
      </c>
      <c r="AW16" s="141">
        <f>SUMIFS($BA16:$BD16,$BA$5:$BD$5,AV16)/1000000</f>
        <v>5.0203999999999993E-4</v>
      </c>
      <c r="AX16" s="29">
        <f>_xlfn.RANK.EQ(AJ16,$AJ$10:$AJ$16)+_xlfn.RANK.EQ(AR16,$AR$10:$AR$16)/10+_xlfn.RANK.EQ(AP16,$AP$10:$AP$16)/1000+_xlfn.RANK.EQ(AN16,$AN$10:$AN$16)/100000+_xlfn.RANK.EQ(AQ16,$AQ$10:$AQ$16)/100000+ROW()/1000000</f>
        <v>2.2020460000000002</v>
      </c>
      <c r="AY16" s="29">
        <f>_xlfn.RANK.EQ(AX16,$AX$10:$AX$16,1)</f>
        <v>2</v>
      </c>
      <c r="AZ16" s="29"/>
      <c r="BA16" s="29" cm="1">
        <f t="array" ref="BA16">(SUM(($G$10:$G$23=$AH16)*($J$10:$J$23&gt;$L$10:$L$23)*($O$10:$O$23=BA$8)+($O$10:$O$23=$AH16)*($J$10:$J$23&lt;$L$10:$L$23)*($G$10:$G$23=BA$8)))*300+
(SUM(($G$10:$G$23=$AH16)*($J$10:$J$23=$L$10:$L$23)*($O$10:$O$23=BA$8)+($O$10:$O$23=$AH16)*($J$10:$J$23=$L$10:$L$23)*($G$10:$G$23=BA$8)))*100
+SUM(($G$10:$G$23=$AH16)*($J$10:$J$23)*($O$10:$O$23=BA$8)+($O$10:$O$23=$AH16)*($L$10:$L$23)*($G$10:$G$23=BA$8))
-SUM(($G$10:$G$23=$AH16)*($L$10:$L$23)*($O$10:$O$23=BA$8)+($O$10:$O$23=$AH16)*($J$10:$J$23)*($G$10:$G$23=BA$8))
+SUM(($G$10:$G$23=$AH16)*($J$10:$J$23)*($O$10:$O$23=BA$8)+($O$10:$O$23=$AH16)*($L$10:$L$23)*($G$10:$G$23=BA$8))/100</f>
        <v>100.01</v>
      </c>
      <c r="BB16" s="29" cm="1">
        <f t="array" ref="BB16">(SUM(($G$10:$G$23=$AH16)*($J$10:$J$23&gt;$L$10:$L$23)*($O$10:$O$23=BB$8)+($O$10:$O$23=$AH16)*($J$10:$J$23&lt;$L$10:$L$23)*($G$10:$G$23=BB$8)))*300+
(SUM(($G$10:$G$23=$AH16)*($J$10:$J$23=$L$10:$L$23)*($O$10:$O$23=BB$8)+($O$10:$O$23=$AH16)*($J$10:$J$23=$L$10:$L$23)*($G$10:$G$23=BB$8)))*100
+SUM(($G$10:$G$23=$AH16)*($J$10:$J$23)*($O$10:$O$23=BB$8)+($O$10:$O$23=$AH16)*($L$10:$L$23)*($G$10:$G$23=BB$8))
-SUM(($G$10:$G$23=$AH16)*($L$10:$L$23)*($O$10:$O$23=BB$8)+($O$10:$O$23=$AH16)*($J$10:$J$23)*($G$10:$G$23=BB$8))
+SUM(($G$10:$G$23=$AH16)*($J$10:$J$23)*($O$10:$O$23=BB$8)+($O$10:$O$23=$AH16)*($L$10:$L$23)*($G$10:$G$23=BB$8))/100</f>
        <v>302.02</v>
      </c>
      <c r="BC16" s="29" cm="1">
        <f t="array" ref="BC16">(SUM(($G$10:$G$23=$AH16)*($J$10:$J$23&gt;$L$10:$L$23)*($O$10:$O$23=BC$8)+($O$10:$O$23=$AH16)*($J$10:$J$23&lt;$L$10:$L$23)*($G$10:$G$23=BC$8)))*300+
(SUM(($G$10:$G$23=$AH16)*($J$10:$J$23=$L$10:$L$23)*($O$10:$O$23=BC$8)+($O$10:$O$23=$AH16)*($J$10:$J$23=$L$10:$L$23)*($G$10:$G$23=BC$8)))*100
+SUM(($G$10:$G$23=$AH16)*($J$10:$J$23)*($O$10:$O$23=BC$8)+($O$10:$O$23=$AH16)*($L$10:$L$23)*($G$10:$G$23=BC$8))
-SUM(($G$10:$G$23=$AH16)*($L$10:$L$23)*($O$10:$O$23=BC$8)+($O$10:$O$23=$AH16)*($J$10:$J$23)*($G$10:$G$23=BC$8))
+SUM(($G$10:$G$23=$AH16)*($J$10:$J$23)*($O$10:$O$23=BC$8)+($O$10:$O$23=$AH16)*($L$10:$L$23)*($G$10:$G$23=BC$8))/100</f>
        <v>100.01</v>
      </c>
      <c r="BD16" s="29" cm="1">
        <f t="array" ref="BD16">(SUM(($G$10:$G$23=$AH16)*($J$10:$J$23&gt;$L$10:$L$23)*($O$10:$O$23=BD$8)+($O$10:$O$23=$AH16)*($J$10:$J$23&lt;$L$10:$L$23)*($G$10:$G$23=BD$8)))*300+
(SUM(($G$10:$G$23=$AH16)*($J$10:$J$23=$L$10:$L$23)*($O$10:$O$23=BD$8)+($O$10:$O$23=$AH16)*($J$10:$J$23=$L$10:$L$23)*($G$10:$G$23=BD$8)))*100
+SUM(($G$10:$G$23=$AH16)*($J$10:$J$23)*($O$10:$O$23=BD$8)+($O$10:$O$23=$AH16)*($L$10:$L$23)*($G$10:$G$23=BD$8))
-SUM(($G$10:$G$23=$AH16)*($L$10:$L$23)*($O$10:$O$23=BD$8)+($O$10:$O$23=$AH16)*($J$10:$J$23)*($G$10:$G$23=BD$8))
+SUM(($G$10:$G$23=$AH16)*($J$10:$J$23)*($O$10:$O$23=BD$8)+($O$10:$O$23=$AH16)*($L$10:$L$23)*($G$10:$G$23=BD$8))/100</f>
        <v>0</v>
      </c>
    </row>
    <row r="17" spans="2:56" s="30" customFormat="1" ht="10.15" customHeight="1" x14ac:dyDescent="0.25">
      <c r="B17" s="164" t="str">
        <v/>
      </c>
      <c r="C17" s="10"/>
      <c r="D17" s="11"/>
      <c r="E17" s="103"/>
      <c r="F17" s="103"/>
      <c r="G17" s="158"/>
      <c r="H17" s="12"/>
      <c r="I17" s="12"/>
      <c r="J17" s="145"/>
      <c r="K17" s="145"/>
      <c r="L17" s="145"/>
      <c r="M17" s="16"/>
      <c r="N17" s="154"/>
      <c r="O17" s="156"/>
      <c r="P17" s="17"/>
      <c r="Q17" s="17"/>
      <c r="R17" s="25"/>
      <c r="S17"/>
      <c r="T17" s="90"/>
      <c r="U17" s="91"/>
      <c r="V17" s="92"/>
      <c r="W17" s="93"/>
      <c r="X17" s="94"/>
      <c r="Y17" s="94"/>
      <c r="Z17" s="94"/>
      <c r="AA17" s="95"/>
      <c r="AB17" s="95"/>
      <c r="AC17" s="95"/>
      <c r="AD17" s="33"/>
      <c r="AE17" s="39"/>
      <c r="AF17" s="46"/>
      <c r="AG17" s="45"/>
      <c r="AH17" s="177"/>
      <c r="AI17" s="45"/>
      <c r="AJ17" s="45"/>
      <c r="AK17" s="45"/>
      <c r="AL17" s="45"/>
      <c r="AM17" s="45"/>
      <c r="AN17" s="29"/>
      <c r="AO17" s="29"/>
      <c r="AP17" s="141"/>
      <c r="AQ17" s="29"/>
      <c r="AR17" s="29"/>
      <c r="AS17" s="29"/>
      <c r="AT17" s="29"/>
      <c r="AU17" s="29"/>
      <c r="AV17" s="141"/>
      <c r="AW17" s="29"/>
      <c r="AX17" s="29"/>
      <c r="AY17" s="29"/>
      <c r="AZ17" s="29"/>
      <c r="BA17" s="29"/>
      <c r="BB17" s="29"/>
      <c r="BC17" s="29"/>
      <c r="BD17" s="29"/>
    </row>
    <row r="18" spans="2:56" s="30" customFormat="1" ht="22.15" customHeight="1" thickBot="1" x14ac:dyDescent="0.3">
      <c r="B18" s="164">
        <v>43</v>
      </c>
      <c r="C18" s="7">
        <f>VLOOKUP(B18,Aux!M:AH,4,0)</f>
        <v>45834.125</v>
      </c>
      <c r="D18" s="8">
        <f>VLOOKUP(B18,Aux!M:AH,4,0)</f>
        <v>45834.125</v>
      </c>
      <c r="E18" s="102"/>
      <c r="F18" s="102" t="e" vm="35">
        <f>IFERROR(VLOOKUP(G18,Aux!$A:$X,8,0),"")</f>
        <v>#VALUE!</v>
      </c>
      <c r="G18" s="157" t="str">
        <f>VLOOKUP(B18,Aux!M:Y,5,0)</f>
        <v>Inter de Milán</v>
      </c>
      <c r="H18" s="154" t="e" vm="34">
        <f>IFERROR(VLOOKUP(G18,Aux!$A:$C,3,0),"")</f>
        <v>#VALUE!</v>
      </c>
      <c r="I18" s="154"/>
      <c r="J18" s="203">
        <v>1</v>
      </c>
      <c r="K18" s="145" t="s">
        <v>40</v>
      </c>
      <c r="L18" s="203">
        <v>1</v>
      </c>
      <c r="M18" s="16"/>
      <c r="N18" s="154" t="e" vm="30">
        <f>IFERROR(VLOOKUP(O18,Aux!$A:$C,3,0),"")</f>
        <v>#VALUE!</v>
      </c>
      <c r="O18" s="155" t="str">
        <f>VLOOKUP(B18,Aux!M:Y,6,0)</f>
        <v>River Plate</v>
      </c>
      <c r="P18" s="102" t="e" vm="22">
        <f>IFERROR(VLOOKUP(O18,Aux!$A:$X,8,0),"")</f>
        <v>#VALUE!</v>
      </c>
      <c r="Q18" s="16"/>
      <c r="R18" s="24" t="str">
        <f>VLOOKUP(B18,Aux!M:Y,7,0)</f>
        <v>Lumen Field</v>
      </c>
      <c r="S18"/>
      <c r="T18" s="310"/>
      <c r="U18" s="310"/>
      <c r="V18" s="310"/>
      <c r="W18" s="310"/>
      <c r="X18" s="310"/>
      <c r="Y18" s="310"/>
      <c r="Z18" s="310"/>
      <c r="AA18" s="310"/>
      <c r="AB18" s="310"/>
      <c r="AC18" s="310"/>
      <c r="AD18" s="33"/>
      <c r="AE18" s="33"/>
      <c r="AF18" s="45"/>
      <c r="AG18" s="45"/>
      <c r="AH18" s="45"/>
      <c r="AI18" s="45"/>
      <c r="AJ18" s="45"/>
      <c r="AK18" s="45"/>
      <c r="AL18" s="45"/>
      <c r="AM18" s="45"/>
      <c r="AN18" s="29"/>
      <c r="AO18" s="29"/>
      <c r="AP18" s="29"/>
      <c r="AQ18" s="29"/>
      <c r="AR18" s="29"/>
      <c r="AS18" s="29"/>
      <c r="AT18" s="29"/>
      <c r="AU18" s="29"/>
      <c r="AV18" s="29"/>
      <c r="AW18" s="29"/>
      <c r="AX18" s="29"/>
      <c r="AY18" s="29"/>
      <c r="AZ18" s="29"/>
      <c r="BA18" s="29"/>
      <c r="BB18" s="29"/>
      <c r="BC18" s="29"/>
      <c r="BD18" s="29"/>
    </row>
    <row r="19" spans="2:56" s="30" customFormat="1" ht="10.15" customHeight="1" thickTop="1" x14ac:dyDescent="0.25">
      <c r="B19" s="164" t="str">
        <v/>
      </c>
      <c r="C19" s="10"/>
      <c r="D19" s="11"/>
      <c r="E19" s="103"/>
      <c r="F19" s="103"/>
      <c r="G19" s="158"/>
      <c r="H19" s="12"/>
      <c r="I19" s="12"/>
      <c r="J19" s="145"/>
      <c r="K19" s="145"/>
      <c r="L19" s="145"/>
      <c r="M19" s="16"/>
      <c r="N19" s="154"/>
      <c r="O19" s="155"/>
      <c r="P19" s="17"/>
      <c r="Q19" s="17"/>
      <c r="R19" s="25"/>
      <c r="S19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33"/>
      <c r="AE19" s="33"/>
      <c r="AF19" s="45"/>
      <c r="AG19" s="45"/>
      <c r="AH19" s="45"/>
      <c r="AI19" s="45"/>
      <c r="AJ19" s="45"/>
      <c r="AK19" s="45"/>
      <c r="AL19" s="45"/>
      <c r="AM19" s="45"/>
      <c r="AN19" s="29"/>
      <c r="AO19" s="29"/>
      <c r="AP19" s="29"/>
      <c r="AQ19" s="29"/>
      <c r="AR19" s="29"/>
      <c r="AS19" s="29"/>
      <c r="AT19" s="29"/>
      <c r="AU19" s="29"/>
      <c r="AV19" s="29"/>
      <c r="AW19" s="29"/>
      <c r="AX19" s="29"/>
      <c r="AY19" s="29"/>
      <c r="AZ19" s="29"/>
      <c r="BA19" s="45"/>
      <c r="BB19" s="127"/>
      <c r="BC19" s="127"/>
      <c r="BD19" s="127"/>
    </row>
    <row r="20" spans="2:56" s="30" customFormat="1" ht="22.15" customHeight="1" x14ac:dyDescent="0.25">
      <c r="B20" s="164">
        <v>44</v>
      </c>
      <c r="C20" s="7">
        <f>VLOOKUP(B20,Aux!M:AH,4,0)</f>
        <v>45834.125</v>
      </c>
      <c r="D20" s="8">
        <f>VLOOKUP(B20,Aux!M:AH,4,0)</f>
        <v>45834.125</v>
      </c>
      <c r="E20" s="102"/>
      <c r="F20" s="102" t="e" vm="32">
        <f>IFERROR(VLOOKUP(G20,Aux!$A:$X,8,0),"")</f>
        <v>#VALUE!</v>
      </c>
      <c r="G20" s="157" t="str">
        <f>VLOOKUP(B20,Aux!M:Y,5,0)</f>
        <v>Urawa Red Diamonds</v>
      </c>
      <c r="H20" s="154" t="e" vm="31">
        <f>IFERROR(VLOOKUP(G20,Aux!$A:$C,3,0),"")</f>
        <v>#VALUE!</v>
      </c>
      <c r="I20" s="154"/>
      <c r="J20" s="203">
        <v>0</v>
      </c>
      <c r="K20" s="145" t="s">
        <v>40</v>
      </c>
      <c r="L20" s="203">
        <v>1</v>
      </c>
      <c r="M20" s="16"/>
      <c r="N20" s="154" t="e" vm="33">
        <f>IFERROR(VLOOKUP(O20,Aux!$A:$C,3,0),"")</f>
        <v>#VALUE!</v>
      </c>
      <c r="O20" s="155" t="str">
        <f>VLOOKUP(B20,Aux!M:Y,6,0)</f>
        <v>Monterrey</v>
      </c>
      <c r="P20" s="102" t="e" vm="4">
        <f>IFERROR(VLOOKUP(O20,Aux!$A:$X,8,0),"")</f>
        <v>#VALUE!</v>
      </c>
      <c r="Q20" s="16"/>
      <c r="R20" s="24" t="str">
        <f>VLOOKUP(B20,Aux!M:Y,7,0)</f>
        <v>Rose Bowl</v>
      </c>
      <c r="S20"/>
      <c r="T20" s="28"/>
      <c r="U20" s="28"/>
      <c r="V20" s="28"/>
      <c r="W20"/>
      <c r="X20" s="28"/>
      <c r="Y20" s="28"/>
      <c r="Z20" s="28"/>
      <c r="AA20" s="28"/>
      <c r="AB20" s="28"/>
      <c r="AC20" s="28"/>
      <c r="AD20" s="33"/>
      <c r="AE20" s="33"/>
      <c r="AF20" s="45"/>
      <c r="AG20" s="45"/>
      <c r="AH20" s="45"/>
      <c r="AI20" s="45"/>
      <c r="AJ20" s="45"/>
      <c r="AK20" s="45"/>
      <c r="AL20" s="45"/>
      <c r="AM20" s="45"/>
      <c r="AN20" s="29"/>
      <c r="AO20" s="29"/>
      <c r="AP20" s="29"/>
      <c r="AQ20" s="29"/>
      <c r="AR20" s="29"/>
      <c r="AS20" s="29"/>
      <c r="AT20" s="29"/>
      <c r="AU20" s="29"/>
      <c r="AV20" s="29"/>
      <c r="AW20" s="29"/>
      <c r="AX20" s="29"/>
      <c r="AY20" s="29"/>
      <c r="AZ20" s="29"/>
      <c r="BA20" s="138"/>
      <c r="BB20" s="138"/>
      <c r="BC20" s="138"/>
      <c r="BD20" s="138"/>
    </row>
    <row r="21" spans="2:56" s="30" customFormat="1" ht="10.15" customHeight="1" x14ac:dyDescent="0.25">
      <c r="B21" s="165" t="str">
        <v/>
      </c>
      <c r="C21" s="13"/>
      <c r="D21" s="14"/>
      <c r="E21" s="18"/>
      <c r="F21" s="18"/>
      <c r="G21" s="15"/>
      <c r="H21" s="15"/>
      <c r="I21" s="15"/>
      <c r="J21" s="18"/>
      <c r="K21" s="18"/>
      <c r="L21" s="18"/>
      <c r="M21" s="18"/>
      <c r="N21" s="18"/>
      <c r="O21" s="19"/>
      <c r="P21" s="19"/>
      <c r="Q21" s="19"/>
      <c r="R21" s="26"/>
      <c r="S21"/>
      <c r="T21" s="28"/>
      <c r="U21" s="28"/>
      <c r="V21" s="28"/>
      <c r="W21" s="301" t="s">
        <v>134</v>
      </c>
      <c r="X21" s="301"/>
      <c r="Y21" s="301"/>
      <c r="Z21" s="28"/>
      <c r="AA21" s="28"/>
      <c r="AB21" s="28"/>
      <c r="AC21" s="28"/>
      <c r="AD21" s="33"/>
      <c r="AE21" s="33"/>
      <c r="AF21" s="45"/>
      <c r="AG21" s="45"/>
      <c r="AH21" s="45"/>
      <c r="AI21" s="45"/>
      <c r="AJ21" s="45"/>
      <c r="AK21" s="45"/>
      <c r="AL21" s="45"/>
      <c r="AM21" s="45"/>
      <c r="AN21" s="29"/>
      <c r="AO21" s="29"/>
      <c r="AP21" s="29"/>
      <c r="AQ21" s="29"/>
      <c r="AR21" s="29"/>
      <c r="AS21" s="29"/>
      <c r="AT21" s="29"/>
      <c r="AU21" s="29"/>
      <c r="AV21" s="29"/>
      <c r="AW21" s="29"/>
      <c r="AX21" s="29"/>
      <c r="AY21" s="29"/>
      <c r="AZ21" s="29"/>
      <c r="BA21" s="138"/>
      <c r="BB21" s="138"/>
      <c r="BC21" s="138"/>
      <c r="BD21" s="138"/>
    </row>
    <row r="22" spans="2:56" ht="15" customHeight="1" x14ac:dyDescent="0.25">
      <c r="W22" s="301"/>
      <c r="X22" s="301"/>
      <c r="Y22" s="301"/>
      <c r="AD22" s="33"/>
      <c r="AE22" s="45"/>
      <c r="AF22" s="45"/>
      <c r="AG22" s="45"/>
      <c r="AH22" s="45"/>
      <c r="AI22" s="45"/>
      <c r="AJ22" s="45"/>
      <c r="AK22" s="45"/>
      <c r="AL22" s="45"/>
      <c r="AM22" s="45"/>
      <c r="AN22" s="29"/>
      <c r="AO22" s="29"/>
      <c r="AP22" s="29"/>
      <c r="AQ22" s="29"/>
      <c r="AR22" s="29"/>
      <c r="AS22" s="29"/>
      <c r="AT22" s="29"/>
      <c r="AU22" s="29"/>
      <c r="AV22" s="29"/>
      <c r="AW22" s="29"/>
      <c r="AX22" s="29"/>
      <c r="AY22" s="127"/>
      <c r="AZ22" s="29"/>
      <c r="BA22" s="138"/>
      <c r="BB22" s="138"/>
      <c r="BC22" s="138"/>
      <c r="BD22" s="138"/>
    </row>
    <row r="23" spans="2:56" ht="15" customHeight="1" x14ac:dyDescent="0.25">
      <c r="N23"/>
      <c r="O23"/>
      <c r="P23"/>
      <c r="Q23"/>
      <c r="R23"/>
      <c r="W23" s="302" t="s">
        <v>135</v>
      </c>
      <c r="X23" s="302"/>
      <c r="Y23" s="302"/>
      <c r="AD23" s="33"/>
      <c r="AE23" s="45"/>
      <c r="AF23" s="45"/>
      <c r="AG23" s="45"/>
      <c r="AH23" s="45"/>
      <c r="AI23" s="47"/>
      <c r="AJ23" s="47"/>
      <c r="AK23" s="47"/>
      <c r="AL23" s="47"/>
      <c r="AM23" s="47"/>
      <c r="BA23" s="262"/>
      <c r="BB23" s="263"/>
      <c r="BC23" s="263"/>
      <c r="BD23" s="263"/>
    </row>
    <row r="24" spans="2:56" ht="15" customHeight="1" x14ac:dyDescent="0.25">
      <c r="N24"/>
      <c r="O24"/>
      <c r="P24"/>
      <c r="Q24"/>
      <c r="R24"/>
      <c r="W24" s="302"/>
      <c r="X24" s="302"/>
      <c r="Y24" s="302"/>
      <c r="AD24" s="33"/>
      <c r="AE24" s="45"/>
      <c r="AF24" s="45"/>
      <c r="AG24" s="45"/>
      <c r="AH24" s="45"/>
      <c r="AI24" s="47"/>
      <c r="AJ24" s="47"/>
      <c r="AK24" s="47"/>
      <c r="AL24" s="47"/>
      <c r="AM24" s="47"/>
      <c r="BB24" s="31"/>
      <c r="BC24" s="31"/>
      <c r="BD24" s="31"/>
    </row>
    <row r="25" spans="2:56" ht="15" customHeight="1" x14ac:dyDescent="0.25">
      <c r="N25"/>
      <c r="O25"/>
      <c r="P25"/>
      <c r="Q25"/>
      <c r="R25"/>
      <c r="W25"/>
      <c r="AD25" s="33"/>
      <c r="AE25" s="45"/>
      <c r="AF25" s="45"/>
      <c r="AG25" s="45"/>
      <c r="AH25" s="45"/>
      <c r="AI25" s="47"/>
      <c r="AJ25" s="47"/>
      <c r="AK25" s="47"/>
      <c r="AL25" s="47"/>
      <c r="AM25" s="47"/>
      <c r="BB25" s="31"/>
      <c r="BC25" s="31"/>
      <c r="BD25" s="31"/>
    </row>
    <row r="26" spans="2:56" ht="15" customHeight="1" x14ac:dyDescent="0.25">
      <c r="N26"/>
      <c r="O26"/>
      <c r="P26"/>
      <c r="Q26"/>
      <c r="R26"/>
      <c r="AG26" s="29"/>
      <c r="AH26" s="29"/>
      <c r="BB26" s="31"/>
      <c r="BC26" s="31"/>
      <c r="BD26" s="31"/>
    </row>
    <row r="27" spans="2:56" ht="15" customHeight="1" x14ac:dyDescent="0.25">
      <c r="N27"/>
      <c r="O27"/>
      <c r="P27"/>
      <c r="Q27"/>
      <c r="R27"/>
      <c r="AG27" s="29"/>
      <c r="AH27" s="29"/>
      <c r="BB27" s="31"/>
      <c r="BC27" s="31"/>
      <c r="BD27" s="31"/>
    </row>
    <row r="28" spans="2:56" ht="15" customHeight="1" x14ac:dyDescent="0.25">
      <c r="N28"/>
      <c r="O28"/>
      <c r="P28"/>
      <c r="Q28"/>
      <c r="R28"/>
      <c r="AG28" s="29"/>
      <c r="AH28" s="29"/>
      <c r="BB28" s="31"/>
      <c r="BC28" s="31"/>
      <c r="BD28" s="31"/>
    </row>
    <row r="29" spans="2:56" ht="15" customHeight="1" x14ac:dyDescent="0.25">
      <c r="N29"/>
      <c r="O29"/>
      <c r="P29"/>
      <c r="Q29"/>
      <c r="R29"/>
      <c r="AG29" s="29"/>
      <c r="AH29" s="29"/>
      <c r="AI29" s="29"/>
      <c r="AJ29" s="29"/>
      <c r="AK29" s="29"/>
      <c r="AL29" s="29"/>
      <c r="AM29" s="29"/>
      <c r="AN29" s="29"/>
      <c r="AO29" s="29"/>
      <c r="AP29" s="29"/>
      <c r="AQ29" s="29"/>
      <c r="AR29" s="29"/>
      <c r="AS29" s="29"/>
      <c r="AT29" s="29"/>
      <c r="AU29" s="29"/>
      <c r="AV29" s="29"/>
      <c r="AW29" s="29"/>
      <c r="AX29" s="29"/>
      <c r="AZ29" s="29"/>
      <c r="BB29" s="31"/>
      <c r="BC29" s="31"/>
      <c r="BD29" s="31"/>
    </row>
    <row r="30" spans="2:56" ht="15" customHeight="1" x14ac:dyDescent="0.25">
      <c r="BB30" s="31"/>
      <c r="BC30" s="31"/>
      <c r="BD30" s="31"/>
    </row>
  </sheetData>
  <mergeCells count="6">
    <mergeCell ref="W23:Y24"/>
    <mergeCell ref="W2:Y2"/>
    <mergeCell ref="E7:Q7"/>
    <mergeCell ref="T7:AC7"/>
    <mergeCell ref="T18:AC18"/>
    <mergeCell ref="W21:Y22"/>
  </mergeCells>
  <conditionalFormatting sqref="J10 J12 J14 J16 J18 J20">
    <cfRule type="expression" dxfId="239" priority="5">
      <formula>#REF!="P"</formula>
    </cfRule>
    <cfRule type="expression" dxfId="238" priority="6">
      <formula>#REF!="E"</formula>
    </cfRule>
    <cfRule type="expression" dxfId="237" priority="7">
      <formula>#REF!="G"</formula>
    </cfRule>
  </conditionalFormatting>
  <conditionalFormatting sqref="L10 L12 L14 L16 L18 L20">
    <cfRule type="expression" dxfId="236" priority="8">
      <formula>#REF!="P"</formula>
    </cfRule>
    <cfRule type="expression" dxfId="235" priority="9">
      <formula>#REF!="E"</formula>
    </cfRule>
    <cfRule type="expression" dxfId="234" priority="10">
      <formula>#REF!="G"</formula>
    </cfRule>
  </conditionalFormatting>
  <conditionalFormatting sqref="W21 W23">
    <cfRule type="expression" dxfId="233" priority="1">
      <formula>$L24&lt;&gt;""</formula>
    </cfRule>
    <cfRule type="expression" dxfId="232" priority="2">
      <formula>AND($L24&lt;&gt;"",$L25="")</formula>
    </cfRule>
  </conditionalFormatting>
  <dataValidations count="1">
    <dataValidation type="list" allowBlank="1" showInputMessage="1" showErrorMessage="1" sqref="AH6" xr:uid="{60D8CAFA-B9D3-4D52-AB53-14D18AF9929E}">
      <formula1>"A,B,C,D,E,F,G,H"</formula1>
    </dataValidation>
  </dataValidations>
  <hyperlinks>
    <hyperlink ref="W21" r:id="rId1" display="Aprendiz de Excel" xr:uid="{35EFDAFD-038C-4B19-92E1-6FBCFE635C9A}"/>
    <hyperlink ref="W23" r:id="rId2" display="Aprendiz de Excel" xr:uid="{170ED22A-1C49-421A-B6B5-837EB81F4A28}"/>
    <hyperlink ref="W23:W24" r:id="rId3" display="Vídeo YouTube" xr:uid="{8982333A-3825-4AAA-AA35-89B0DC537B86}"/>
    <hyperlink ref="W23:Y24" r:id="rId4" display="Vídeo YouTube" xr:uid="{62C1719F-E2BB-4A70-BF7F-6CD1810C7C8C}"/>
  </hyperlinks>
  <pageMargins left="0.7" right="0.7" top="0.75" bottom="0.75" header="0.3" footer="0.3"/>
  <pageSetup paperSize="9" orientation="portrait" r:id="rId5"/>
  <drawing r:id="rId6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5307E-7FE7-4BC3-84FE-BC2357F27671}">
  <dimension ref="A1:BD30"/>
  <sheetViews>
    <sheetView showGridLines="0" zoomScale="90" zoomScaleNormal="90" workbookViewId="0">
      <selection activeCell="T21" sqref="T21"/>
    </sheetView>
  </sheetViews>
  <sheetFormatPr baseColWidth="10" defaultColWidth="14.42578125" defaultRowHeight="15" customHeight="1" x14ac:dyDescent="0.25"/>
  <cols>
    <col min="1" max="1" width="3.5703125" style="28" customWidth="1"/>
    <col min="2" max="2" width="3.7109375" style="28" customWidth="1"/>
    <col min="3" max="3" width="7.7109375" style="28" customWidth="1"/>
    <col min="4" max="4" width="6.7109375" style="28" customWidth="1"/>
    <col min="5" max="5" width="2.7109375" style="28" customWidth="1"/>
    <col min="6" max="6" width="3.7109375" style="28" customWidth="1"/>
    <col min="7" max="7" width="19.7109375" style="28" customWidth="1"/>
    <col min="8" max="8" width="5.7109375" style="28" customWidth="1"/>
    <col min="9" max="9" width="2.7109375" style="28" customWidth="1"/>
    <col min="10" max="10" width="6.7109375" style="28" customWidth="1"/>
    <col min="11" max="11" width="2.7109375" style="28" customWidth="1"/>
    <col min="12" max="12" width="6.7109375" style="28" customWidth="1"/>
    <col min="13" max="13" width="2.7109375" style="28" customWidth="1"/>
    <col min="14" max="14" width="5.7109375" style="28" customWidth="1"/>
    <col min="15" max="15" width="19.7109375" style="28" customWidth="1"/>
    <col min="16" max="16" width="3.7109375" style="28" customWidth="1"/>
    <col min="17" max="17" width="2.5703125" style="28" customWidth="1"/>
    <col min="18" max="18" width="15.5703125" style="28" customWidth="1"/>
    <col min="19" max="19" width="2.7109375" style="28" customWidth="1"/>
    <col min="20" max="20" width="19.7109375" style="28" customWidth="1"/>
    <col min="21" max="21" width="5.7109375" style="28" customWidth="1"/>
    <col min="22" max="22" width="1.7109375" style="28" customWidth="1"/>
    <col min="23" max="29" width="4" style="28" customWidth="1"/>
    <col min="30" max="30" width="6" style="30" customWidth="1"/>
    <col min="31" max="32" width="5" style="29" customWidth="1"/>
    <col min="33" max="33" width="5" style="31" customWidth="1"/>
    <col min="34" max="34" width="14.85546875" style="31" customWidth="1"/>
    <col min="35" max="41" width="5" style="31" customWidth="1"/>
    <col min="42" max="42" width="8.5703125" style="31" customWidth="1"/>
    <col min="43" max="47" width="5" style="31" customWidth="1"/>
    <col min="48" max="49" width="8.5703125" style="31" customWidth="1"/>
    <col min="50" max="50" width="5" style="31" customWidth="1"/>
    <col min="52" max="52" width="7.7109375" style="31" customWidth="1"/>
    <col min="53" max="53" width="14.42578125" style="31"/>
    <col min="54" max="54" width="15" style="28" customWidth="1"/>
    <col min="55" max="16384" width="14.42578125" style="28"/>
  </cols>
  <sheetData>
    <row r="1" spans="1:56" s="153" customFormat="1" ht="27.75" customHeight="1" x14ac:dyDescent="0.25">
      <c r="A1" s="210" t="s">
        <v>314</v>
      </c>
      <c r="B1" s="211"/>
      <c r="C1" s="211"/>
      <c r="D1" s="211"/>
      <c r="E1" s="211"/>
      <c r="F1" s="211"/>
      <c r="G1" s="211"/>
      <c r="H1" s="211"/>
      <c r="I1" s="211"/>
      <c r="J1" s="211"/>
      <c r="K1" s="211"/>
      <c r="L1" s="211"/>
      <c r="M1" s="211"/>
      <c r="N1" s="211"/>
      <c r="O1" s="211"/>
      <c r="P1" s="211"/>
      <c r="Q1" s="211"/>
      <c r="R1" s="211"/>
      <c r="S1" s="211"/>
    </row>
    <row r="2" spans="1:56" s="33" customFormat="1" ht="18.75" x14ac:dyDescent="0.25">
      <c r="B2" s="127"/>
      <c r="C2"/>
      <c r="D2"/>
      <c r="E2"/>
      <c r="F2"/>
      <c r="G2"/>
      <c r="H2"/>
      <c r="I2"/>
      <c r="J2" s="159"/>
      <c r="K2" s="159"/>
      <c r="L2" s="159"/>
      <c r="M2" s="159"/>
      <c r="N2" s="159"/>
      <c r="O2" s="159"/>
      <c r="P2" s="159"/>
      <c r="Q2" s="159"/>
      <c r="R2" s="159"/>
      <c r="S2" s="159"/>
      <c r="T2" s="159"/>
      <c r="U2" s="159"/>
      <c r="V2" s="159"/>
      <c r="W2" s="303"/>
      <c r="X2" s="303"/>
      <c r="Y2" s="303"/>
      <c r="Z2" s="160"/>
      <c r="AA2" s="159"/>
      <c r="AB2" s="159"/>
      <c r="AC2" s="159"/>
      <c r="AD2" s="44"/>
      <c r="AE2" s="45"/>
      <c r="AF2" s="45"/>
      <c r="AG2" s="45"/>
      <c r="AH2" s="45"/>
      <c r="AI2" s="45"/>
      <c r="AJ2" s="45"/>
      <c r="AK2" s="45"/>
      <c r="AL2" s="45"/>
      <c r="AM2" s="45"/>
      <c r="AN2" s="45"/>
      <c r="AO2" s="45"/>
      <c r="AP2" s="45"/>
      <c r="AQ2" s="45"/>
      <c r="AR2" s="45"/>
      <c r="AS2" s="45"/>
      <c r="AT2" s="45"/>
      <c r="AU2" s="45"/>
      <c r="AV2" s="45"/>
      <c r="AW2" s="45"/>
      <c r="AX2" s="45"/>
      <c r="AY2" s="45"/>
      <c r="AZ2" s="45"/>
      <c r="BA2" s="45"/>
      <c r="BB2" s="127"/>
      <c r="BC2" s="127"/>
      <c r="BD2" s="127"/>
    </row>
    <row r="3" spans="1:56" s="33" customFormat="1" ht="35.25" customHeight="1" x14ac:dyDescent="0.25">
      <c r="B3" s="127"/>
      <c r="C3"/>
      <c r="D3"/>
      <c r="E3"/>
      <c r="F3"/>
      <c r="G3" s="161"/>
      <c r="H3" s="161"/>
      <c r="I3" s="161"/>
      <c r="J3"/>
      <c r="K3" s="162"/>
      <c r="L3" s="162"/>
      <c r="M3" s="162"/>
      <c r="N3" s="162"/>
      <c r="O3" s="162"/>
      <c r="P3" s="162"/>
      <c r="Q3" s="162"/>
      <c r="R3" s="162"/>
      <c r="S3" s="162"/>
      <c r="T3" s="159"/>
      <c r="U3" s="159"/>
      <c r="V3" s="159"/>
      <c r="W3" s="159"/>
      <c r="X3" s="159"/>
      <c r="Y3" s="159"/>
      <c r="Z3" s="159"/>
      <c r="AA3" s="159"/>
      <c r="AB3" s="159"/>
      <c r="AC3" s="159"/>
      <c r="AD3" s="44"/>
      <c r="AE3" s="46"/>
      <c r="AF3" s="46"/>
      <c r="AG3" s="46"/>
      <c r="AH3" s="45"/>
      <c r="AI3" s="45"/>
      <c r="AJ3" s="45"/>
      <c r="AK3" s="45"/>
      <c r="AL3" s="45"/>
      <c r="AM3" s="45"/>
      <c r="AN3" s="45"/>
      <c r="AO3" s="45"/>
      <c r="AP3" s="45"/>
      <c r="AQ3" s="45"/>
      <c r="AR3" s="45"/>
      <c r="AS3" s="45"/>
      <c r="AT3" s="45"/>
      <c r="AU3" s="45"/>
      <c r="AV3" s="45"/>
      <c r="AW3" s="45"/>
      <c r="AX3" s="45"/>
      <c r="AY3" s="45"/>
      <c r="AZ3" s="45"/>
      <c r="BA3" s="45"/>
      <c r="BB3" s="127"/>
      <c r="BC3" s="127"/>
      <c r="BD3" s="127"/>
    </row>
    <row r="4" spans="1:56" s="33" customFormat="1" x14ac:dyDescent="0.25">
      <c r="B4" s="127"/>
      <c r="C4"/>
      <c r="D4"/>
      <c r="E4"/>
      <c r="F4"/>
      <c r="G4"/>
      <c r="H4"/>
      <c r="I4"/>
      <c r="J4" s="159"/>
      <c r="K4" s="159"/>
      <c r="L4" s="159"/>
      <c r="M4" s="159"/>
      <c r="N4" s="159"/>
      <c r="O4" s="159"/>
      <c r="P4" s="159"/>
      <c r="Q4" s="159"/>
      <c r="R4" s="159"/>
      <c r="S4" s="159"/>
      <c r="T4" s="159"/>
      <c r="U4" s="159"/>
      <c r="V4" s="159"/>
      <c r="W4" s="159"/>
      <c r="X4" s="159"/>
      <c r="Y4" s="159"/>
      <c r="Z4" s="159"/>
      <c r="AA4" s="159"/>
      <c r="AB4" s="159"/>
      <c r="AC4" s="159"/>
      <c r="AD4" s="44"/>
      <c r="AE4" s="47"/>
      <c r="AF4" s="45"/>
      <c r="AG4" s="45"/>
      <c r="AH4" s="45"/>
      <c r="AI4" s="45"/>
      <c r="AJ4" s="45"/>
      <c r="AK4" s="45"/>
      <c r="AL4" s="45"/>
      <c r="AM4" s="45"/>
      <c r="AN4" s="45"/>
      <c r="AO4" s="45"/>
      <c r="AP4" s="45"/>
      <c r="AQ4" s="45"/>
      <c r="AR4" s="45"/>
      <c r="AS4" s="45"/>
      <c r="AT4" s="45"/>
      <c r="AU4" s="45"/>
      <c r="AV4" s="45"/>
      <c r="AW4" s="45"/>
      <c r="AX4" s="45"/>
      <c r="AY4" s="45"/>
      <c r="AZ4" s="45"/>
      <c r="BA4" s="45"/>
      <c r="BB4" s="127"/>
      <c r="BC4" s="127"/>
      <c r="BD4" s="127"/>
    </row>
    <row r="5" spans="1:56" s="33" customFormat="1" ht="15" customHeight="1" x14ac:dyDescent="0.25">
      <c r="B5" s="127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E5" s="47"/>
      <c r="AF5" s="45"/>
      <c r="AG5" s="45"/>
      <c r="AH5" s="45"/>
      <c r="AI5" s="45"/>
      <c r="AJ5" s="45"/>
      <c r="AK5" s="45"/>
      <c r="AL5" s="45"/>
      <c r="AM5" s="45"/>
      <c r="AN5" s="45"/>
      <c r="AO5" s="45"/>
      <c r="AP5" s="45"/>
      <c r="AQ5" s="45"/>
      <c r="AR5" s="45"/>
      <c r="AS5" s="45"/>
      <c r="AT5" s="45"/>
      <c r="AU5" s="45"/>
      <c r="AV5" s="45"/>
      <c r="AW5" s="45"/>
      <c r="AX5" s="45"/>
      <c r="AY5" s="264" t="s">
        <v>336</v>
      </c>
      <c r="AZ5" s="45"/>
      <c r="BA5" s="138">
        <f>VLOOKUP(BA8,$AH$10:$AW$16,15,0)</f>
        <v>0</v>
      </c>
      <c r="BB5" s="138">
        <f t="shared" ref="BB5:BD5" si="0">VLOOKUP(BB8,$AH$10:$AW$16,15,0)</f>
        <v>0</v>
      </c>
      <c r="BC5" s="138">
        <f t="shared" si="0"/>
        <v>0</v>
      </c>
      <c r="BD5" s="138">
        <f t="shared" si="0"/>
        <v>0</v>
      </c>
    </row>
    <row r="6" spans="1:56" s="30" customFormat="1" ht="15" customHeight="1" x14ac:dyDescent="0.25">
      <c r="B6" s="27"/>
      <c r="C6" s="32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/>
      <c r="T6" s="28"/>
      <c r="U6" s="28"/>
      <c r="V6" s="28"/>
      <c r="W6" s="28"/>
      <c r="X6" s="28"/>
      <c r="Y6" s="28"/>
      <c r="Z6" s="28"/>
      <c r="AA6" s="28"/>
      <c r="AB6" s="28"/>
      <c r="AC6" s="28"/>
      <c r="AD6" s="33"/>
      <c r="AE6" s="47"/>
      <c r="AF6" s="45"/>
      <c r="AG6" s="45"/>
      <c r="AH6" s="166" t="s">
        <v>15</v>
      </c>
      <c r="AI6" s="45"/>
      <c r="AJ6" s="45"/>
      <c r="AK6" s="45"/>
      <c r="AL6" s="45"/>
      <c r="AM6" s="45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64" t="s">
        <v>335</v>
      </c>
      <c r="AZ6" s="29"/>
      <c r="BA6" s="138">
        <f>VLOOKUP(BA8,$AH$10:$AW$16,14,0)</f>
        <v>6</v>
      </c>
      <c r="BB6" s="138">
        <f t="shared" ref="BB6:BD6" si="1">VLOOKUP(BB8,$AH$10:$AW$16,14,0)</f>
        <v>9</v>
      </c>
      <c r="BC6" s="138">
        <f t="shared" si="1"/>
        <v>0</v>
      </c>
      <c r="BD6" s="138">
        <f t="shared" si="1"/>
        <v>3</v>
      </c>
    </row>
    <row r="7" spans="1:56" s="30" customFormat="1" ht="22.15" customHeight="1" thickBot="1" x14ac:dyDescent="0.3">
      <c r="B7" s="107" t="s">
        <v>33</v>
      </c>
      <c r="C7" s="108" t="s">
        <v>34</v>
      </c>
      <c r="D7" s="108" t="s">
        <v>35</v>
      </c>
      <c r="E7" s="304" t="s">
        <v>36</v>
      </c>
      <c r="F7" s="305"/>
      <c r="G7" s="305"/>
      <c r="H7" s="305"/>
      <c r="I7" s="305"/>
      <c r="J7" s="305"/>
      <c r="K7" s="305"/>
      <c r="L7" s="305"/>
      <c r="M7" s="305"/>
      <c r="N7" s="305"/>
      <c r="O7" s="305"/>
      <c r="P7" s="305"/>
      <c r="Q7" s="306"/>
      <c r="R7" s="109" t="s">
        <v>37</v>
      </c>
      <c r="S7" s="34"/>
      <c r="T7" s="307" t="s">
        <v>38</v>
      </c>
      <c r="U7" s="305"/>
      <c r="V7" s="305"/>
      <c r="W7" s="308"/>
      <c r="X7" s="308"/>
      <c r="Y7" s="308"/>
      <c r="Z7" s="308"/>
      <c r="AA7" s="308"/>
      <c r="AB7" s="308"/>
      <c r="AC7" s="309"/>
      <c r="AD7" s="33"/>
      <c r="AE7" s="39"/>
      <c r="AF7" s="46"/>
      <c r="AG7" s="46"/>
      <c r="AH7" s="45"/>
      <c r="AI7" s="45"/>
      <c r="AJ7" s="45"/>
      <c r="AK7" s="45"/>
      <c r="AL7" s="45"/>
      <c r="AM7" s="45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138"/>
      <c r="BB7" s="138"/>
      <c r="BC7" s="138"/>
      <c r="BD7" s="138"/>
    </row>
    <row r="8" spans="1:56" s="30" customFormat="1" ht="15" customHeight="1" thickTop="1" x14ac:dyDescent="0.25"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35"/>
      <c r="U8" s="35"/>
      <c r="V8" s="35"/>
      <c r="W8" s="36" t="s">
        <v>41</v>
      </c>
      <c r="X8" s="37" t="s">
        <v>42</v>
      </c>
      <c r="Y8" s="37" t="s">
        <v>43</v>
      </c>
      <c r="Z8" s="37" t="s">
        <v>44</v>
      </c>
      <c r="AA8" s="38" t="s">
        <v>45</v>
      </c>
      <c r="AB8" s="38" t="s">
        <v>46</v>
      </c>
      <c r="AC8" s="38" t="s">
        <v>47</v>
      </c>
      <c r="AD8" s="33"/>
      <c r="AE8" s="39"/>
      <c r="AF8" s="46"/>
      <c r="AG8" s="46"/>
      <c r="AH8" s="174" t="s">
        <v>8</v>
      </c>
      <c r="AI8" s="175" t="s">
        <v>39</v>
      </c>
      <c r="AJ8" s="176" t="s">
        <v>41</v>
      </c>
      <c r="AK8" s="175" t="s">
        <v>42</v>
      </c>
      <c r="AL8" s="175" t="s">
        <v>43</v>
      </c>
      <c r="AM8" s="175" t="s">
        <v>44</v>
      </c>
      <c r="AN8" s="265" t="s">
        <v>45</v>
      </c>
      <c r="AO8" s="265" t="s">
        <v>46</v>
      </c>
      <c r="AP8" s="265" t="s">
        <v>333</v>
      </c>
      <c r="AQ8" s="265" t="s">
        <v>334</v>
      </c>
      <c r="AR8" s="265" t="s">
        <v>332</v>
      </c>
      <c r="AS8" s="265"/>
      <c r="AT8" s="265"/>
      <c r="AU8" s="29" t="s">
        <v>337</v>
      </c>
      <c r="AV8" s="29" t="s">
        <v>338</v>
      </c>
      <c r="AW8" s="29" t="s">
        <v>339</v>
      </c>
      <c r="AX8" s="29"/>
      <c r="AY8" s="29"/>
      <c r="AZ8" s="29"/>
      <c r="BA8" s="138" t="str">
        <f>AH10</f>
        <v>Fluminense</v>
      </c>
      <c r="BB8" s="140" t="str">
        <f>AH12</f>
        <v>Borussia Dortmund</v>
      </c>
      <c r="BC8" s="140" t="str">
        <f>AH14</f>
        <v>Ulsan HD</v>
      </c>
      <c r="BD8" s="140" t="str">
        <f>AH16</f>
        <v>Mamelodi Sundowns</v>
      </c>
    </row>
    <row r="9" spans="1:56" s="30" customFormat="1" ht="10.15" customHeight="1" x14ac:dyDescent="0.25">
      <c r="B9" s="163" t="str" cm="1">
        <f t="array" ref="B9:B21">_xlfn.REDUCE("",_xlfn.TAKE(_xlfn._xlws.FILTER(Aux!M:T,Aux!T:T=AH6),,1),_xlfn.LAMBDA(_xlpm.t,_xlpm.p,_xlfn.VSTACK(_xlpm.t,_xlpm.p,"")))</f>
        <v/>
      </c>
      <c r="C9" s="96"/>
      <c r="D9" s="97"/>
      <c r="E9" s="99"/>
      <c r="F9" s="99"/>
      <c r="G9" s="98"/>
      <c r="H9" s="98"/>
      <c r="I9" s="98"/>
      <c r="J9" s="99"/>
      <c r="K9" s="99"/>
      <c r="L9" s="99"/>
      <c r="M9" s="99"/>
      <c r="N9" s="99"/>
      <c r="O9" s="100"/>
      <c r="P9" s="100"/>
      <c r="Q9" s="100"/>
      <c r="R9" s="101"/>
      <c r="S9"/>
      <c r="T9" s="20"/>
      <c r="U9" s="88"/>
      <c r="V9" s="89"/>
      <c r="W9" s="21"/>
      <c r="X9" s="22"/>
      <c r="Y9" s="22"/>
      <c r="Z9" s="22"/>
      <c r="AA9" s="23"/>
      <c r="AB9" s="23"/>
      <c r="AC9" s="23"/>
      <c r="AD9" s="33"/>
      <c r="AE9" s="39"/>
      <c r="AF9" s="46"/>
      <c r="AG9" s="46"/>
      <c r="AH9" s="174"/>
      <c r="AI9" s="175"/>
      <c r="AJ9" s="176"/>
      <c r="AK9" s="175"/>
      <c r="AL9" s="175"/>
      <c r="AM9" s="175"/>
      <c r="AN9" s="139"/>
      <c r="AO9" s="139"/>
      <c r="AP9" s="29"/>
      <c r="AQ9" s="29"/>
      <c r="AR9" s="29"/>
      <c r="AS9" s="139"/>
      <c r="AT9" s="139"/>
      <c r="AU9" s="139"/>
      <c r="AV9" s="29"/>
      <c r="AW9" s="29"/>
      <c r="AX9" s="29"/>
      <c r="AY9" s="29"/>
      <c r="AZ9" s="29"/>
      <c r="BA9" s="138"/>
      <c r="BB9" s="140"/>
      <c r="BC9" s="140"/>
      <c r="BD9" s="140"/>
    </row>
    <row r="10" spans="1:56" s="30" customFormat="1" ht="22.15" customHeight="1" x14ac:dyDescent="0.25">
      <c r="B10" s="164">
        <v>9</v>
      </c>
      <c r="C10" s="7">
        <f>VLOOKUP(B10,Aux!M:AH,4,0)</f>
        <v>45825.75</v>
      </c>
      <c r="D10" s="8">
        <f>VLOOKUP(B10,Aux!M:AH,4,0)</f>
        <v>45825.75</v>
      </c>
      <c r="E10" s="102"/>
      <c r="F10" s="102" t="e" vm="9">
        <f>IFERROR(VLOOKUP(G10,Aux!$A:$X,8,0),"")</f>
        <v>#VALUE!</v>
      </c>
      <c r="G10" s="157" t="str">
        <f>VLOOKUP(B10,Aux!M:Y,5,0)</f>
        <v>Fluminense</v>
      </c>
      <c r="H10" s="154" t="e" vm="36">
        <f>IFERROR(VLOOKUP(G10,Aux!$A:$C,3,0),"")</f>
        <v>#VALUE!</v>
      </c>
      <c r="I10" s="154"/>
      <c r="J10" s="203">
        <v>1</v>
      </c>
      <c r="K10" s="145" t="s">
        <v>40</v>
      </c>
      <c r="L10" s="203">
        <v>2</v>
      </c>
      <c r="M10" s="16"/>
      <c r="N10" s="154" t="e" vm="37">
        <f>IFERROR(VLOOKUP(O10,Aux!$A:$C,3,0),"")</f>
        <v>#VALUE!</v>
      </c>
      <c r="O10" s="155" t="str">
        <f>VLOOKUP(B10,Aux!M:Y,6,0)</f>
        <v>Borussia Dortmund</v>
      </c>
      <c r="P10" s="102" t="e" vm="18">
        <f>IFERROR(VLOOKUP(O10,Aux!$A:$X,8,0),"")</f>
        <v>#VALUE!</v>
      </c>
      <c r="Q10" s="16"/>
      <c r="R10" s="24" t="str">
        <f>VLOOKUP(B10,Aux!M:Y,7,0)</f>
        <v>MetLife Stadium</v>
      </c>
      <c r="S10"/>
      <c r="T10" s="240" t="str">
        <f>INDEX($AH$10:$AH$17,MATCH(1,$AY$10:$AY$16,0))</f>
        <v>Borussia Dortmund</v>
      </c>
      <c r="U10" s="91" t="e" vm="37">
        <f>IFERROR(VLOOKUP(T10,Aux!A:C,3,0),"")</f>
        <v>#VALUE!</v>
      </c>
      <c r="V10" s="92"/>
      <c r="W10" s="93">
        <f>VLOOKUP($T10,$AH$10:$AO$16,3,0)</f>
        <v>9</v>
      </c>
      <c r="X10" s="94">
        <f>VLOOKUP($T10,$AH$10:$AO$16,4,0)</f>
        <v>3</v>
      </c>
      <c r="Y10" s="94">
        <f>VLOOKUP($T10,$AH$10:$AO$16,5,0)</f>
        <v>0</v>
      </c>
      <c r="Z10" s="94">
        <f>VLOOKUP($T10,$AH$10:$AO$16,6,0)</f>
        <v>0</v>
      </c>
      <c r="AA10" s="95">
        <f>VLOOKUP($T10,$AH$10:$AO$16,7,0)</f>
        <v>9</v>
      </c>
      <c r="AB10" s="95">
        <f>VLOOKUP($T10,$AH$10:$AO$16,8,0)</f>
        <v>1</v>
      </c>
      <c r="AC10" s="95">
        <f>AA10-AB10</f>
        <v>8</v>
      </c>
      <c r="AD10" s="33"/>
      <c r="AE10" s="47"/>
      <c r="AF10" s="45"/>
      <c r="AG10" s="45">
        <v>1</v>
      </c>
      <c r="AH10" s="177" t="str">
        <f>VLOOKUP($AH$6&amp;AG10,Aux!Z:AA,2,0)</f>
        <v>Fluminense</v>
      </c>
      <c r="AI10" s="45">
        <f>AK10+AL10+AM10</f>
        <v>3</v>
      </c>
      <c r="AJ10" s="45">
        <f>AK10*3+AL10</f>
        <v>6</v>
      </c>
      <c r="AK10" s="45" cm="1">
        <f t="array" ref="AK10">SUM(($G$10:$G$23=$AH10)*($J$10:$J$23&gt;$L$10:$L$23)+($O$10:$O$23=$AH10)*($J$10:$J$23&lt;$L$10:$L$23))</f>
        <v>2</v>
      </c>
      <c r="AL10" s="45" cm="1">
        <f t="array" ref="AL10">SUM(($G$10:$G$23=$AH10)*($J$10:$J$23=$L$10:$L$23)*($J$10:$J$23&lt;&gt;"")+($O$10:$O$23=$AH10)*($J$10:$J$23=$L$10:$L$23)*($J$10:$J$23&lt;&gt;""))</f>
        <v>0</v>
      </c>
      <c r="AM10" s="45" cm="1">
        <f t="array" ref="AM10">SUM(($G$10:$G$23=$AH10)*($J$10:$J$23&lt;$L$10:$L$23)+($O$10:$O$23=$AH10)*($J$10:$J$23&gt;$L$10:$L$23))</f>
        <v>1</v>
      </c>
      <c r="AN10" s="29" cm="1">
        <f t="array" ref="AN10">SUM(($G$10:$G$23=$AH10)*($J$10:$J$23)+($O$10:$O$23=$AH10)*($L$10:$L$23))</f>
        <v>8</v>
      </c>
      <c r="AO10" s="29" cm="1">
        <f t="array" ref="AO10">SUM(($G$10:$G$23=$AH10)*($L$10:$L$23)+($O$10:$O$23=$AH10)*($J$10:$J$23))</f>
        <v>3</v>
      </c>
      <c r="AP10" s="141">
        <f>AN10-AO10</f>
        <v>5</v>
      </c>
      <c r="AQ10" s="138">
        <v>0</v>
      </c>
      <c r="AR10" s="141">
        <f>+AW10+AV10+AU10</f>
        <v>6.0006050799999997</v>
      </c>
      <c r="AS10" s="29"/>
      <c r="AT10" s="29"/>
      <c r="AU10" s="141">
        <f>+AJ10</f>
        <v>6</v>
      </c>
      <c r="AV10" s="141">
        <f>SUMIFS($BA10:$BD10,$BA$6:$BD$6,AJ10)/1000</f>
        <v>0</v>
      </c>
      <c r="AW10" s="141">
        <f>SUMIFS($BA10:$BD10,$BA$5:$BD$5,AV10)/1000000</f>
        <v>6.0507999999999992E-4</v>
      </c>
      <c r="AX10" s="29">
        <f>_xlfn.RANK.EQ(AJ10,$AJ$10:$AJ$16)+_xlfn.RANK.EQ(AR10,$AR$10:$AR$16)/10+_xlfn.RANK.EQ(AP10,$AP$10:$AP$16)/1000+_xlfn.RANK.EQ(AN10,$AN$10:$AN$16)/100000+_xlfn.RANK.EQ(AQ10,$AQ$10:$AQ$16)/100000+ROW()/1000000</f>
        <v>2.2020400000000002</v>
      </c>
      <c r="AY10" s="29">
        <f>_xlfn.RANK.EQ(AX10,$AX$10:$AX$16,1)</f>
        <v>2</v>
      </c>
      <c r="AZ10" s="29"/>
      <c r="BA10" s="29" cm="1">
        <f t="array" ref="BA10">(SUM(($G$10:$G$23=$AH10)*($J$10:$J$23&gt;$L$10:$L$23)*($O$10:$O$23=BA$8)+($O$10:$O$23=$AH10)*($J$10:$J$23&lt;$L$10:$L$23)*($G$10:$G$23=BA$8)))*300+
(SUM(($G$10:$G$23=$AH10)*($J$10:$J$23=$L$10:$L$23)*($O$10:$O$23=BA$8)+($O$10:$O$23=$AH10)*($J$10:$J$23=$L$10:$L$23)*($G$10:$G$23=BA$8)))*100
+SUM(($G$10:$G$23=$AH10)*($J$10:$J$23)*($O$10:$O$23=BA$8)+($O$10:$O$23=$AH10)*($L$10:$L$23)*($G$10:$G$23=BA$8))
-SUM(($G$10:$G$23=$AH10)*($L$10:$L$23)*($O$10:$O$23=BA$8)+($O$10:$O$23=$AH10)*($J$10:$J$23)*($G$10:$G$23=BA$8))
+SUM(($G$10:$G$23=$AH10)*($J$10:$J$23)*($O$10:$O$23=BA$8)+($O$10:$O$23=$AH10)*($L$10:$L$23)*($G$10:$G$23=BA$8))/100</f>
        <v>0</v>
      </c>
      <c r="BB10" s="29" cm="1">
        <f t="array" ref="BB10">(SUM(($G$10:$G$23=$AH10)*($J$10:$J$23&gt;$L$10:$L$23)*($O$10:$O$23=BB$8)+($O$10:$O$23=$AH10)*($J$10:$J$23&lt;$L$10:$L$23)*($G$10:$G$23=BB$8)))*300+
(SUM(($G$10:$G$23=$AH10)*($J$10:$J$23=$L$10:$L$23)*($O$10:$O$23=BB$8)+($O$10:$O$23=$AH10)*($J$10:$J$23=$L$10:$L$23)*($G$10:$G$23=BB$8)))*100
+SUM(($G$10:$G$23=$AH10)*($J$10:$J$23)*($O$10:$O$23=BB$8)+($O$10:$O$23=$AH10)*($L$10:$L$23)*($G$10:$G$23=BB$8))
-SUM(($G$10:$G$23=$AH10)*($L$10:$L$23)*($O$10:$O$23=BB$8)+($O$10:$O$23=$AH10)*($J$10:$J$23)*($G$10:$G$23=BB$8))
+SUM(($G$10:$G$23=$AH10)*($J$10:$J$23)*($O$10:$O$23=BB$8)+($O$10:$O$23=$AH10)*($L$10:$L$23)*($G$10:$G$23=BB$8))/100</f>
        <v>-0.99</v>
      </c>
      <c r="BC10" s="29" cm="1">
        <f t="array" ref="BC10">(SUM(($G$10:$G$23=$AH10)*($J$10:$J$23&gt;$L$10:$L$23)*($O$10:$O$23=BC$8)+($O$10:$O$23=$AH10)*($J$10:$J$23&lt;$L$10:$L$23)*($G$10:$G$23=BC$8)))*300+
(SUM(($G$10:$G$23=$AH10)*($J$10:$J$23=$L$10:$L$23)*($O$10:$O$23=BC$8)+($O$10:$O$23=$AH10)*($J$10:$J$23=$L$10:$L$23)*($G$10:$G$23=BC$8)))*100
+SUM(($G$10:$G$23=$AH10)*($J$10:$J$23)*($O$10:$O$23=BC$8)+($O$10:$O$23=$AH10)*($L$10:$L$23)*($G$10:$G$23=BC$8))
-SUM(($G$10:$G$23=$AH10)*($L$10:$L$23)*($O$10:$O$23=BC$8)+($O$10:$O$23=$AH10)*($J$10:$J$23)*($G$10:$G$23=BC$8))
+SUM(($G$10:$G$23=$AH10)*($J$10:$J$23)*($O$10:$O$23=BC$8)+($O$10:$O$23=$AH10)*($L$10:$L$23)*($G$10:$G$23=BC$8))/100</f>
        <v>303.02999999999997</v>
      </c>
      <c r="BD10" s="29" cm="1">
        <f t="array" ref="BD10">(SUM(($G$10:$G$23=$AH10)*($J$10:$J$23&gt;$L$10:$L$23)*($O$10:$O$23=BD$8)+($O$10:$O$23=$AH10)*($J$10:$J$23&lt;$L$10:$L$23)*($G$10:$G$23=BD$8)))*300+
(SUM(($G$10:$G$23=$AH10)*($J$10:$J$23=$L$10:$L$23)*($O$10:$O$23=BD$8)+($O$10:$O$23=$AH10)*($J$10:$J$23=$L$10:$L$23)*($G$10:$G$23=BD$8)))*100
+SUM(($G$10:$G$23=$AH10)*($J$10:$J$23)*($O$10:$O$23=BD$8)+($O$10:$O$23=$AH10)*($L$10:$L$23)*($G$10:$G$23=BD$8))
-SUM(($G$10:$G$23=$AH10)*($L$10:$L$23)*($O$10:$O$23=BD$8)+($O$10:$O$23=$AH10)*($J$10:$J$23)*($G$10:$G$23=BD$8))
+SUM(($G$10:$G$23=$AH10)*($J$10:$J$23)*($O$10:$O$23=BD$8)+($O$10:$O$23=$AH10)*($L$10:$L$23)*($G$10:$G$23=BD$8))/100</f>
        <v>303.04000000000002</v>
      </c>
    </row>
    <row r="11" spans="1:56" s="30" customFormat="1" ht="10.15" customHeight="1" x14ac:dyDescent="0.25">
      <c r="B11" s="164" t="str">
        <v/>
      </c>
      <c r="C11" s="7"/>
      <c r="D11" s="8"/>
      <c r="E11" s="102"/>
      <c r="F11" s="102"/>
      <c r="G11" s="157"/>
      <c r="H11" s="9"/>
      <c r="I11" s="9"/>
      <c r="J11" s="154"/>
      <c r="K11" s="9"/>
      <c r="L11" s="154"/>
      <c r="M11" s="16"/>
      <c r="N11" s="154"/>
      <c r="O11" s="155"/>
      <c r="P11" s="16"/>
      <c r="Q11" s="16"/>
      <c r="R11" s="24"/>
      <c r="S11"/>
      <c r="T11" s="240"/>
      <c r="U11" s="91"/>
      <c r="V11" s="92"/>
      <c r="W11" s="93"/>
      <c r="X11" s="94"/>
      <c r="Y11" s="94"/>
      <c r="Z11" s="94"/>
      <c r="AA11" s="95"/>
      <c r="AB11" s="95"/>
      <c r="AC11" s="95"/>
      <c r="AD11" s="33"/>
      <c r="AE11" s="47"/>
      <c r="AF11" s="45"/>
      <c r="AG11" s="45"/>
      <c r="AH11" s="177"/>
      <c r="AI11" s="45"/>
      <c r="AJ11" s="45"/>
      <c r="AK11" s="45"/>
      <c r="AL11" s="45"/>
      <c r="AM11" s="45"/>
      <c r="AN11" s="29"/>
      <c r="AO11" s="29"/>
      <c r="AP11" s="141"/>
      <c r="AQ11" s="138"/>
      <c r="AR11" s="141"/>
      <c r="AS11" s="29"/>
      <c r="AT11" s="29"/>
      <c r="AU11" s="29"/>
      <c r="AV11" s="141"/>
      <c r="AW11" s="141"/>
      <c r="AX11" s="29"/>
      <c r="AY11" s="29"/>
      <c r="AZ11" s="29"/>
      <c r="BA11" s="29"/>
      <c r="BB11" s="29"/>
      <c r="BC11" s="29"/>
      <c r="BD11" s="29"/>
    </row>
    <row r="12" spans="1:56" s="30" customFormat="1" ht="22.15" customHeight="1" x14ac:dyDescent="0.25">
      <c r="B12" s="164">
        <v>11</v>
      </c>
      <c r="C12" s="7">
        <f>VLOOKUP(B12,Aux!M:AH,4,0)</f>
        <v>45826</v>
      </c>
      <c r="D12" s="8">
        <f>VLOOKUP(B12,Aux!M:AH,4,0)</f>
        <v>45826</v>
      </c>
      <c r="E12" s="102"/>
      <c r="F12" s="102" t="e" vm="38">
        <f>IFERROR(VLOOKUP(G12,Aux!$A:$X,8,0),"")</f>
        <v>#VALUE!</v>
      </c>
      <c r="G12" s="157" t="str">
        <f>VLOOKUP(B12,Aux!M:Y,5,0)</f>
        <v>Ulsan HD</v>
      </c>
      <c r="H12" s="154" t="e" vm="39">
        <f>IFERROR(VLOOKUP(G12,Aux!$A:$C,3,0),"")</f>
        <v>#VALUE!</v>
      </c>
      <c r="I12" s="154"/>
      <c r="J12" s="203">
        <v>1</v>
      </c>
      <c r="K12" s="145" t="s">
        <v>40</v>
      </c>
      <c r="L12" s="203">
        <v>2</v>
      </c>
      <c r="M12" s="16"/>
      <c r="N12" s="154" t="e" vm="40">
        <f>IFERROR(VLOOKUP(O12,Aux!$A:$C,3,0),"")</f>
        <v>#VALUE!</v>
      </c>
      <c r="O12" s="155" t="str">
        <f>VLOOKUP(B12,Aux!M:Y,6,0)</f>
        <v>Mamelodi Sundowns</v>
      </c>
      <c r="P12" s="102" t="e" vm="41">
        <f>IFERROR(VLOOKUP(O12,Aux!$A:$X,8,0),"")</f>
        <v>#VALUE!</v>
      </c>
      <c r="Q12" s="16"/>
      <c r="R12" s="24" t="str">
        <f>VLOOKUP(B12,Aux!M:Y,7,0)</f>
        <v>Inter&amp;Co Stadium</v>
      </c>
      <c r="S12"/>
      <c r="T12" s="240" t="str">
        <f>INDEX($AH$10:$AH$17,MATCH(2,$AY$10:$AY$16,0))</f>
        <v>Fluminense</v>
      </c>
      <c r="U12" s="91" t="e" vm="36">
        <f>IFERROR(VLOOKUP(T12,Aux!A:C,3,0),"")</f>
        <v>#VALUE!</v>
      </c>
      <c r="V12" s="92"/>
      <c r="W12" s="93">
        <f>VLOOKUP($T12,$AH$10:$AO$16,3,0)</f>
        <v>6</v>
      </c>
      <c r="X12" s="94">
        <f>VLOOKUP($T12,$AH$10:$AO$16,4,0)</f>
        <v>2</v>
      </c>
      <c r="Y12" s="94">
        <f>VLOOKUP($T12,$AH$10:$AO$16,5,0)</f>
        <v>0</v>
      </c>
      <c r="Z12" s="94">
        <f>VLOOKUP($T12,$AH$10:$AO$16,6,0)</f>
        <v>1</v>
      </c>
      <c r="AA12" s="95">
        <f>VLOOKUP($T12,$AH$10:$AO$16,7,0)</f>
        <v>8</v>
      </c>
      <c r="AB12" s="95">
        <f>VLOOKUP($T12,$AH$10:$AO$16,8,0)</f>
        <v>3</v>
      </c>
      <c r="AC12" s="95">
        <f>AA12-AB12</f>
        <v>5</v>
      </c>
      <c r="AD12" s="33"/>
      <c r="AE12" s="39"/>
      <c r="AF12" s="46"/>
      <c r="AG12" s="45">
        <v>2</v>
      </c>
      <c r="AH12" s="177" t="str">
        <f>VLOOKUP($AH$6&amp;AG12,Aux!Z:AA,2,0)</f>
        <v>Borussia Dortmund</v>
      </c>
      <c r="AI12" s="45">
        <f>AK12+AL12+AM12</f>
        <v>3</v>
      </c>
      <c r="AJ12" s="45">
        <f>AK12*3+AL12</f>
        <v>9</v>
      </c>
      <c r="AK12" s="45" cm="1">
        <f t="array" ref="AK12">SUM(($G$10:$G$23=$AH12)*($J$10:$J$23&gt;$L$10:$L$23)+($O$10:$O$23=$AH12)*($J$10:$J$23&lt;$L$10:$L$23))</f>
        <v>3</v>
      </c>
      <c r="AL12" s="45" cm="1">
        <f t="array" ref="AL12">SUM(($G$10:$G$23=$AH12)*($J$10:$J$23=$L$10:$L$23)*($J$10:$J$23&lt;&gt;"")+($O$10:$O$23=$AH12)*($J$10:$J$23=$L$10:$L$23)*($J$10:$J$23&lt;&gt;""))</f>
        <v>0</v>
      </c>
      <c r="AM12" s="45" cm="1">
        <f t="array" ref="AM12">SUM(($G$10:$G$23=$AH12)*($J$10:$J$23&lt;$L$10:$L$23)+($O$10:$O$23=$AH12)*($J$10:$J$23&gt;$L$10:$L$23))</f>
        <v>0</v>
      </c>
      <c r="AN12" s="29" cm="1">
        <f t="array" ref="AN12">SUM(($G$10:$G$23=$AH12)*($J$10:$J$23)+($O$10:$O$23=$AH12)*($L$10:$L$23))</f>
        <v>9</v>
      </c>
      <c r="AO12" s="29" cm="1">
        <f t="array" ref="AO12">SUM(($G$10:$G$23=$AH12)*($L$10:$L$23)+($O$10:$O$23=$AH12)*($J$10:$J$23))</f>
        <v>1</v>
      </c>
      <c r="AP12" s="141">
        <f>AN12-AO12</f>
        <v>8</v>
      </c>
      <c r="AQ12" s="138">
        <v>0</v>
      </c>
      <c r="AR12" s="141">
        <f>+AW12+AV12+AU12</f>
        <v>9.0009080899999994</v>
      </c>
      <c r="AS12" s="29"/>
      <c r="AT12" s="29"/>
      <c r="AU12" s="141">
        <f>+AJ12</f>
        <v>9</v>
      </c>
      <c r="AV12" s="141">
        <f>SUMIFS($BA12:$BD12,$BA$6:$BD$6,AJ12)/1000</f>
        <v>0</v>
      </c>
      <c r="AW12" s="141">
        <f>SUMIFS($BA12:$BD12,$BA$5:$BD$5,AV12)/1000000</f>
        <v>9.0808999999999996E-4</v>
      </c>
      <c r="AX12" s="29">
        <f>_xlfn.RANK.EQ(AJ12,$AJ$10:$AJ$16)+_xlfn.RANK.EQ(AR12,$AR$10:$AR$16)/10+_xlfn.RANK.EQ(AP12,$AP$10:$AP$16)/1000+_xlfn.RANK.EQ(AN12,$AN$10:$AN$16)/100000+_xlfn.RANK.EQ(AQ12,$AQ$10:$AQ$16)/100000+ROW()/1000000</f>
        <v>1.101032</v>
      </c>
      <c r="AY12" s="29">
        <f>_xlfn.RANK.EQ(AX12,$AX$10:$AX$16,1)</f>
        <v>1</v>
      </c>
      <c r="AZ12" s="29"/>
      <c r="BA12" s="29" cm="1">
        <f t="array" ref="BA12">(SUM(($G$10:$G$23=$AH12)*($J$10:$J$23&gt;$L$10:$L$23)*($O$10:$O$23=BA$8)+($O$10:$O$23=$AH12)*($J$10:$J$23&lt;$L$10:$L$23)*($G$10:$G$23=BA$8)))*300+
(SUM(($G$10:$G$23=$AH12)*($J$10:$J$23=$L$10:$L$23)*($O$10:$O$23=BA$8)+($O$10:$O$23=$AH12)*($J$10:$J$23=$L$10:$L$23)*($G$10:$G$23=BA$8)))*100
+SUM(($G$10:$G$23=$AH12)*($J$10:$J$23)*($O$10:$O$23=BA$8)+($O$10:$O$23=$AH12)*($L$10:$L$23)*($G$10:$G$23=BA$8))
-SUM(($G$10:$G$23=$AH12)*($L$10:$L$23)*($O$10:$O$23=BA$8)+($O$10:$O$23=$AH12)*($J$10:$J$23)*($G$10:$G$23=BA$8))
+SUM(($G$10:$G$23=$AH12)*($J$10:$J$23)*($O$10:$O$23=BA$8)+($O$10:$O$23=$AH12)*($L$10:$L$23)*($G$10:$G$23=BA$8))/100</f>
        <v>301.02</v>
      </c>
      <c r="BB12" s="29" cm="1">
        <f t="array" ref="BB12">(SUM(($G$10:$G$23=$AH12)*($J$10:$J$23&gt;$L$10:$L$23)*($O$10:$O$23=BB$8)+($O$10:$O$23=$AH12)*($J$10:$J$23&lt;$L$10:$L$23)*($G$10:$G$23=BB$8)))*300+
(SUM(($G$10:$G$23=$AH12)*($J$10:$J$23=$L$10:$L$23)*($O$10:$O$23=BB$8)+($O$10:$O$23=$AH12)*($J$10:$J$23=$L$10:$L$23)*($G$10:$G$23=BB$8)))*100
+SUM(($G$10:$G$23=$AH12)*($J$10:$J$23)*($O$10:$O$23=BB$8)+($O$10:$O$23=$AH12)*($L$10:$L$23)*($G$10:$G$23=BB$8))
-SUM(($G$10:$G$23=$AH12)*($L$10:$L$23)*($O$10:$O$23=BB$8)+($O$10:$O$23=$AH12)*($J$10:$J$23)*($G$10:$G$23=BB$8))
+SUM(($G$10:$G$23=$AH12)*($J$10:$J$23)*($O$10:$O$23=BB$8)+($O$10:$O$23=$AH12)*($L$10:$L$23)*($G$10:$G$23=BB$8))/100</f>
        <v>0</v>
      </c>
      <c r="BC12" s="29" cm="1">
        <f t="array" ref="BC12">(SUM(($G$10:$G$23=$AH12)*($J$10:$J$23&gt;$L$10:$L$23)*($O$10:$O$23=BC$8)+($O$10:$O$23=$AH12)*($J$10:$J$23&lt;$L$10:$L$23)*($G$10:$G$23=BC$8)))*300+
(SUM(($G$10:$G$23=$AH12)*($J$10:$J$23=$L$10:$L$23)*($O$10:$O$23=BC$8)+($O$10:$O$23=$AH12)*($J$10:$J$23=$L$10:$L$23)*($G$10:$G$23=BC$8)))*100
+SUM(($G$10:$G$23=$AH12)*($J$10:$J$23)*($O$10:$O$23=BC$8)+($O$10:$O$23=$AH12)*($L$10:$L$23)*($G$10:$G$23=BC$8))
-SUM(($G$10:$G$23=$AH12)*($L$10:$L$23)*($O$10:$O$23=BC$8)+($O$10:$O$23=$AH12)*($J$10:$J$23)*($G$10:$G$23=BC$8))
+SUM(($G$10:$G$23=$AH12)*($J$10:$J$23)*($O$10:$O$23=BC$8)+($O$10:$O$23=$AH12)*($L$10:$L$23)*($G$10:$G$23=BC$8))/100</f>
        <v>303.02999999999997</v>
      </c>
      <c r="BD12" s="29" cm="1">
        <f t="array" ref="BD12">(SUM(($G$10:$G$23=$AH12)*($J$10:$J$23&gt;$L$10:$L$23)*($O$10:$O$23=BD$8)+($O$10:$O$23=$AH12)*($J$10:$J$23&lt;$L$10:$L$23)*($G$10:$G$23=BD$8)))*300+
(SUM(($G$10:$G$23=$AH12)*($J$10:$J$23=$L$10:$L$23)*($O$10:$O$23=BD$8)+($O$10:$O$23=$AH12)*($J$10:$J$23=$L$10:$L$23)*($G$10:$G$23=BD$8)))*100
+SUM(($G$10:$G$23=$AH12)*($J$10:$J$23)*($O$10:$O$23=BD$8)+($O$10:$O$23=$AH12)*($L$10:$L$23)*($G$10:$G$23=BD$8))
-SUM(($G$10:$G$23=$AH12)*($L$10:$L$23)*($O$10:$O$23=BD$8)+($O$10:$O$23=$AH12)*($J$10:$J$23)*($G$10:$G$23=BD$8))
+SUM(($G$10:$G$23=$AH12)*($J$10:$J$23)*($O$10:$O$23=BD$8)+($O$10:$O$23=$AH12)*($L$10:$L$23)*($G$10:$G$23=BD$8))/100</f>
        <v>304.04000000000002</v>
      </c>
    </row>
    <row r="13" spans="1:56" s="30" customFormat="1" ht="10.15" customHeight="1" x14ac:dyDescent="0.25">
      <c r="B13" s="164" t="str">
        <v/>
      </c>
      <c r="C13" s="10"/>
      <c r="D13" s="11"/>
      <c r="E13" s="103"/>
      <c r="F13" s="103"/>
      <c r="G13" s="158"/>
      <c r="H13" s="12"/>
      <c r="I13" s="12"/>
      <c r="J13" s="145"/>
      <c r="K13" s="145"/>
      <c r="L13" s="145"/>
      <c r="M13" s="16"/>
      <c r="N13" s="154"/>
      <c r="O13" s="156"/>
      <c r="P13" s="17"/>
      <c r="Q13" s="17"/>
      <c r="R13" s="25"/>
      <c r="S13"/>
      <c r="T13" s="240"/>
      <c r="U13" s="91"/>
      <c r="V13" s="92"/>
      <c r="W13" s="93"/>
      <c r="X13" s="94"/>
      <c r="Y13" s="94"/>
      <c r="Z13" s="94"/>
      <c r="AA13" s="95"/>
      <c r="AB13" s="95"/>
      <c r="AC13" s="95"/>
      <c r="AD13" s="33"/>
      <c r="AE13" s="39"/>
      <c r="AF13" s="46"/>
      <c r="AG13" s="45"/>
      <c r="AH13" s="177"/>
      <c r="AI13" s="45"/>
      <c r="AJ13" s="45"/>
      <c r="AK13" s="45"/>
      <c r="AL13" s="45"/>
      <c r="AM13" s="45"/>
      <c r="AN13" s="29"/>
      <c r="AO13" s="29"/>
      <c r="AP13" s="141"/>
      <c r="AQ13" s="138"/>
      <c r="AR13" s="141"/>
      <c r="AS13" s="29"/>
      <c r="AT13" s="29"/>
      <c r="AU13" s="29"/>
      <c r="AV13" s="141"/>
      <c r="AW13" s="141"/>
      <c r="AX13" s="29"/>
      <c r="AY13" s="29"/>
      <c r="AZ13" s="29"/>
      <c r="BA13" s="29"/>
      <c r="BB13" s="29"/>
      <c r="BC13" s="29"/>
      <c r="BD13" s="29"/>
    </row>
    <row r="14" spans="1:56" s="30" customFormat="1" ht="22.15" customHeight="1" x14ac:dyDescent="0.25">
      <c r="B14" s="164">
        <v>25</v>
      </c>
      <c r="C14" s="7">
        <f>VLOOKUP(B14,Aux!M:AH,4,0)</f>
        <v>45829.75</v>
      </c>
      <c r="D14" s="8">
        <f>VLOOKUP(B14,Aux!M:AH,4,0)</f>
        <v>45829.75</v>
      </c>
      <c r="E14" s="102"/>
      <c r="F14" s="102" t="e" vm="41">
        <f>IFERROR(VLOOKUP(G14,Aux!$A:$X,8,0),"")</f>
        <v>#VALUE!</v>
      </c>
      <c r="G14" s="157" t="str">
        <f>VLOOKUP(B14,Aux!M:Y,5,0)</f>
        <v>Mamelodi Sundowns</v>
      </c>
      <c r="H14" s="154" t="e" vm="40">
        <f>IFERROR(VLOOKUP(G14,Aux!$A:$C,3,0),"")</f>
        <v>#VALUE!</v>
      </c>
      <c r="I14" s="154"/>
      <c r="J14" s="203">
        <v>0</v>
      </c>
      <c r="K14" s="145" t="s">
        <v>40</v>
      </c>
      <c r="L14" s="203">
        <v>4</v>
      </c>
      <c r="M14" s="16"/>
      <c r="N14" s="154" t="e" vm="37">
        <f>IFERROR(VLOOKUP(O14,Aux!$A:$C,3,0),"")</f>
        <v>#VALUE!</v>
      </c>
      <c r="O14" s="155" t="str">
        <f>VLOOKUP(B14,Aux!M:Y,6,0)</f>
        <v>Borussia Dortmund</v>
      </c>
      <c r="P14" s="102" t="e" vm="18">
        <f>IFERROR(VLOOKUP(O14,Aux!$A:$X,8,0),"")</f>
        <v>#VALUE!</v>
      </c>
      <c r="Q14" s="16"/>
      <c r="R14" s="24" t="str">
        <f>VLOOKUP(B14,Aux!M:Y,7,0)</f>
        <v>TQL Stadium</v>
      </c>
      <c r="S14"/>
      <c r="T14" s="240" t="str">
        <f>INDEX($AH$10:$AH$17,MATCH(3,$AY$10:$AY$16,0))</f>
        <v>Mamelodi Sundowns</v>
      </c>
      <c r="U14" s="91" t="e" vm="40">
        <f>IFERROR(VLOOKUP(T14,Aux!A:C,3,0),"")</f>
        <v>#VALUE!</v>
      </c>
      <c r="V14" s="92"/>
      <c r="W14" s="93">
        <f>VLOOKUP($T14,$AH$10:$AO$16,3,0)</f>
        <v>3</v>
      </c>
      <c r="X14" s="94">
        <f>VLOOKUP($T14,$AH$10:$AO$16,4,0)</f>
        <v>1</v>
      </c>
      <c r="Y14" s="94">
        <f>VLOOKUP($T14,$AH$10:$AO$16,5,0)</f>
        <v>0</v>
      </c>
      <c r="Z14" s="94">
        <f>VLOOKUP($T14,$AH$10:$AO$16,6,0)</f>
        <v>2</v>
      </c>
      <c r="AA14" s="95">
        <f>VLOOKUP($T14,$AH$10:$AO$16,7,0)</f>
        <v>3</v>
      </c>
      <c r="AB14" s="95">
        <f>VLOOKUP($T14,$AH$10:$AO$16,8,0)</f>
        <v>9</v>
      </c>
      <c r="AC14" s="95">
        <f>AA14-AB14</f>
        <v>-6</v>
      </c>
      <c r="AD14" s="33"/>
      <c r="AE14" s="47"/>
      <c r="AF14" s="45"/>
      <c r="AG14" s="45">
        <v>3</v>
      </c>
      <c r="AH14" s="177" t="str">
        <f>VLOOKUP($AH$6&amp;AG14,Aux!Z:AA,2,0)</f>
        <v>Ulsan HD</v>
      </c>
      <c r="AI14" s="45">
        <f>AK14+AL14+AM14</f>
        <v>3</v>
      </c>
      <c r="AJ14" s="45">
        <f>AK14*3+AL14</f>
        <v>0</v>
      </c>
      <c r="AK14" s="45" cm="1">
        <f t="array" ref="AK14">SUM(($G$10:$G$23=$AH14)*($J$10:$J$23&gt;$L$10:$L$23)+($O$10:$O$23=$AH14)*($J$10:$J$23&lt;$L$10:$L$23))</f>
        <v>0</v>
      </c>
      <c r="AL14" s="45" cm="1">
        <f t="array" ref="AL14">SUM(($G$10:$G$23=$AH14)*($J$10:$J$23=$L$10:$L$23)*($J$10:$J$23&lt;&gt;"")+($O$10:$O$23=$AH14)*($J$10:$J$23=$L$10:$L$23)*($J$10:$J$23&lt;&gt;""))</f>
        <v>0</v>
      </c>
      <c r="AM14" s="45" cm="1">
        <f t="array" ref="AM14">SUM(($G$10:$G$23=$AH14)*($J$10:$J$23&lt;$L$10:$L$23)+($O$10:$O$23=$AH14)*($J$10:$J$23&gt;$L$10:$L$23))</f>
        <v>3</v>
      </c>
      <c r="AN14" s="29" cm="1">
        <f t="array" ref="AN14">SUM(($G$10:$G$23=$AH14)*($J$10:$J$23)+($O$10:$O$23=$AH14)*($L$10:$L$23))</f>
        <v>1</v>
      </c>
      <c r="AO14" s="29" cm="1">
        <f t="array" ref="AO14">SUM(($G$10:$G$23=$AH14)*($L$10:$L$23)+($O$10:$O$23=$AH14)*($J$10:$J$23))</f>
        <v>8</v>
      </c>
      <c r="AP14" s="141">
        <f>AN14-AO14</f>
        <v>-7</v>
      </c>
      <c r="AQ14" s="138">
        <v>0</v>
      </c>
      <c r="AR14" s="141">
        <f>+AW14+AV14+AU14</f>
        <v>-6.99E-6</v>
      </c>
      <c r="AS14" s="29"/>
      <c r="AT14" s="29"/>
      <c r="AU14" s="141">
        <f>+AJ14</f>
        <v>0</v>
      </c>
      <c r="AV14" s="141">
        <f>SUMIFS($BA14:$BD14,$BA$6:$BD$6,AJ14)/1000</f>
        <v>0</v>
      </c>
      <c r="AW14" s="141">
        <f>SUMIFS($BA14:$BD14,$BA$5:$BD$5,AV14)/1000000</f>
        <v>-6.99E-6</v>
      </c>
      <c r="AX14" s="29">
        <f>_xlfn.RANK.EQ(AJ14,$AJ$10:$AJ$16)+_xlfn.RANK.EQ(AR14,$AR$10:$AR$16)/10+_xlfn.RANK.EQ(AP14,$AP$10:$AP$16)/1000+_xlfn.RANK.EQ(AN14,$AN$10:$AN$16)/100000+_xlfn.RANK.EQ(AQ14,$AQ$10:$AQ$16)/100000+ROW()/1000000</f>
        <v>4.404064</v>
      </c>
      <c r="AY14" s="29">
        <f>_xlfn.RANK.EQ(AX14,$AX$10:$AX$16,1)</f>
        <v>4</v>
      </c>
      <c r="AZ14" s="29"/>
      <c r="BA14" s="29" cm="1">
        <f t="array" ref="BA14">(SUM(($G$10:$G$23=$AH14)*($J$10:$J$23&gt;$L$10:$L$23)*($O$10:$O$23=BA$8)+($O$10:$O$23=$AH14)*($J$10:$J$23&lt;$L$10:$L$23)*($G$10:$G$23=BA$8)))*300+
(SUM(($G$10:$G$23=$AH14)*($J$10:$J$23=$L$10:$L$23)*($O$10:$O$23=BA$8)+($O$10:$O$23=$AH14)*($J$10:$J$23=$L$10:$L$23)*($G$10:$G$23=BA$8)))*100
+SUM(($G$10:$G$23=$AH14)*($J$10:$J$23)*($O$10:$O$23=BA$8)+($O$10:$O$23=$AH14)*($L$10:$L$23)*($G$10:$G$23=BA$8))
-SUM(($G$10:$G$23=$AH14)*($L$10:$L$23)*($O$10:$O$23=BA$8)+($O$10:$O$23=$AH14)*($J$10:$J$23)*($G$10:$G$23=BA$8))
+SUM(($G$10:$G$23=$AH14)*($J$10:$J$23)*($O$10:$O$23=BA$8)+($O$10:$O$23=$AH14)*($L$10:$L$23)*($G$10:$G$23=BA$8))/100</f>
        <v>-3</v>
      </c>
      <c r="BB14" s="29" cm="1">
        <f t="array" ref="BB14">(SUM(($G$10:$G$23=$AH14)*($J$10:$J$23&gt;$L$10:$L$23)*($O$10:$O$23=BB$8)+($O$10:$O$23=$AH14)*($J$10:$J$23&lt;$L$10:$L$23)*($G$10:$G$23=BB$8)))*300+
(SUM(($G$10:$G$23=$AH14)*($J$10:$J$23=$L$10:$L$23)*($O$10:$O$23=BB$8)+($O$10:$O$23=$AH14)*($J$10:$J$23=$L$10:$L$23)*($G$10:$G$23=BB$8)))*100
+SUM(($G$10:$G$23=$AH14)*($J$10:$J$23)*($O$10:$O$23=BB$8)+($O$10:$O$23=$AH14)*($L$10:$L$23)*($G$10:$G$23=BB$8))
-SUM(($G$10:$G$23=$AH14)*($L$10:$L$23)*($O$10:$O$23=BB$8)+($O$10:$O$23=$AH14)*($J$10:$J$23)*($G$10:$G$23=BB$8))
+SUM(($G$10:$G$23=$AH14)*($J$10:$J$23)*($O$10:$O$23=BB$8)+($O$10:$O$23=$AH14)*($L$10:$L$23)*($G$10:$G$23=BB$8))/100</f>
        <v>-3</v>
      </c>
      <c r="BC14" s="29" cm="1">
        <f t="array" ref="BC14">(SUM(($G$10:$G$23=$AH14)*($J$10:$J$23&gt;$L$10:$L$23)*($O$10:$O$23=BC$8)+($O$10:$O$23=$AH14)*($J$10:$J$23&lt;$L$10:$L$23)*($G$10:$G$23=BC$8)))*300+
(SUM(($G$10:$G$23=$AH14)*($J$10:$J$23=$L$10:$L$23)*($O$10:$O$23=BC$8)+($O$10:$O$23=$AH14)*($J$10:$J$23=$L$10:$L$23)*($G$10:$G$23=BC$8)))*100
+SUM(($G$10:$G$23=$AH14)*($J$10:$J$23)*($O$10:$O$23=BC$8)+($O$10:$O$23=$AH14)*($L$10:$L$23)*($G$10:$G$23=BC$8))
-SUM(($G$10:$G$23=$AH14)*($L$10:$L$23)*($O$10:$O$23=BC$8)+($O$10:$O$23=$AH14)*($J$10:$J$23)*($G$10:$G$23=BC$8))
+SUM(($G$10:$G$23=$AH14)*($J$10:$J$23)*($O$10:$O$23=BC$8)+($O$10:$O$23=$AH14)*($L$10:$L$23)*($G$10:$G$23=BC$8))/100</f>
        <v>0</v>
      </c>
      <c r="BD14" s="29" cm="1">
        <f t="array" ref="BD14">(SUM(($G$10:$G$23=$AH14)*($J$10:$J$23&gt;$L$10:$L$23)*($O$10:$O$23=BD$8)+($O$10:$O$23=$AH14)*($J$10:$J$23&lt;$L$10:$L$23)*($G$10:$G$23=BD$8)))*300+
(SUM(($G$10:$G$23=$AH14)*($J$10:$J$23=$L$10:$L$23)*($O$10:$O$23=BD$8)+($O$10:$O$23=$AH14)*($J$10:$J$23=$L$10:$L$23)*($G$10:$G$23=BD$8)))*100
+SUM(($G$10:$G$23=$AH14)*($J$10:$J$23)*($O$10:$O$23=BD$8)+($O$10:$O$23=$AH14)*($L$10:$L$23)*($G$10:$G$23=BD$8))
-SUM(($G$10:$G$23=$AH14)*($L$10:$L$23)*($O$10:$O$23=BD$8)+($O$10:$O$23=$AH14)*($J$10:$J$23)*($G$10:$G$23=BD$8))
+SUM(($G$10:$G$23=$AH14)*($J$10:$J$23)*($O$10:$O$23=BD$8)+($O$10:$O$23=$AH14)*($L$10:$L$23)*($G$10:$G$23=BD$8))/100</f>
        <v>-0.99</v>
      </c>
    </row>
    <row r="15" spans="1:56" s="30" customFormat="1" ht="10.15" customHeight="1" x14ac:dyDescent="0.25">
      <c r="B15" s="164" t="str">
        <v/>
      </c>
      <c r="C15" s="7"/>
      <c r="D15" s="8"/>
      <c r="E15" s="102"/>
      <c r="F15" s="102"/>
      <c r="G15" s="157"/>
      <c r="H15" s="9"/>
      <c r="I15" s="9"/>
      <c r="J15" s="154"/>
      <c r="K15" s="9"/>
      <c r="L15" s="154"/>
      <c r="M15" s="16"/>
      <c r="N15" s="154"/>
      <c r="O15" s="155"/>
      <c r="P15" s="16"/>
      <c r="Q15" s="16"/>
      <c r="R15" s="24"/>
      <c r="S15"/>
      <c r="T15" s="240"/>
      <c r="U15" s="91"/>
      <c r="V15" s="92"/>
      <c r="W15" s="93"/>
      <c r="X15" s="94"/>
      <c r="Y15" s="94"/>
      <c r="Z15" s="94"/>
      <c r="AA15" s="95"/>
      <c r="AB15" s="95"/>
      <c r="AC15" s="95"/>
      <c r="AD15" s="33"/>
      <c r="AE15" s="47"/>
      <c r="AF15" s="45"/>
      <c r="AG15" s="45"/>
      <c r="AH15" s="177"/>
      <c r="AI15" s="45"/>
      <c r="AJ15" s="45"/>
      <c r="AK15" s="45"/>
      <c r="AL15" s="45"/>
      <c r="AM15" s="45"/>
      <c r="AN15" s="29"/>
      <c r="AO15" s="29"/>
      <c r="AP15" s="141"/>
      <c r="AQ15" s="138"/>
      <c r="AR15" s="141"/>
      <c r="AS15" s="29"/>
      <c r="AT15" s="29"/>
      <c r="AU15" s="29"/>
      <c r="AV15" s="141"/>
      <c r="AW15" s="141"/>
      <c r="AX15" s="29"/>
      <c r="AY15" s="29"/>
      <c r="AZ15" s="29"/>
      <c r="BA15" s="29"/>
      <c r="BB15" s="29"/>
      <c r="BC15" s="29"/>
      <c r="BD15" s="29"/>
    </row>
    <row r="16" spans="1:56" s="30" customFormat="1" ht="22.15" customHeight="1" x14ac:dyDescent="0.25">
      <c r="B16" s="164">
        <v>27</v>
      </c>
      <c r="C16" s="7">
        <f>VLOOKUP(B16,Aux!M:AH,4,0)</f>
        <v>45830</v>
      </c>
      <c r="D16" s="8">
        <f>VLOOKUP(B16,Aux!M:AH,4,0)</f>
        <v>45830</v>
      </c>
      <c r="E16" s="102"/>
      <c r="F16" s="102" t="e" vm="9">
        <f>IFERROR(VLOOKUP(G16,Aux!$A:$X,8,0),"")</f>
        <v>#VALUE!</v>
      </c>
      <c r="G16" s="157" t="str">
        <f>VLOOKUP(B16,Aux!M:Y,5,0)</f>
        <v>Fluminense</v>
      </c>
      <c r="H16" s="154" t="e" vm="36">
        <f>IFERROR(VLOOKUP(G16,Aux!$A:$C,3,0),"")</f>
        <v>#VALUE!</v>
      </c>
      <c r="I16" s="154"/>
      <c r="J16" s="203">
        <v>3</v>
      </c>
      <c r="K16" s="145" t="s">
        <v>40</v>
      </c>
      <c r="L16" s="203">
        <v>0</v>
      </c>
      <c r="M16" s="16"/>
      <c r="N16" s="154" t="e" vm="39">
        <f>IFERROR(VLOOKUP(O16,Aux!$A:$C,3,0),"")</f>
        <v>#VALUE!</v>
      </c>
      <c r="O16" s="155" t="str">
        <f>VLOOKUP(B16,Aux!M:Y,6,0)</f>
        <v>Ulsan HD</v>
      </c>
      <c r="P16" s="102" t="e" vm="38">
        <f>IFERROR(VLOOKUP(O16,Aux!$A:$X,8,0),"")</f>
        <v>#VALUE!</v>
      </c>
      <c r="Q16" s="16"/>
      <c r="R16" s="24" t="str">
        <f>VLOOKUP(B16,Aux!M:Y,7,0)</f>
        <v>MetLife Stadium</v>
      </c>
      <c r="S16"/>
      <c r="T16" s="240" t="str">
        <f>INDEX($AH$10:$AH$17,MATCH(4,$AY$10:$AY$16,0))</f>
        <v>Ulsan HD</v>
      </c>
      <c r="U16" s="91" t="e" vm="39">
        <f>IFERROR(VLOOKUP(T16,Aux!A:C,3,0),"")</f>
        <v>#VALUE!</v>
      </c>
      <c r="V16" s="92"/>
      <c r="W16" s="93">
        <f>VLOOKUP($T16,$AH$10:$AO$16,3,0)</f>
        <v>0</v>
      </c>
      <c r="X16" s="94">
        <f>VLOOKUP($T16,$AH$10:$AO$16,4,0)</f>
        <v>0</v>
      </c>
      <c r="Y16" s="94">
        <f>VLOOKUP($T16,$AH$10:$AO$16,5,0)</f>
        <v>0</v>
      </c>
      <c r="Z16" s="94">
        <f>VLOOKUP($T16,$AH$10:$AO$16,6,0)</f>
        <v>3</v>
      </c>
      <c r="AA16" s="95">
        <f>VLOOKUP($T16,$AH$10:$AO$16,7,0)</f>
        <v>1</v>
      </c>
      <c r="AB16" s="95">
        <f>VLOOKUP($T16,$AH$10:$AO$16,8,0)</f>
        <v>8</v>
      </c>
      <c r="AC16" s="95">
        <f>AA16-AB16</f>
        <v>-7</v>
      </c>
      <c r="AD16" s="33"/>
      <c r="AE16" s="39"/>
      <c r="AF16" s="46"/>
      <c r="AG16" s="45">
        <v>4</v>
      </c>
      <c r="AH16" s="177" t="str">
        <f>VLOOKUP($AH$6&amp;AG16,Aux!Z:AA,2,0)</f>
        <v>Mamelodi Sundowns</v>
      </c>
      <c r="AI16" s="45">
        <f>AK16+AL16+AM16</f>
        <v>3</v>
      </c>
      <c r="AJ16" s="45">
        <f>AK16*3+AL16</f>
        <v>3</v>
      </c>
      <c r="AK16" s="45" cm="1">
        <f t="array" ref="AK16">SUM(($G$10:$G$23=$AH16)*($J$10:$J$23&gt;$L$10:$L$23)+($O$10:$O$23=$AH16)*($J$10:$J$23&lt;$L$10:$L$23))</f>
        <v>1</v>
      </c>
      <c r="AL16" s="45" cm="1">
        <f t="array" ref="AL16">SUM(($G$10:$G$23=$AH16)*($J$10:$J$23=$L$10:$L$23)*($J$10:$J$23&lt;&gt;"")+($O$10:$O$23=$AH16)*($J$10:$J$23=$L$10:$L$23)*($J$10:$J$23&lt;&gt;""))</f>
        <v>0</v>
      </c>
      <c r="AM16" s="45" cm="1">
        <f t="array" ref="AM16">SUM(($G$10:$G$23=$AH16)*($J$10:$J$23&lt;$L$10:$L$23)+($O$10:$O$23=$AH16)*($J$10:$J$23&gt;$L$10:$L$23))</f>
        <v>2</v>
      </c>
      <c r="AN16" s="29" cm="1">
        <f t="array" ref="AN16">SUM(($G$10:$G$23=$AH16)*($J$10:$J$23)+($O$10:$O$23=$AH16)*($L$10:$L$23))</f>
        <v>3</v>
      </c>
      <c r="AO16" s="29" cm="1">
        <f t="array" ref="AO16">SUM(($G$10:$G$23=$AH16)*($L$10:$L$23)+($O$10:$O$23=$AH16)*($J$10:$J$23))</f>
        <v>9</v>
      </c>
      <c r="AP16" s="141">
        <f>AN16-AO16</f>
        <v>-6</v>
      </c>
      <c r="AQ16" s="138">
        <v>0</v>
      </c>
      <c r="AR16" s="141">
        <f>+AW16+AV16+AU16</f>
        <v>3.0002940300000001</v>
      </c>
      <c r="AS16" s="29"/>
      <c r="AT16" s="29"/>
      <c r="AU16" s="141">
        <f>+AJ16</f>
        <v>3</v>
      </c>
      <c r="AV16" s="141">
        <f>SUMIFS($BA16:$BD16,$BA$6:$BD$6,AJ16)/1000</f>
        <v>0</v>
      </c>
      <c r="AW16" s="141">
        <f>SUMIFS($BA16:$BD16,$BA$5:$BD$5,AV16)/1000000</f>
        <v>2.9402999999999997E-4</v>
      </c>
      <c r="AX16" s="29">
        <f>_xlfn.RANK.EQ(AJ16,$AJ$10:$AJ$16)+_xlfn.RANK.EQ(AR16,$AR$10:$AR$16)/10+_xlfn.RANK.EQ(AP16,$AP$10:$AP$16)/1000+_xlfn.RANK.EQ(AN16,$AN$10:$AN$16)/100000+_xlfn.RANK.EQ(AQ16,$AQ$10:$AQ$16)/100000+ROW()/1000000</f>
        <v>3.3030560000000002</v>
      </c>
      <c r="AY16" s="29">
        <f>_xlfn.RANK.EQ(AX16,$AX$10:$AX$16,1)</f>
        <v>3</v>
      </c>
      <c r="AZ16" s="29"/>
      <c r="BA16" s="29" cm="1">
        <f t="array" ref="BA16">(SUM(($G$10:$G$23=$AH16)*($J$10:$J$23&gt;$L$10:$L$23)*($O$10:$O$23=BA$8)+($O$10:$O$23=$AH16)*($J$10:$J$23&lt;$L$10:$L$23)*($G$10:$G$23=BA$8)))*300+
(SUM(($G$10:$G$23=$AH16)*($J$10:$J$23=$L$10:$L$23)*($O$10:$O$23=BA$8)+($O$10:$O$23=$AH16)*($J$10:$J$23=$L$10:$L$23)*($G$10:$G$23=BA$8)))*100
+SUM(($G$10:$G$23=$AH16)*($J$10:$J$23)*($O$10:$O$23=BA$8)+($O$10:$O$23=$AH16)*($L$10:$L$23)*($G$10:$G$23=BA$8))
-SUM(($G$10:$G$23=$AH16)*($L$10:$L$23)*($O$10:$O$23=BA$8)+($O$10:$O$23=$AH16)*($J$10:$J$23)*($G$10:$G$23=BA$8))
+SUM(($G$10:$G$23=$AH16)*($J$10:$J$23)*($O$10:$O$23=BA$8)+($O$10:$O$23=$AH16)*($L$10:$L$23)*($G$10:$G$23=BA$8))/100</f>
        <v>-2.99</v>
      </c>
      <c r="BB16" s="29" cm="1">
        <f t="array" ref="BB16">(SUM(($G$10:$G$23=$AH16)*($J$10:$J$23&gt;$L$10:$L$23)*($O$10:$O$23=BB$8)+($O$10:$O$23=$AH16)*($J$10:$J$23&lt;$L$10:$L$23)*($G$10:$G$23=BB$8)))*300+
(SUM(($G$10:$G$23=$AH16)*($J$10:$J$23=$L$10:$L$23)*($O$10:$O$23=BB$8)+($O$10:$O$23=$AH16)*($J$10:$J$23=$L$10:$L$23)*($G$10:$G$23=BB$8)))*100
+SUM(($G$10:$G$23=$AH16)*($J$10:$J$23)*($O$10:$O$23=BB$8)+($O$10:$O$23=$AH16)*($L$10:$L$23)*($G$10:$G$23=BB$8))
-SUM(($G$10:$G$23=$AH16)*($L$10:$L$23)*($O$10:$O$23=BB$8)+($O$10:$O$23=$AH16)*($J$10:$J$23)*($G$10:$G$23=BB$8))
+SUM(($G$10:$G$23=$AH16)*($J$10:$J$23)*($O$10:$O$23=BB$8)+($O$10:$O$23=$AH16)*($L$10:$L$23)*($G$10:$G$23=BB$8))/100</f>
        <v>-4</v>
      </c>
      <c r="BC16" s="29" cm="1">
        <f t="array" ref="BC16">(SUM(($G$10:$G$23=$AH16)*($J$10:$J$23&gt;$L$10:$L$23)*($O$10:$O$23=BC$8)+($O$10:$O$23=$AH16)*($J$10:$J$23&lt;$L$10:$L$23)*($G$10:$G$23=BC$8)))*300+
(SUM(($G$10:$G$23=$AH16)*($J$10:$J$23=$L$10:$L$23)*($O$10:$O$23=BC$8)+($O$10:$O$23=$AH16)*($J$10:$J$23=$L$10:$L$23)*($G$10:$G$23=BC$8)))*100
+SUM(($G$10:$G$23=$AH16)*($J$10:$J$23)*($O$10:$O$23=BC$8)+($O$10:$O$23=$AH16)*($L$10:$L$23)*($G$10:$G$23=BC$8))
-SUM(($G$10:$G$23=$AH16)*($L$10:$L$23)*($O$10:$O$23=BC$8)+($O$10:$O$23=$AH16)*($J$10:$J$23)*($G$10:$G$23=BC$8))
+SUM(($G$10:$G$23=$AH16)*($J$10:$J$23)*($O$10:$O$23=BC$8)+($O$10:$O$23=$AH16)*($L$10:$L$23)*($G$10:$G$23=BC$8))/100</f>
        <v>301.02</v>
      </c>
      <c r="BD16" s="29" cm="1">
        <f t="array" ref="BD16">(SUM(($G$10:$G$23=$AH16)*($J$10:$J$23&gt;$L$10:$L$23)*($O$10:$O$23=BD$8)+($O$10:$O$23=$AH16)*($J$10:$J$23&lt;$L$10:$L$23)*($G$10:$G$23=BD$8)))*300+
(SUM(($G$10:$G$23=$AH16)*($J$10:$J$23=$L$10:$L$23)*($O$10:$O$23=BD$8)+($O$10:$O$23=$AH16)*($J$10:$J$23=$L$10:$L$23)*($G$10:$G$23=BD$8)))*100
+SUM(($G$10:$G$23=$AH16)*($J$10:$J$23)*($O$10:$O$23=BD$8)+($O$10:$O$23=$AH16)*($L$10:$L$23)*($G$10:$G$23=BD$8))
-SUM(($G$10:$G$23=$AH16)*($L$10:$L$23)*($O$10:$O$23=BD$8)+($O$10:$O$23=$AH16)*($J$10:$J$23)*($G$10:$G$23=BD$8))
+SUM(($G$10:$G$23=$AH16)*($J$10:$J$23)*($O$10:$O$23=BD$8)+($O$10:$O$23=$AH16)*($L$10:$L$23)*($G$10:$G$23=BD$8))/100</f>
        <v>0</v>
      </c>
    </row>
    <row r="17" spans="2:56" s="30" customFormat="1" ht="10.15" customHeight="1" x14ac:dyDescent="0.25">
      <c r="B17" s="164" t="str">
        <v/>
      </c>
      <c r="C17" s="10"/>
      <c r="D17" s="11"/>
      <c r="E17" s="103"/>
      <c r="F17" s="103"/>
      <c r="G17" s="158"/>
      <c r="H17" s="12"/>
      <c r="I17" s="12"/>
      <c r="J17" s="145"/>
      <c r="K17" s="145"/>
      <c r="L17" s="145"/>
      <c r="M17" s="16"/>
      <c r="N17" s="154"/>
      <c r="O17" s="156"/>
      <c r="P17" s="17"/>
      <c r="Q17" s="17"/>
      <c r="R17" s="25"/>
      <c r="S17"/>
      <c r="T17" s="90"/>
      <c r="U17" s="91"/>
      <c r="V17" s="92"/>
      <c r="W17" s="93"/>
      <c r="X17" s="94"/>
      <c r="Y17" s="94"/>
      <c r="Z17" s="94"/>
      <c r="AA17" s="95"/>
      <c r="AB17" s="95"/>
      <c r="AC17" s="95"/>
      <c r="AD17" s="33"/>
      <c r="AE17" s="39"/>
      <c r="AF17" s="46"/>
      <c r="AG17" s="45"/>
      <c r="AH17" s="177"/>
      <c r="AI17" s="45"/>
      <c r="AJ17" s="45"/>
      <c r="AK17" s="45"/>
      <c r="AL17" s="45"/>
      <c r="AM17" s="45"/>
      <c r="AN17" s="29"/>
      <c r="AO17" s="29"/>
      <c r="AP17" s="141"/>
      <c r="AQ17" s="29"/>
      <c r="AR17" s="29"/>
      <c r="AS17" s="29"/>
      <c r="AT17" s="29"/>
      <c r="AU17" s="29"/>
      <c r="AV17" s="141"/>
      <c r="AW17" s="29"/>
      <c r="AX17" s="29"/>
      <c r="AY17" s="29"/>
      <c r="AZ17" s="29"/>
      <c r="BA17" s="29"/>
      <c r="BB17" s="29"/>
      <c r="BC17" s="29"/>
      <c r="BD17" s="29"/>
    </row>
    <row r="18" spans="2:56" s="30" customFormat="1" ht="22.15" customHeight="1" thickBot="1" x14ac:dyDescent="0.3">
      <c r="B18" s="164">
        <v>41</v>
      </c>
      <c r="C18" s="7">
        <f>VLOOKUP(B18,Aux!M:AH,4,0)</f>
        <v>45833.875</v>
      </c>
      <c r="D18" s="8">
        <f>VLOOKUP(B18,Aux!M:AH,4,0)</f>
        <v>45833.875</v>
      </c>
      <c r="E18" s="102"/>
      <c r="F18" s="102" t="e" vm="18">
        <f>IFERROR(VLOOKUP(G18,Aux!$A:$X,8,0),"")</f>
        <v>#VALUE!</v>
      </c>
      <c r="G18" s="157" t="str">
        <f>VLOOKUP(B18,Aux!M:Y,5,0)</f>
        <v>Borussia Dortmund</v>
      </c>
      <c r="H18" s="154" t="e" vm="37">
        <f>IFERROR(VLOOKUP(G18,Aux!$A:$C,3,0),"")</f>
        <v>#VALUE!</v>
      </c>
      <c r="I18" s="154"/>
      <c r="J18" s="203">
        <v>3</v>
      </c>
      <c r="K18" s="145" t="s">
        <v>40</v>
      </c>
      <c r="L18" s="203">
        <v>0</v>
      </c>
      <c r="M18" s="16"/>
      <c r="N18" s="154" t="e" vm="39">
        <f>IFERROR(VLOOKUP(O18,Aux!$A:$C,3,0),"")</f>
        <v>#VALUE!</v>
      </c>
      <c r="O18" s="155" t="str">
        <f>VLOOKUP(B18,Aux!M:Y,6,0)</f>
        <v>Ulsan HD</v>
      </c>
      <c r="P18" s="102" t="e" vm="38">
        <f>IFERROR(VLOOKUP(O18,Aux!$A:$X,8,0),"")</f>
        <v>#VALUE!</v>
      </c>
      <c r="Q18" s="16"/>
      <c r="R18" s="24" t="str">
        <f>VLOOKUP(B18,Aux!M:Y,7,0)</f>
        <v>TQL Stadium</v>
      </c>
      <c r="S18"/>
      <c r="T18" s="310"/>
      <c r="U18" s="310"/>
      <c r="V18" s="310"/>
      <c r="W18" s="310"/>
      <c r="X18" s="310"/>
      <c r="Y18" s="310"/>
      <c r="Z18" s="310"/>
      <c r="AA18" s="310"/>
      <c r="AB18" s="310"/>
      <c r="AC18" s="310"/>
      <c r="AD18" s="33"/>
      <c r="AE18" s="33"/>
      <c r="AF18" s="45"/>
      <c r="AG18" s="45"/>
      <c r="AH18" s="45"/>
      <c r="AI18" s="45"/>
      <c r="AJ18" s="45"/>
      <c r="AK18" s="45"/>
      <c r="AL18" s="45"/>
      <c r="AM18" s="45"/>
      <c r="AN18" s="29"/>
      <c r="AO18" s="29"/>
      <c r="AP18" s="29"/>
      <c r="AQ18" s="29"/>
      <c r="AR18" s="29"/>
      <c r="AS18" s="29"/>
      <c r="AT18" s="29"/>
      <c r="AU18" s="29"/>
      <c r="AV18" s="29"/>
      <c r="AW18" s="29"/>
      <c r="AX18" s="29"/>
      <c r="AY18" s="29"/>
      <c r="AZ18" s="29"/>
      <c r="BA18" s="29"/>
      <c r="BB18" s="29"/>
      <c r="BC18" s="29"/>
      <c r="BD18" s="29"/>
    </row>
    <row r="19" spans="2:56" s="30" customFormat="1" ht="10.15" customHeight="1" thickTop="1" x14ac:dyDescent="0.25">
      <c r="B19" s="164" t="str">
        <v/>
      </c>
      <c r="C19" s="10"/>
      <c r="D19" s="11"/>
      <c r="E19" s="103"/>
      <c r="F19" s="103"/>
      <c r="G19" s="158"/>
      <c r="H19" s="12"/>
      <c r="I19" s="12"/>
      <c r="J19" s="145"/>
      <c r="K19" s="145"/>
      <c r="L19" s="145"/>
      <c r="M19" s="16"/>
      <c r="N19" s="154"/>
      <c r="O19" s="155"/>
      <c r="P19" s="17"/>
      <c r="Q19" s="17"/>
      <c r="R19" s="25"/>
      <c r="S19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33"/>
      <c r="AE19" s="33"/>
      <c r="AF19" s="45"/>
      <c r="AG19" s="45"/>
      <c r="AH19" s="45"/>
      <c r="AI19" s="45"/>
      <c r="AJ19" s="45"/>
      <c r="AK19" s="45"/>
      <c r="AL19" s="45"/>
      <c r="AM19" s="45"/>
      <c r="AN19" s="29"/>
      <c r="AO19" s="29"/>
      <c r="AP19" s="29"/>
      <c r="AQ19" s="29"/>
      <c r="AR19" s="29"/>
      <c r="AS19" s="29"/>
      <c r="AT19" s="29"/>
      <c r="AU19" s="29"/>
      <c r="AV19" s="29"/>
      <c r="AW19" s="29"/>
      <c r="AX19" s="29"/>
      <c r="AY19" s="29"/>
      <c r="AZ19" s="29"/>
      <c r="BA19" s="45"/>
      <c r="BB19" s="127"/>
      <c r="BC19" s="127"/>
      <c r="BD19" s="127"/>
    </row>
    <row r="20" spans="2:56" s="30" customFormat="1" ht="22.15" customHeight="1" x14ac:dyDescent="0.25">
      <c r="B20" s="164">
        <v>42</v>
      </c>
      <c r="C20" s="7">
        <f>VLOOKUP(B20,Aux!M:AH,4,0)</f>
        <v>45833.875</v>
      </c>
      <c r="D20" s="8">
        <f>VLOOKUP(B20,Aux!M:AH,4,0)</f>
        <v>45833.875</v>
      </c>
      <c r="E20" s="102"/>
      <c r="F20" s="102" t="e" vm="41">
        <f>IFERROR(VLOOKUP(G20,Aux!$A:$X,8,0),"")</f>
        <v>#VALUE!</v>
      </c>
      <c r="G20" s="157" t="str">
        <f>VLOOKUP(B20,Aux!M:Y,5,0)</f>
        <v>Mamelodi Sundowns</v>
      </c>
      <c r="H20" s="154" t="e" vm="40">
        <f>IFERROR(VLOOKUP(G20,Aux!$A:$C,3,0),"")</f>
        <v>#VALUE!</v>
      </c>
      <c r="I20" s="154"/>
      <c r="J20" s="203">
        <v>1</v>
      </c>
      <c r="K20" s="145" t="s">
        <v>40</v>
      </c>
      <c r="L20" s="203">
        <v>4</v>
      </c>
      <c r="M20" s="16"/>
      <c r="N20" s="154" t="e" vm="36">
        <f>IFERROR(VLOOKUP(O20,Aux!$A:$C,3,0),"")</f>
        <v>#VALUE!</v>
      </c>
      <c r="O20" s="155" t="str">
        <f>VLOOKUP(B20,Aux!M:Y,6,0)</f>
        <v>Fluminense</v>
      </c>
      <c r="P20" s="102" t="e" vm="9">
        <f>IFERROR(VLOOKUP(O20,Aux!$A:$X,8,0),"")</f>
        <v>#VALUE!</v>
      </c>
      <c r="Q20" s="16"/>
      <c r="R20" s="24" t="str">
        <f>VLOOKUP(B20,Aux!M:Y,7,0)</f>
        <v>Hard Rock Stadium</v>
      </c>
      <c r="S20"/>
      <c r="T20" s="28"/>
      <c r="U20" s="28"/>
      <c r="V20" s="28"/>
      <c r="W20"/>
      <c r="X20" s="28"/>
      <c r="Y20" s="28"/>
      <c r="Z20" s="28"/>
      <c r="AA20" s="28"/>
      <c r="AB20" s="28"/>
      <c r="AC20" s="28"/>
      <c r="AD20" s="33"/>
      <c r="AE20" s="33"/>
      <c r="AF20" s="45"/>
      <c r="AG20" s="45"/>
      <c r="AH20" s="45"/>
      <c r="AI20" s="45"/>
      <c r="AJ20" s="45"/>
      <c r="AK20" s="45"/>
      <c r="AL20" s="45"/>
      <c r="AM20" s="45"/>
      <c r="AN20" s="29"/>
      <c r="AO20" s="29"/>
      <c r="AP20" s="29"/>
      <c r="AQ20" s="29"/>
      <c r="AR20" s="29"/>
      <c r="AS20" s="29"/>
      <c r="AT20" s="29"/>
      <c r="AU20" s="29"/>
      <c r="AV20" s="29"/>
      <c r="AW20" s="29"/>
      <c r="AX20" s="29"/>
      <c r="AY20" s="29"/>
      <c r="AZ20" s="29"/>
      <c r="BA20" s="138"/>
      <c r="BB20" s="138"/>
      <c r="BC20" s="138"/>
      <c r="BD20" s="138"/>
    </row>
    <row r="21" spans="2:56" s="30" customFormat="1" ht="10.15" customHeight="1" x14ac:dyDescent="0.25">
      <c r="B21" s="165" t="str">
        <v/>
      </c>
      <c r="C21" s="13"/>
      <c r="D21" s="14"/>
      <c r="E21" s="18"/>
      <c r="F21" s="18"/>
      <c r="G21" s="15"/>
      <c r="H21" s="15"/>
      <c r="I21" s="15"/>
      <c r="J21" s="18"/>
      <c r="K21" s="18"/>
      <c r="L21" s="18"/>
      <c r="M21" s="18"/>
      <c r="N21" s="18"/>
      <c r="O21" s="19"/>
      <c r="P21" s="19"/>
      <c r="Q21" s="19"/>
      <c r="R21" s="26"/>
      <c r="S21"/>
      <c r="T21" s="28"/>
      <c r="U21" s="28"/>
      <c r="V21" s="28"/>
      <c r="W21" s="301" t="s">
        <v>134</v>
      </c>
      <c r="X21" s="301"/>
      <c r="Y21" s="301"/>
      <c r="Z21" s="28"/>
      <c r="AA21" s="28"/>
      <c r="AB21" s="28"/>
      <c r="AC21" s="28"/>
      <c r="AD21" s="33"/>
      <c r="AE21" s="33"/>
      <c r="AF21" s="45"/>
      <c r="AG21" s="45"/>
      <c r="AH21" s="45"/>
      <c r="AI21" s="45"/>
      <c r="AJ21" s="45"/>
      <c r="AK21" s="45"/>
      <c r="AL21" s="45"/>
      <c r="AM21" s="45"/>
      <c r="AN21" s="29"/>
      <c r="AO21" s="29"/>
      <c r="AP21" s="29"/>
      <c r="AQ21" s="29"/>
      <c r="AR21" s="29"/>
      <c r="AS21" s="29"/>
      <c r="AT21" s="29"/>
      <c r="AU21" s="29"/>
      <c r="AV21" s="29"/>
      <c r="AW21" s="29"/>
      <c r="AX21" s="29"/>
      <c r="AY21" s="29"/>
      <c r="AZ21" s="29"/>
      <c r="BA21" s="138"/>
      <c r="BB21" s="138"/>
      <c r="BC21" s="138"/>
      <c r="BD21" s="138"/>
    </row>
    <row r="22" spans="2:56" ht="15" customHeight="1" x14ac:dyDescent="0.25">
      <c r="W22" s="301"/>
      <c r="X22" s="301"/>
      <c r="Y22" s="301"/>
      <c r="AD22" s="33"/>
      <c r="AE22" s="45"/>
      <c r="AF22" s="45"/>
      <c r="AG22" s="45"/>
      <c r="AH22" s="45"/>
      <c r="AI22" s="45"/>
      <c r="AJ22" s="45"/>
      <c r="AK22" s="45"/>
      <c r="AL22" s="45"/>
      <c r="AM22" s="45"/>
      <c r="AN22" s="29"/>
      <c r="AO22" s="29"/>
      <c r="AP22" s="29"/>
      <c r="AQ22" s="29"/>
      <c r="AR22" s="29"/>
      <c r="AS22" s="29"/>
      <c r="AT22" s="29"/>
      <c r="AU22" s="29"/>
      <c r="AV22" s="29"/>
      <c r="AW22" s="29"/>
      <c r="AX22" s="29"/>
      <c r="AY22" s="127"/>
      <c r="AZ22" s="29"/>
      <c r="BA22" s="138"/>
      <c r="BB22" s="138"/>
      <c r="BC22" s="138"/>
      <c r="BD22" s="138"/>
    </row>
    <row r="23" spans="2:56" ht="15" customHeight="1" x14ac:dyDescent="0.25">
      <c r="N23"/>
      <c r="O23"/>
      <c r="P23"/>
      <c r="Q23"/>
      <c r="R23"/>
      <c r="W23" s="302" t="s">
        <v>135</v>
      </c>
      <c r="X23" s="302"/>
      <c r="Y23" s="302"/>
      <c r="AD23" s="33"/>
      <c r="AE23" s="45"/>
      <c r="AF23" s="45"/>
      <c r="AG23" s="45"/>
      <c r="AH23" s="45"/>
      <c r="AI23" s="47"/>
      <c r="AJ23" s="47"/>
      <c r="AK23" s="47"/>
      <c r="AL23" s="47"/>
      <c r="AM23" s="47"/>
      <c r="BA23" s="262"/>
      <c r="BB23" s="263"/>
      <c r="BC23" s="263"/>
      <c r="BD23" s="263"/>
    </row>
    <row r="24" spans="2:56" ht="15" customHeight="1" x14ac:dyDescent="0.25">
      <c r="N24"/>
      <c r="O24"/>
      <c r="P24"/>
      <c r="Q24"/>
      <c r="R24"/>
      <c r="W24" s="302"/>
      <c r="X24" s="302"/>
      <c r="Y24" s="302"/>
      <c r="AD24" s="33"/>
      <c r="AE24" s="45"/>
      <c r="AF24" s="45"/>
      <c r="AG24" s="45"/>
      <c r="AH24" s="45"/>
      <c r="AI24" s="47"/>
      <c r="AJ24" s="47"/>
      <c r="AK24" s="47"/>
      <c r="AL24" s="47"/>
      <c r="AM24" s="47"/>
      <c r="BB24" s="31"/>
      <c r="BC24" s="31"/>
      <c r="BD24" s="31"/>
    </row>
    <row r="25" spans="2:56" ht="15" customHeight="1" x14ac:dyDescent="0.25">
      <c r="N25"/>
      <c r="O25"/>
      <c r="P25"/>
      <c r="Q25"/>
      <c r="R25"/>
      <c r="W25"/>
      <c r="AD25" s="33"/>
      <c r="AE25" s="45"/>
      <c r="AF25" s="45"/>
      <c r="AG25" s="45"/>
      <c r="AH25" s="45"/>
      <c r="AI25" s="47"/>
      <c r="AJ25" s="47"/>
      <c r="AK25" s="47"/>
      <c r="AL25" s="47"/>
      <c r="AM25" s="47"/>
      <c r="BB25" s="31"/>
      <c r="BC25" s="31"/>
      <c r="BD25" s="31"/>
    </row>
    <row r="26" spans="2:56" ht="15" customHeight="1" x14ac:dyDescent="0.25">
      <c r="N26"/>
      <c r="O26"/>
      <c r="P26"/>
      <c r="Q26"/>
      <c r="R26"/>
      <c r="AG26" s="29"/>
      <c r="AH26" s="29"/>
      <c r="BB26" s="31"/>
      <c r="BC26" s="31"/>
      <c r="BD26" s="31"/>
    </row>
    <row r="27" spans="2:56" ht="15" customHeight="1" x14ac:dyDescent="0.25">
      <c r="N27"/>
      <c r="O27"/>
      <c r="P27"/>
      <c r="Q27"/>
      <c r="R27"/>
      <c r="AG27" s="29"/>
      <c r="AH27" s="29"/>
      <c r="BB27" s="31"/>
      <c r="BC27" s="31"/>
      <c r="BD27" s="31"/>
    </row>
    <row r="28" spans="2:56" ht="15" customHeight="1" x14ac:dyDescent="0.25">
      <c r="N28"/>
      <c r="O28"/>
      <c r="P28"/>
      <c r="Q28"/>
      <c r="R28"/>
      <c r="AG28" s="29"/>
      <c r="AH28" s="29"/>
      <c r="BB28" s="31"/>
      <c r="BC28" s="31"/>
      <c r="BD28" s="31"/>
    </row>
    <row r="29" spans="2:56" ht="15" customHeight="1" x14ac:dyDescent="0.25">
      <c r="N29"/>
      <c r="O29"/>
      <c r="P29"/>
      <c r="Q29"/>
      <c r="R29"/>
      <c r="AG29" s="29"/>
      <c r="AH29" s="29"/>
      <c r="AI29" s="29"/>
      <c r="AJ29" s="29"/>
      <c r="AK29" s="29"/>
      <c r="AL29" s="29"/>
      <c r="AM29" s="29"/>
      <c r="AN29" s="29"/>
      <c r="AO29" s="29"/>
      <c r="AP29" s="29"/>
      <c r="AQ29" s="29"/>
      <c r="AR29" s="29"/>
      <c r="AS29" s="29"/>
      <c r="AT29" s="29"/>
      <c r="AU29" s="29"/>
      <c r="AV29" s="29"/>
      <c r="AW29" s="29"/>
      <c r="AX29" s="29"/>
      <c r="AZ29" s="29"/>
      <c r="BB29" s="31"/>
      <c r="BC29" s="31"/>
      <c r="BD29" s="31"/>
    </row>
    <row r="30" spans="2:56" ht="15" customHeight="1" x14ac:dyDescent="0.25">
      <c r="BB30" s="31"/>
      <c r="BC30" s="31"/>
      <c r="BD30" s="31"/>
    </row>
  </sheetData>
  <mergeCells count="6">
    <mergeCell ref="W23:Y24"/>
    <mergeCell ref="W2:Y2"/>
    <mergeCell ref="E7:Q7"/>
    <mergeCell ref="T7:AC7"/>
    <mergeCell ref="T18:AC18"/>
    <mergeCell ref="W21:Y22"/>
  </mergeCells>
  <conditionalFormatting sqref="J10 J12 J14 J16 J18 J20">
    <cfRule type="expression" dxfId="231" priority="5">
      <formula>#REF!="P"</formula>
    </cfRule>
    <cfRule type="expression" dxfId="230" priority="6">
      <formula>#REF!="E"</formula>
    </cfRule>
    <cfRule type="expression" dxfId="229" priority="7">
      <formula>#REF!="G"</formula>
    </cfRule>
  </conditionalFormatting>
  <conditionalFormatting sqref="L10 L12 L14 L16 L18 L20">
    <cfRule type="expression" dxfId="228" priority="8">
      <formula>#REF!="P"</formula>
    </cfRule>
    <cfRule type="expression" dxfId="227" priority="9">
      <formula>#REF!="E"</formula>
    </cfRule>
    <cfRule type="expression" dxfId="226" priority="10">
      <formula>#REF!="G"</formula>
    </cfRule>
  </conditionalFormatting>
  <conditionalFormatting sqref="W21 W23">
    <cfRule type="expression" dxfId="225" priority="1">
      <formula>$L24&lt;&gt;""</formula>
    </cfRule>
    <cfRule type="expression" dxfId="224" priority="2">
      <formula>AND($L24&lt;&gt;"",$L25="")</formula>
    </cfRule>
  </conditionalFormatting>
  <dataValidations count="1">
    <dataValidation type="list" allowBlank="1" showInputMessage="1" showErrorMessage="1" sqref="AH6" xr:uid="{0A5D9B0A-D833-447C-8AEA-1FAA8C09DC0C}">
      <formula1>"A,B,C,D,E,F,G,H"</formula1>
    </dataValidation>
  </dataValidations>
  <hyperlinks>
    <hyperlink ref="W21" r:id="rId1" display="Aprendiz de Excel" xr:uid="{447DA7DA-5675-48BD-805E-CABBC7D9210D}"/>
    <hyperlink ref="W23" r:id="rId2" display="Aprendiz de Excel" xr:uid="{2C8BDE2B-68EE-491B-9DFB-7C01FC452174}"/>
    <hyperlink ref="W23:W24" r:id="rId3" display="Vídeo YouTube" xr:uid="{4600FC30-9979-4670-8808-5A1E29877378}"/>
    <hyperlink ref="W23:Y24" r:id="rId4" display="Vídeo YouTube" xr:uid="{7D68B110-C9F7-411D-8213-4FF31A296E62}"/>
  </hyperlinks>
  <pageMargins left="0.7" right="0.7" top="0.75" bottom="0.75" header="0.3" footer="0.3"/>
  <pageSetup paperSize="9" orientation="portrait" r:id="rId5"/>
  <drawing r:id="rId6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BB78F-DCF9-4274-A9BC-C064923D6918}">
  <dimension ref="A1:BD30"/>
  <sheetViews>
    <sheetView showGridLines="0" zoomScale="90" zoomScaleNormal="90" workbookViewId="0">
      <selection activeCell="AF16" sqref="AF16"/>
    </sheetView>
  </sheetViews>
  <sheetFormatPr baseColWidth="10" defaultColWidth="14.42578125" defaultRowHeight="15" customHeight="1" x14ac:dyDescent="0.25"/>
  <cols>
    <col min="1" max="1" width="3.5703125" style="28" customWidth="1"/>
    <col min="2" max="2" width="3.7109375" style="28" customWidth="1"/>
    <col min="3" max="3" width="7.7109375" style="28" customWidth="1"/>
    <col min="4" max="4" width="6.7109375" style="28" customWidth="1"/>
    <col min="5" max="5" width="2.7109375" style="28" customWidth="1"/>
    <col min="6" max="6" width="3.7109375" style="28" customWidth="1"/>
    <col min="7" max="7" width="19.7109375" style="28" customWidth="1"/>
    <col min="8" max="8" width="5.7109375" style="28" customWidth="1"/>
    <col min="9" max="9" width="2.7109375" style="28" customWidth="1"/>
    <col min="10" max="10" width="6.7109375" style="28" customWidth="1"/>
    <col min="11" max="11" width="2.7109375" style="28" customWidth="1"/>
    <col min="12" max="12" width="6.7109375" style="28" customWidth="1"/>
    <col min="13" max="13" width="2.7109375" style="28" customWidth="1"/>
    <col min="14" max="14" width="5.7109375" style="28" customWidth="1"/>
    <col min="15" max="15" width="19.7109375" style="28" customWidth="1"/>
    <col min="16" max="16" width="3.7109375" style="28" customWidth="1"/>
    <col min="17" max="17" width="2.5703125" style="28" customWidth="1"/>
    <col min="18" max="18" width="15.5703125" style="28" customWidth="1"/>
    <col min="19" max="19" width="2.7109375" style="28" customWidth="1"/>
    <col min="20" max="20" width="19.7109375" style="28" customWidth="1"/>
    <col min="21" max="21" width="5.7109375" style="28" customWidth="1"/>
    <col min="22" max="22" width="1.7109375" style="28" customWidth="1"/>
    <col min="23" max="29" width="4" style="28" customWidth="1"/>
    <col min="30" max="30" width="6" style="30" customWidth="1"/>
    <col min="31" max="32" width="5" style="29" customWidth="1"/>
    <col min="33" max="33" width="5" style="31" customWidth="1"/>
    <col min="34" max="34" width="14.85546875" style="31" customWidth="1"/>
    <col min="35" max="41" width="5" style="31" customWidth="1"/>
    <col min="42" max="42" width="8.5703125" style="31" customWidth="1"/>
    <col min="43" max="47" width="5" style="31" customWidth="1"/>
    <col min="48" max="49" width="8.5703125" style="31" customWidth="1"/>
    <col min="50" max="50" width="5" style="31" customWidth="1"/>
    <col min="52" max="52" width="7.7109375" style="31" customWidth="1"/>
    <col min="53" max="53" width="14.42578125" style="31"/>
    <col min="54" max="54" width="15" style="28" customWidth="1"/>
    <col min="55" max="16384" width="14.42578125" style="28"/>
  </cols>
  <sheetData>
    <row r="1" spans="1:56" s="153" customFormat="1" ht="27.75" customHeight="1" x14ac:dyDescent="0.25">
      <c r="A1" s="210" t="s">
        <v>314</v>
      </c>
      <c r="B1" s="211"/>
      <c r="C1" s="211"/>
      <c r="D1" s="211"/>
      <c r="E1" s="211"/>
      <c r="F1" s="211"/>
      <c r="G1" s="211"/>
      <c r="H1" s="211"/>
      <c r="I1" s="211"/>
      <c r="J1" s="211"/>
      <c r="K1" s="211"/>
      <c r="L1" s="211"/>
      <c r="M1" s="211"/>
      <c r="N1" s="211"/>
      <c r="O1" s="211"/>
      <c r="P1" s="211"/>
      <c r="Q1" s="211"/>
      <c r="R1" s="211"/>
      <c r="S1" s="211"/>
    </row>
    <row r="2" spans="1:56" s="33" customFormat="1" ht="18.75" x14ac:dyDescent="0.25">
      <c r="B2" s="127"/>
      <c r="C2"/>
      <c r="D2"/>
      <c r="E2"/>
      <c r="F2"/>
      <c r="G2"/>
      <c r="H2"/>
      <c r="I2"/>
      <c r="J2" s="159"/>
      <c r="K2" s="159"/>
      <c r="L2" s="159"/>
      <c r="M2" s="159"/>
      <c r="N2" s="159"/>
      <c r="O2" s="159"/>
      <c r="P2" s="159"/>
      <c r="Q2" s="159"/>
      <c r="R2" s="159"/>
      <c r="S2" s="159"/>
      <c r="T2" s="159"/>
      <c r="U2" s="159"/>
      <c r="V2" s="159"/>
      <c r="W2" s="303"/>
      <c r="X2" s="303"/>
      <c r="Y2" s="303"/>
      <c r="Z2" s="160"/>
      <c r="AA2" s="159"/>
      <c r="AB2" s="159"/>
      <c r="AC2" s="159"/>
      <c r="AD2" s="44"/>
      <c r="AE2" s="45"/>
      <c r="AF2" s="45"/>
      <c r="AG2" s="45"/>
      <c r="AH2" s="45"/>
      <c r="AI2" s="45"/>
      <c r="AJ2" s="45"/>
      <c r="AK2" s="45"/>
      <c r="AL2" s="45"/>
      <c r="AM2" s="45"/>
      <c r="AN2" s="45"/>
      <c r="AO2" s="45"/>
      <c r="AP2" s="45"/>
      <c r="AQ2" s="45"/>
      <c r="AR2" s="45"/>
      <c r="AS2" s="45"/>
      <c r="AT2" s="45"/>
      <c r="AU2" s="45"/>
      <c r="AV2" s="45"/>
      <c r="AW2" s="45"/>
      <c r="AX2" s="45"/>
      <c r="AY2" s="45"/>
      <c r="AZ2" s="45"/>
      <c r="BA2" s="45"/>
      <c r="BB2" s="127"/>
      <c r="BC2" s="127"/>
      <c r="BD2" s="127"/>
    </row>
    <row r="3" spans="1:56" s="33" customFormat="1" ht="35.25" customHeight="1" x14ac:dyDescent="0.25">
      <c r="B3" s="127"/>
      <c r="C3"/>
      <c r="D3"/>
      <c r="E3"/>
      <c r="F3"/>
      <c r="G3" s="161"/>
      <c r="H3" s="161"/>
      <c r="I3" s="161"/>
      <c r="J3"/>
      <c r="K3" s="162"/>
      <c r="L3" s="162"/>
      <c r="M3" s="162"/>
      <c r="N3" s="162"/>
      <c r="O3" s="162"/>
      <c r="P3" s="162"/>
      <c r="Q3" s="162"/>
      <c r="R3" s="162"/>
      <c r="S3" s="162"/>
      <c r="T3" s="159"/>
      <c r="U3" s="159"/>
      <c r="V3" s="159"/>
      <c r="W3" s="159"/>
      <c r="X3" s="159"/>
      <c r="Y3" s="159"/>
      <c r="Z3" s="159"/>
      <c r="AA3" s="159"/>
      <c r="AB3" s="159"/>
      <c r="AC3" s="159"/>
      <c r="AD3" s="44"/>
      <c r="AE3" s="46"/>
      <c r="AF3" s="46"/>
      <c r="AG3" s="46"/>
      <c r="AH3" s="45"/>
      <c r="AI3" s="45"/>
      <c r="AJ3" s="45"/>
      <c r="AK3" s="45"/>
      <c r="AL3" s="45"/>
      <c r="AM3" s="45"/>
      <c r="AN3" s="45"/>
      <c r="AO3" s="45"/>
      <c r="AP3" s="45"/>
      <c r="AQ3" s="45"/>
      <c r="AR3" s="45"/>
      <c r="AS3" s="45"/>
      <c r="AT3" s="45"/>
      <c r="AU3" s="45"/>
      <c r="AV3" s="45"/>
      <c r="AW3" s="45"/>
      <c r="AX3" s="45"/>
      <c r="AY3" s="45"/>
      <c r="AZ3" s="45"/>
      <c r="BA3" s="45"/>
      <c r="BB3" s="127"/>
      <c r="BC3" s="127"/>
      <c r="BD3" s="127"/>
    </row>
    <row r="4" spans="1:56" s="33" customFormat="1" x14ac:dyDescent="0.25">
      <c r="B4" s="127"/>
      <c r="C4"/>
      <c r="D4"/>
      <c r="E4"/>
      <c r="F4"/>
      <c r="G4"/>
      <c r="H4"/>
      <c r="I4"/>
      <c r="J4" s="159"/>
      <c r="K4" s="159"/>
      <c r="L4" s="159"/>
      <c r="M4" s="159"/>
      <c r="N4" s="159"/>
      <c r="O4" s="159"/>
      <c r="P4" s="159"/>
      <c r="Q4" s="159"/>
      <c r="R4" s="159"/>
      <c r="S4" s="159"/>
      <c r="T4" s="159"/>
      <c r="U4" s="159"/>
      <c r="V4" s="159"/>
      <c r="W4" s="159"/>
      <c r="X4" s="159"/>
      <c r="Y4" s="159"/>
      <c r="Z4" s="159"/>
      <c r="AA4" s="159"/>
      <c r="AB4" s="159"/>
      <c r="AC4" s="159"/>
      <c r="AD4" s="44"/>
      <c r="AE4" s="47"/>
      <c r="AF4" s="45"/>
      <c r="AG4" s="45"/>
      <c r="AH4" s="45"/>
      <c r="AI4" s="45"/>
      <c r="AJ4" s="45"/>
      <c r="AK4" s="45"/>
      <c r="AL4" s="45"/>
      <c r="AM4" s="45"/>
      <c r="AN4" s="45"/>
      <c r="AO4" s="45"/>
      <c r="AP4" s="45"/>
      <c r="AQ4" s="45"/>
      <c r="AR4" s="45"/>
      <c r="AS4" s="45"/>
      <c r="AT4" s="45"/>
      <c r="AU4" s="45"/>
      <c r="AV4" s="45"/>
      <c r="AW4" s="45"/>
      <c r="AX4" s="45"/>
      <c r="AY4" s="45"/>
      <c r="AZ4" s="45"/>
      <c r="BA4" s="45"/>
      <c r="BB4" s="127"/>
      <c r="BC4" s="127"/>
      <c r="BD4" s="127"/>
    </row>
    <row r="5" spans="1:56" s="33" customFormat="1" ht="15" customHeight="1" x14ac:dyDescent="0.25">
      <c r="B5" s="127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E5" s="47"/>
      <c r="AF5" s="45"/>
      <c r="AG5" s="45"/>
      <c r="AH5" s="45"/>
      <c r="AI5" s="45"/>
      <c r="AJ5" s="45"/>
      <c r="AK5" s="45"/>
      <c r="AL5" s="45"/>
      <c r="AM5" s="45"/>
      <c r="AN5" s="45"/>
      <c r="AO5" s="45"/>
      <c r="AP5" s="45"/>
      <c r="AQ5" s="45"/>
      <c r="AR5" s="45"/>
      <c r="AS5" s="45"/>
      <c r="AT5" s="45"/>
      <c r="AU5" s="45"/>
      <c r="AV5" s="45"/>
      <c r="AW5" s="45"/>
      <c r="AX5" s="45"/>
      <c r="AY5" s="264" t="s">
        <v>336</v>
      </c>
      <c r="AZ5" s="45"/>
      <c r="BA5" s="138">
        <f>VLOOKUP(BA8,$AH$10:$AW$16,15,0)</f>
        <v>0.10001</v>
      </c>
      <c r="BB5" s="138">
        <f t="shared" ref="BB5:BD5" si="0">VLOOKUP(BB8,$AH$10:$AW$16,15,0)</f>
        <v>0</v>
      </c>
      <c r="BC5" s="138">
        <f t="shared" si="0"/>
        <v>0</v>
      </c>
      <c r="BD5" s="138">
        <f t="shared" si="0"/>
        <v>0.10001</v>
      </c>
    </row>
    <row r="6" spans="1:56" s="30" customFormat="1" ht="15" customHeight="1" x14ac:dyDescent="0.25">
      <c r="B6" s="27"/>
      <c r="C6" s="32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/>
      <c r="T6" s="28"/>
      <c r="U6" s="28"/>
      <c r="V6" s="28"/>
      <c r="W6" s="28"/>
      <c r="X6" s="28"/>
      <c r="Y6" s="28"/>
      <c r="Z6" s="28"/>
      <c r="AA6" s="28"/>
      <c r="AB6" s="28"/>
      <c r="AC6" s="28"/>
      <c r="AD6" s="33"/>
      <c r="AE6" s="47"/>
      <c r="AF6" s="45"/>
      <c r="AG6" s="45"/>
      <c r="AH6" s="166" t="s">
        <v>112</v>
      </c>
      <c r="AI6" s="45"/>
      <c r="AJ6" s="45"/>
      <c r="AK6" s="45"/>
      <c r="AL6" s="45"/>
      <c r="AM6" s="45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64" t="s">
        <v>335</v>
      </c>
      <c r="AZ6" s="29"/>
      <c r="BA6" s="138">
        <f>VLOOKUP(BA8,$AH$10:$AW$16,14,0)</f>
        <v>7</v>
      </c>
      <c r="BB6" s="138">
        <f t="shared" ref="BB6:BD6" si="1">VLOOKUP(BB8,$AH$10:$AW$16,14,0)</f>
        <v>0</v>
      </c>
      <c r="BC6" s="138">
        <f t="shared" si="1"/>
        <v>3</v>
      </c>
      <c r="BD6" s="138">
        <f t="shared" si="1"/>
        <v>7</v>
      </c>
    </row>
    <row r="7" spans="1:56" s="30" customFormat="1" ht="22.15" customHeight="1" thickBot="1" x14ac:dyDescent="0.3">
      <c r="B7" s="107" t="s">
        <v>33</v>
      </c>
      <c r="C7" s="108" t="s">
        <v>34</v>
      </c>
      <c r="D7" s="108" t="s">
        <v>35</v>
      </c>
      <c r="E7" s="304" t="s">
        <v>36</v>
      </c>
      <c r="F7" s="305"/>
      <c r="G7" s="305"/>
      <c r="H7" s="305"/>
      <c r="I7" s="305"/>
      <c r="J7" s="305"/>
      <c r="K7" s="305"/>
      <c r="L7" s="305"/>
      <c r="M7" s="305"/>
      <c r="N7" s="305"/>
      <c r="O7" s="305"/>
      <c r="P7" s="305"/>
      <c r="Q7" s="306"/>
      <c r="R7" s="109" t="s">
        <v>37</v>
      </c>
      <c r="S7" s="34"/>
      <c r="T7" s="307" t="s">
        <v>38</v>
      </c>
      <c r="U7" s="305"/>
      <c r="V7" s="305"/>
      <c r="W7" s="308"/>
      <c r="X7" s="308"/>
      <c r="Y7" s="308"/>
      <c r="Z7" s="308"/>
      <c r="AA7" s="308"/>
      <c r="AB7" s="308"/>
      <c r="AC7" s="309"/>
      <c r="AD7" s="33"/>
      <c r="AE7" s="39"/>
      <c r="AF7" s="46"/>
      <c r="AG7" s="46"/>
      <c r="AH7" s="45"/>
      <c r="AI7" s="45"/>
      <c r="AJ7" s="45"/>
      <c r="AK7" s="45"/>
      <c r="AL7" s="45"/>
      <c r="AM7" s="45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138"/>
      <c r="BB7" s="138"/>
      <c r="BC7" s="138"/>
      <c r="BD7" s="138"/>
    </row>
    <row r="8" spans="1:56" s="30" customFormat="1" ht="15" customHeight="1" thickTop="1" x14ac:dyDescent="0.25"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35"/>
      <c r="U8" s="35"/>
      <c r="V8" s="35"/>
      <c r="W8" s="36" t="s">
        <v>41</v>
      </c>
      <c r="X8" s="37" t="s">
        <v>42</v>
      </c>
      <c r="Y8" s="37" t="s">
        <v>43</v>
      </c>
      <c r="Z8" s="37" t="s">
        <v>44</v>
      </c>
      <c r="AA8" s="38" t="s">
        <v>45</v>
      </c>
      <c r="AB8" s="38" t="s">
        <v>46</v>
      </c>
      <c r="AC8" s="38" t="s">
        <v>47</v>
      </c>
      <c r="AD8" s="33"/>
      <c r="AE8" s="39"/>
      <c r="AF8" s="46"/>
      <c r="AG8" s="46"/>
      <c r="AH8" s="174" t="s">
        <v>8</v>
      </c>
      <c r="AI8" s="175" t="s">
        <v>39</v>
      </c>
      <c r="AJ8" s="176" t="s">
        <v>41</v>
      </c>
      <c r="AK8" s="175" t="s">
        <v>42</v>
      </c>
      <c r="AL8" s="175" t="s">
        <v>43</v>
      </c>
      <c r="AM8" s="175" t="s">
        <v>44</v>
      </c>
      <c r="AN8" s="265" t="s">
        <v>45</v>
      </c>
      <c r="AO8" s="265" t="s">
        <v>46</v>
      </c>
      <c r="AP8" s="265" t="s">
        <v>333</v>
      </c>
      <c r="AQ8" s="265" t="s">
        <v>334</v>
      </c>
      <c r="AR8" s="265" t="s">
        <v>332</v>
      </c>
      <c r="AS8" s="265"/>
      <c r="AT8" s="265"/>
      <c r="AU8" s="29" t="s">
        <v>337</v>
      </c>
      <c r="AV8" s="29" t="s">
        <v>338</v>
      </c>
      <c r="AW8" s="29" t="s">
        <v>339</v>
      </c>
      <c r="AX8" s="29"/>
      <c r="AY8" s="29"/>
      <c r="AZ8" s="29"/>
      <c r="BA8" s="138" t="str">
        <f>AH10</f>
        <v>Manchester City</v>
      </c>
      <c r="BB8" s="140" t="str">
        <f>AH12</f>
        <v>Wydad Casablanca</v>
      </c>
      <c r="BC8" s="140" t="str">
        <f>AH14</f>
        <v>Al-Ain</v>
      </c>
      <c r="BD8" s="140" t="str">
        <f>AH16</f>
        <v>Juventus</v>
      </c>
    </row>
    <row r="9" spans="1:56" s="30" customFormat="1" ht="10.15" customHeight="1" x14ac:dyDescent="0.25">
      <c r="B9" s="163" t="str" cm="1">
        <f t="array" ref="B9:B21">_xlfn.REDUCE("",_xlfn.TAKE(_xlfn._xlws.FILTER(Aux!M:T,Aux!T:T=AH6),,1),_xlfn.LAMBDA(_xlpm.t,_xlpm.p,_xlfn.VSTACK(_xlpm.t,_xlpm.p,"")))</f>
        <v/>
      </c>
      <c r="C9" s="96"/>
      <c r="D9" s="97"/>
      <c r="E9" s="99"/>
      <c r="F9" s="99"/>
      <c r="G9" s="98"/>
      <c r="H9" s="98"/>
      <c r="I9" s="98"/>
      <c r="J9" s="99"/>
      <c r="K9" s="99"/>
      <c r="L9" s="99"/>
      <c r="M9" s="99"/>
      <c r="N9" s="99"/>
      <c r="O9" s="100"/>
      <c r="P9" s="100"/>
      <c r="Q9" s="100"/>
      <c r="R9" s="101"/>
      <c r="S9"/>
      <c r="T9" s="20"/>
      <c r="U9" s="88"/>
      <c r="V9" s="89"/>
      <c r="W9" s="21"/>
      <c r="X9" s="22"/>
      <c r="Y9" s="22"/>
      <c r="Z9" s="22"/>
      <c r="AA9" s="23"/>
      <c r="AB9" s="23"/>
      <c r="AC9" s="23"/>
      <c r="AD9" s="33"/>
      <c r="AE9" s="39"/>
      <c r="AF9" s="46"/>
      <c r="AG9" s="46"/>
      <c r="AH9" s="174"/>
      <c r="AI9" s="175"/>
      <c r="AJ9" s="176"/>
      <c r="AK9" s="175"/>
      <c r="AL9" s="175"/>
      <c r="AM9" s="175"/>
      <c r="AN9" s="139"/>
      <c r="AO9" s="139"/>
      <c r="AP9" s="29"/>
      <c r="AQ9" s="29"/>
      <c r="AR9" s="29"/>
      <c r="AS9" s="139"/>
      <c r="AT9" s="139"/>
      <c r="AU9" s="139"/>
      <c r="AV9" s="29"/>
      <c r="AW9" s="29"/>
      <c r="AX9" s="29"/>
      <c r="AY9" s="29"/>
      <c r="AZ9" s="29"/>
      <c r="BA9" s="138"/>
      <c r="BB9" s="140"/>
      <c r="BC9" s="140"/>
      <c r="BD9" s="140"/>
    </row>
    <row r="10" spans="1:56" s="30" customFormat="1" ht="22.15" customHeight="1" x14ac:dyDescent="0.25">
      <c r="B10" s="164">
        <v>13</v>
      </c>
      <c r="C10" s="7">
        <f>VLOOKUP(B10,Aux!M:AH,4,0)</f>
        <v>45826.75</v>
      </c>
      <c r="D10" s="8">
        <f>VLOOKUP(B10,Aux!M:AH,4,0)</f>
        <v>45826.75</v>
      </c>
      <c r="E10" s="102"/>
      <c r="F10" s="102" t="e" vm="25">
        <f>IFERROR(VLOOKUP(G10,Aux!$A:$X,8,0),"")</f>
        <v>#VALUE!</v>
      </c>
      <c r="G10" s="157" t="str">
        <f>VLOOKUP(B10,Aux!M:Y,5,0)</f>
        <v>Manchester City</v>
      </c>
      <c r="H10" s="154" t="e" vm="42">
        <f>IFERROR(VLOOKUP(G10,Aux!$A:$C,3,0),"")</f>
        <v>#VALUE!</v>
      </c>
      <c r="I10" s="154"/>
      <c r="J10" s="203">
        <v>5</v>
      </c>
      <c r="K10" s="145" t="s">
        <v>40</v>
      </c>
      <c r="L10" s="203">
        <v>0</v>
      </c>
      <c r="M10" s="16"/>
      <c r="N10" s="154" t="e" vm="43">
        <f>IFERROR(VLOOKUP(O10,Aux!$A:$C,3,0),"")</f>
        <v>#VALUE!</v>
      </c>
      <c r="O10" s="155" t="str">
        <f>VLOOKUP(B10,Aux!M:Y,6,0)</f>
        <v>Wydad Casablanca</v>
      </c>
      <c r="P10" s="102" t="e" vm="44">
        <f>IFERROR(VLOOKUP(O10,Aux!$A:$X,8,0),"")</f>
        <v>#VALUE!</v>
      </c>
      <c r="Q10" s="16"/>
      <c r="R10" s="24" t="str">
        <f>VLOOKUP(B10,Aux!M:Y,7,0)</f>
        <v>Lincoln Financial Field</v>
      </c>
      <c r="S10"/>
      <c r="T10" s="240" t="str">
        <f>INDEX($AH$10:$AH$17,MATCH(1,$AY$10:$AY$16,0))</f>
        <v>Manchester City</v>
      </c>
      <c r="U10" s="91" t="e" vm="42">
        <f>IFERROR(VLOOKUP(T10,Aux!A:C,3,0),"")</f>
        <v>#VALUE!</v>
      </c>
      <c r="V10" s="92"/>
      <c r="W10" s="93">
        <f>VLOOKUP($T10,$AH$10:$AO$16,3,0)</f>
        <v>7</v>
      </c>
      <c r="X10" s="94">
        <f>VLOOKUP($T10,$AH$10:$AO$16,4,0)</f>
        <v>2</v>
      </c>
      <c r="Y10" s="94">
        <f>VLOOKUP($T10,$AH$10:$AO$16,5,0)</f>
        <v>1</v>
      </c>
      <c r="Z10" s="94">
        <f>VLOOKUP($T10,$AH$10:$AO$16,6,0)</f>
        <v>0</v>
      </c>
      <c r="AA10" s="95">
        <f>VLOOKUP($T10,$AH$10:$AO$16,7,0)</f>
        <v>9</v>
      </c>
      <c r="AB10" s="95">
        <f>VLOOKUP($T10,$AH$10:$AO$16,8,0)</f>
        <v>1</v>
      </c>
      <c r="AC10" s="95">
        <f>AA10-AB10</f>
        <v>8</v>
      </c>
      <c r="AD10" s="33"/>
      <c r="AE10" s="47"/>
      <c r="AF10" s="45"/>
      <c r="AG10" s="45">
        <v>1</v>
      </c>
      <c r="AH10" s="177" t="str">
        <f>VLOOKUP($AH$6&amp;AG10,Aux!Z:AA,2,0)</f>
        <v>Manchester City</v>
      </c>
      <c r="AI10" s="45">
        <f>AK10+AL10+AM10</f>
        <v>3</v>
      </c>
      <c r="AJ10" s="45">
        <f>AK10*3+AL10</f>
        <v>7</v>
      </c>
      <c r="AK10" s="45" cm="1">
        <f t="array" ref="AK10">SUM(($G$10:$G$23=$AH10)*($J$10:$J$23&gt;$L$10:$L$23)+($O$10:$O$23=$AH10)*($J$10:$J$23&lt;$L$10:$L$23))</f>
        <v>2</v>
      </c>
      <c r="AL10" s="45" cm="1">
        <f t="array" ref="AL10">SUM(($G$10:$G$23=$AH10)*($J$10:$J$23=$L$10:$L$23)*($J$10:$J$23&lt;&gt;"")+($O$10:$O$23=$AH10)*($J$10:$J$23=$L$10:$L$23)*($J$10:$J$23&lt;&gt;""))</f>
        <v>1</v>
      </c>
      <c r="AM10" s="45" cm="1">
        <f t="array" ref="AM10">SUM(($G$10:$G$23=$AH10)*($J$10:$J$23&lt;$L$10:$L$23)+($O$10:$O$23=$AH10)*($J$10:$J$23&gt;$L$10:$L$23))</f>
        <v>0</v>
      </c>
      <c r="AN10" s="29" cm="1">
        <f t="array" ref="AN10">SUM(($G$10:$G$23=$AH10)*($J$10:$J$23)+($O$10:$O$23=$AH10)*($L$10:$L$23))</f>
        <v>9</v>
      </c>
      <c r="AO10" s="29" cm="1">
        <f t="array" ref="AO10">SUM(($G$10:$G$23=$AH10)*($L$10:$L$23)+($O$10:$O$23=$AH10)*($J$10:$J$23))</f>
        <v>1</v>
      </c>
      <c r="AP10" s="141">
        <f>AN10-AO10</f>
        <v>8</v>
      </c>
      <c r="AQ10" s="138">
        <v>0</v>
      </c>
      <c r="AR10" s="141">
        <f>+AW10+AV10+AU10</f>
        <v>7.1001100099999999</v>
      </c>
      <c r="AS10" s="29"/>
      <c r="AT10" s="29"/>
      <c r="AU10" s="141">
        <f>+AJ10</f>
        <v>7</v>
      </c>
      <c r="AV10" s="141">
        <f>SUMIFS($BA10:$BD10,$BA$6:$BD$6,AJ10)/1000</f>
        <v>0.10001</v>
      </c>
      <c r="AW10" s="141">
        <f>SUMIFS($BA10:$BD10,$BA$5:$BD$5,AV10)/1000000</f>
        <v>1.0001E-4</v>
      </c>
      <c r="AX10" s="29">
        <f>_xlfn.RANK.EQ(AJ10,$AJ$10:$AJ$16)+_xlfn.RANK.EQ(AR10,$AR$10:$AR$16)/10+_xlfn.RANK.EQ(AP10,$AP$10:$AP$16)/1000+_xlfn.RANK.EQ(AN10,$AN$10:$AN$16)/100000+_xlfn.RANK.EQ(AQ10,$AQ$10:$AQ$16)/100000+ROW()/1000000</f>
        <v>1.1010300000000002</v>
      </c>
      <c r="AY10" s="29">
        <f>_xlfn.RANK.EQ(AX10,$AX$10:$AX$16,1)</f>
        <v>1</v>
      </c>
      <c r="AZ10" s="29"/>
      <c r="BA10" s="29" cm="1">
        <f t="array" ref="BA10">(SUM(($G$10:$G$23=$AH10)*($J$10:$J$23&gt;$L$10:$L$23)*($O$10:$O$23=BA$8)+($O$10:$O$23=$AH10)*($J$10:$J$23&lt;$L$10:$L$23)*($G$10:$G$23=BA$8)))*300+
(SUM(($G$10:$G$23=$AH10)*($J$10:$J$23=$L$10:$L$23)*($O$10:$O$23=BA$8)+($O$10:$O$23=$AH10)*($J$10:$J$23=$L$10:$L$23)*($G$10:$G$23=BA$8)))*100
+SUM(($G$10:$G$23=$AH10)*($J$10:$J$23)*($O$10:$O$23=BA$8)+($O$10:$O$23=$AH10)*($L$10:$L$23)*($G$10:$G$23=BA$8))
-SUM(($G$10:$G$23=$AH10)*($L$10:$L$23)*($O$10:$O$23=BA$8)+($O$10:$O$23=$AH10)*($J$10:$J$23)*($G$10:$G$23=BA$8))
+SUM(($G$10:$G$23=$AH10)*($J$10:$J$23)*($O$10:$O$23=BA$8)+($O$10:$O$23=$AH10)*($L$10:$L$23)*($G$10:$G$23=BA$8))/100</f>
        <v>0</v>
      </c>
      <c r="BB10" s="29" cm="1">
        <f t="array" ref="BB10">(SUM(($G$10:$G$23=$AH10)*($J$10:$J$23&gt;$L$10:$L$23)*($O$10:$O$23=BB$8)+($O$10:$O$23=$AH10)*($J$10:$J$23&lt;$L$10:$L$23)*($G$10:$G$23=BB$8)))*300+
(SUM(($G$10:$G$23=$AH10)*($J$10:$J$23=$L$10:$L$23)*($O$10:$O$23=BB$8)+($O$10:$O$23=$AH10)*($J$10:$J$23=$L$10:$L$23)*($G$10:$G$23=BB$8)))*100
+SUM(($G$10:$G$23=$AH10)*($J$10:$J$23)*($O$10:$O$23=BB$8)+($O$10:$O$23=$AH10)*($L$10:$L$23)*($G$10:$G$23=BB$8))
-SUM(($G$10:$G$23=$AH10)*($L$10:$L$23)*($O$10:$O$23=BB$8)+($O$10:$O$23=$AH10)*($J$10:$J$23)*($G$10:$G$23=BB$8))
+SUM(($G$10:$G$23=$AH10)*($J$10:$J$23)*($O$10:$O$23=BB$8)+($O$10:$O$23=$AH10)*($L$10:$L$23)*($G$10:$G$23=BB$8))/100</f>
        <v>305.05</v>
      </c>
      <c r="BC10" s="29" cm="1">
        <f t="array" ref="BC10">(SUM(($G$10:$G$23=$AH10)*($J$10:$J$23&gt;$L$10:$L$23)*($O$10:$O$23=BC$8)+($O$10:$O$23=$AH10)*($J$10:$J$23&lt;$L$10:$L$23)*($G$10:$G$23=BC$8)))*300+
(SUM(($G$10:$G$23=$AH10)*($J$10:$J$23=$L$10:$L$23)*($O$10:$O$23=BC$8)+($O$10:$O$23=$AH10)*($J$10:$J$23=$L$10:$L$23)*($G$10:$G$23=BC$8)))*100
+SUM(($G$10:$G$23=$AH10)*($J$10:$J$23)*($O$10:$O$23=BC$8)+($O$10:$O$23=$AH10)*($L$10:$L$23)*($G$10:$G$23=BC$8))
-SUM(($G$10:$G$23=$AH10)*($L$10:$L$23)*($O$10:$O$23=BC$8)+($O$10:$O$23=$AH10)*($J$10:$J$23)*($G$10:$G$23=BC$8))
+SUM(($G$10:$G$23=$AH10)*($J$10:$J$23)*($O$10:$O$23=BC$8)+($O$10:$O$23=$AH10)*($L$10:$L$23)*($G$10:$G$23=BC$8))/100</f>
        <v>303.02999999999997</v>
      </c>
      <c r="BD10" s="29" cm="1">
        <f t="array" ref="BD10">(SUM(($G$10:$G$23=$AH10)*($J$10:$J$23&gt;$L$10:$L$23)*($O$10:$O$23=BD$8)+($O$10:$O$23=$AH10)*($J$10:$J$23&lt;$L$10:$L$23)*($G$10:$G$23=BD$8)))*300+
(SUM(($G$10:$G$23=$AH10)*($J$10:$J$23=$L$10:$L$23)*($O$10:$O$23=BD$8)+($O$10:$O$23=$AH10)*($J$10:$J$23=$L$10:$L$23)*($G$10:$G$23=BD$8)))*100
+SUM(($G$10:$G$23=$AH10)*($J$10:$J$23)*($O$10:$O$23=BD$8)+($O$10:$O$23=$AH10)*($L$10:$L$23)*($G$10:$G$23=BD$8))
-SUM(($G$10:$G$23=$AH10)*($L$10:$L$23)*($O$10:$O$23=BD$8)+($O$10:$O$23=$AH10)*($J$10:$J$23)*($G$10:$G$23=BD$8))
+SUM(($G$10:$G$23=$AH10)*($J$10:$J$23)*($O$10:$O$23=BD$8)+($O$10:$O$23=$AH10)*($L$10:$L$23)*($G$10:$G$23=BD$8))/100</f>
        <v>100.01</v>
      </c>
    </row>
    <row r="11" spans="1:56" s="30" customFormat="1" ht="10.15" customHeight="1" x14ac:dyDescent="0.25">
      <c r="B11" s="164" t="str">
        <v/>
      </c>
      <c r="C11" s="7"/>
      <c r="D11" s="8"/>
      <c r="E11" s="102"/>
      <c r="F11" s="102"/>
      <c r="G11" s="157"/>
      <c r="H11" s="9"/>
      <c r="I11" s="9"/>
      <c r="J11" s="154"/>
      <c r="K11" s="9"/>
      <c r="L11" s="154"/>
      <c r="M11" s="16"/>
      <c r="N11" s="154"/>
      <c r="O11" s="155"/>
      <c r="P11" s="16"/>
      <c r="Q11" s="16"/>
      <c r="R11" s="24"/>
      <c r="S11"/>
      <c r="T11" s="240"/>
      <c r="U11" s="91"/>
      <c r="V11" s="92"/>
      <c r="W11" s="93"/>
      <c r="X11" s="94"/>
      <c r="Y11" s="94"/>
      <c r="Z11" s="94"/>
      <c r="AA11" s="95"/>
      <c r="AB11" s="95"/>
      <c r="AC11" s="95"/>
      <c r="AD11" s="33"/>
      <c r="AE11" s="47"/>
      <c r="AF11" s="45"/>
      <c r="AG11" s="45"/>
      <c r="AH11" s="177"/>
      <c r="AI11" s="45"/>
      <c r="AJ11" s="45"/>
      <c r="AK11" s="45"/>
      <c r="AL11" s="45"/>
      <c r="AM11" s="45"/>
      <c r="AN11" s="29"/>
      <c r="AO11" s="29"/>
      <c r="AP11" s="141"/>
      <c r="AQ11" s="138"/>
      <c r="AR11" s="141"/>
      <c r="AS11" s="29"/>
      <c r="AT11" s="29"/>
      <c r="AU11" s="29"/>
      <c r="AV11" s="141"/>
      <c r="AW11" s="141"/>
      <c r="AX11" s="29"/>
      <c r="AY11" s="29"/>
      <c r="AZ11" s="29"/>
      <c r="BA11" s="29"/>
      <c r="BB11" s="29"/>
      <c r="BC11" s="29"/>
      <c r="BD11" s="29"/>
    </row>
    <row r="12" spans="1:56" s="30" customFormat="1" ht="22.15" customHeight="1" x14ac:dyDescent="0.25">
      <c r="B12" s="164">
        <v>16</v>
      </c>
      <c r="C12" s="7">
        <f>VLOOKUP(B12,Aux!M:AH,4,0)</f>
        <v>45827.125</v>
      </c>
      <c r="D12" s="8">
        <f>VLOOKUP(B12,Aux!M:AH,4,0)</f>
        <v>45827.125</v>
      </c>
      <c r="E12" s="102"/>
      <c r="F12" s="102" t="e" vm="45">
        <f>IFERROR(VLOOKUP(G12,Aux!$A:$X,8,0),"")</f>
        <v>#VALUE!</v>
      </c>
      <c r="G12" s="157" t="str">
        <f>VLOOKUP(B12,Aux!M:Y,5,0)</f>
        <v>Al-Ain</v>
      </c>
      <c r="H12" s="154" t="e" vm="46">
        <f>IFERROR(VLOOKUP(G12,Aux!$A:$C,3,0),"")</f>
        <v>#VALUE!</v>
      </c>
      <c r="I12" s="154"/>
      <c r="J12" s="203">
        <v>1</v>
      </c>
      <c r="K12" s="145" t="s">
        <v>40</v>
      </c>
      <c r="L12" s="203">
        <v>2</v>
      </c>
      <c r="M12" s="16"/>
      <c r="N12" s="154" t="e" vm="47">
        <f>IFERROR(VLOOKUP(O12,Aux!$A:$C,3,0),"")</f>
        <v>#VALUE!</v>
      </c>
      <c r="O12" s="155" t="str">
        <f>VLOOKUP(B12,Aux!M:Y,6,0)</f>
        <v>Juventus</v>
      </c>
      <c r="P12" s="102" t="e" vm="35">
        <f>IFERROR(VLOOKUP(O12,Aux!$A:$X,8,0),"")</f>
        <v>#VALUE!</v>
      </c>
      <c r="Q12" s="16"/>
      <c r="R12" s="24" t="str">
        <f>VLOOKUP(B12,Aux!M:Y,7,0)</f>
        <v>Audi Field</v>
      </c>
      <c r="S12"/>
      <c r="T12" s="240" t="str">
        <f>INDEX($AH$10:$AH$17,MATCH(2,$AY$10:$AY$16,0))</f>
        <v>Juventus</v>
      </c>
      <c r="U12" s="91" t="e" vm="47">
        <f>IFERROR(VLOOKUP(T12,Aux!A:C,3,0),"")</f>
        <v>#VALUE!</v>
      </c>
      <c r="V12" s="92"/>
      <c r="W12" s="93">
        <f>VLOOKUP($T12,$AH$10:$AO$16,3,0)</f>
        <v>7</v>
      </c>
      <c r="X12" s="94">
        <f>VLOOKUP($T12,$AH$10:$AO$16,4,0)</f>
        <v>2</v>
      </c>
      <c r="Y12" s="94">
        <f>VLOOKUP($T12,$AH$10:$AO$16,5,0)</f>
        <v>1</v>
      </c>
      <c r="Z12" s="94">
        <f>VLOOKUP($T12,$AH$10:$AO$16,6,0)</f>
        <v>0</v>
      </c>
      <c r="AA12" s="95">
        <f>VLOOKUP($T12,$AH$10:$AO$16,7,0)</f>
        <v>5</v>
      </c>
      <c r="AB12" s="95">
        <f>VLOOKUP($T12,$AH$10:$AO$16,8,0)</f>
        <v>3</v>
      </c>
      <c r="AC12" s="95">
        <f>AA12-AB12</f>
        <v>2</v>
      </c>
      <c r="AD12" s="33"/>
      <c r="AE12" s="39"/>
      <c r="AF12" s="46"/>
      <c r="AG12" s="45">
        <v>2</v>
      </c>
      <c r="AH12" s="177" t="str">
        <f>VLOOKUP($AH$6&amp;AG12,Aux!Z:AA,2,0)</f>
        <v>Wydad Casablanca</v>
      </c>
      <c r="AI12" s="45">
        <f>AK12+AL12+AM12</f>
        <v>3</v>
      </c>
      <c r="AJ12" s="45">
        <f>AK12*3+AL12</f>
        <v>0</v>
      </c>
      <c r="AK12" s="45" cm="1">
        <f t="array" ref="AK12">SUM(($G$10:$G$23=$AH12)*($J$10:$J$23&gt;$L$10:$L$23)+($O$10:$O$23=$AH12)*($J$10:$J$23&lt;$L$10:$L$23))</f>
        <v>0</v>
      </c>
      <c r="AL12" s="45" cm="1">
        <f t="array" ref="AL12">SUM(($G$10:$G$23=$AH12)*($J$10:$J$23=$L$10:$L$23)*($J$10:$J$23&lt;&gt;"")+($O$10:$O$23=$AH12)*($J$10:$J$23=$L$10:$L$23)*($J$10:$J$23&lt;&gt;""))</f>
        <v>0</v>
      </c>
      <c r="AM12" s="45" cm="1">
        <f t="array" ref="AM12">SUM(($G$10:$G$23=$AH12)*($J$10:$J$23&lt;$L$10:$L$23)+($O$10:$O$23=$AH12)*($J$10:$J$23&gt;$L$10:$L$23))</f>
        <v>3</v>
      </c>
      <c r="AN12" s="29" cm="1">
        <f t="array" ref="AN12">SUM(($G$10:$G$23=$AH12)*($J$10:$J$23)+($O$10:$O$23=$AH12)*($L$10:$L$23))</f>
        <v>1</v>
      </c>
      <c r="AO12" s="29" cm="1">
        <f t="array" ref="AO12">SUM(($G$10:$G$23=$AH12)*($L$10:$L$23)+($O$10:$O$23=$AH12)*($J$10:$J$23))</f>
        <v>8</v>
      </c>
      <c r="AP12" s="141">
        <f>AN12-AO12</f>
        <v>-7</v>
      </c>
      <c r="AQ12" s="138">
        <v>0</v>
      </c>
      <c r="AR12" s="141">
        <f>+AW12+AV12+AU12</f>
        <v>-9.9999999999999995E-7</v>
      </c>
      <c r="AS12" s="29"/>
      <c r="AT12" s="29"/>
      <c r="AU12" s="141">
        <f>+AJ12</f>
        <v>0</v>
      </c>
      <c r="AV12" s="141">
        <f>SUMIFS($BA12:$BD12,$BA$6:$BD$6,AJ12)/1000</f>
        <v>0</v>
      </c>
      <c r="AW12" s="141">
        <f>SUMIFS($BA12:$BD12,$BA$5:$BD$5,AV12)/1000000</f>
        <v>-9.9999999999999995E-7</v>
      </c>
      <c r="AX12" s="29">
        <f>_xlfn.RANK.EQ(AJ12,$AJ$10:$AJ$16)+_xlfn.RANK.EQ(AR12,$AR$10:$AR$16)/10+_xlfn.RANK.EQ(AP12,$AP$10:$AP$16)/1000+_xlfn.RANK.EQ(AN12,$AN$10:$AN$16)/100000+_xlfn.RANK.EQ(AQ12,$AQ$10:$AQ$16)/100000+ROW()/1000000</f>
        <v>4.4040619999999997</v>
      </c>
      <c r="AY12" s="29">
        <f>_xlfn.RANK.EQ(AX12,$AX$10:$AX$16,1)</f>
        <v>4</v>
      </c>
      <c r="AZ12" s="29"/>
      <c r="BA12" s="29" cm="1">
        <f t="array" ref="BA12">(SUM(($G$10:$G$23=$AH12)*($J$10:$J$23&gt;$L$10:$L$23)*($O$10:$O$23=BA$8)+($O$10:$O$23=$AH12)*($J$10:$J$23&lt;$L$10:$L$23)*($G$10:$G$23=BA$8)))*300+
(SUM(($G$10:$G$23=$AH12)*($J$10:$J$23=$L$10:$L$23)*($O$10:$O$23=BA$8)+($O$10:$O$23=$AH12)*($J$10:$J$23=$L$10:$L$23)*($G$10:$G$23=BA$8)))*100
+SUM(($G$10:$G$23=$AH12)*($J$10:$J$23)*($O$10:$O$23=BA$8)+($O$10:$O$23=$AH12)*($L$10:$L$23)*($G$10:$G$23=BA$8))
-SUM(($G$10:$G$23=$AH12)*($L$10:$L$23)*($O$10:$O$23=BA$8)+($O$10:$O$23=$AH12)*($J$10:$J$23)*($G$10:$G$23=BA$8))
+SUM(($G$10:$G$23=$AH12)*($J$10:$J$23)*($O$10:$O$23=BA$8)+($O$10:$O$23=$AH12)*($L$10:$L$23)*($G$10:$G$23=BA$8))/100</f>
        <v>-5</v>
      </c>
      <c r="BB12" s="29" cm="1">
        <f t="array" ref="BB12">(SUM(($G$10:$G$23=$AH12)*($J$10:$J$23&gt;$L$10:$L$23)*($O$10:$O$23=BB$8)+($O$10:$O$23=$AH12)*($J$10:$J$23&lt;$L$10:$L$23)*($G$10:$G$23=BB$8)))*300+
(SUM(($G$10:$G$23=$AH12)*($J$10:$J$23=$L$10:$L$23)*($O$10:$O$23=BB$8)+($O$10:$O$23=$AH12)*($J$10:$J$23=$L$10:$L$23)*($G$10:$G$23=BB$8)))*100
+SUM(($G$10:$G$23=$AH12)*($J$10:$J$23)*($O$10:$O$23=BB$8)+($O$10:$O$23=$AH12)*($L$10:$L$23)*($G$10:$G$23=BB$8))
-SUM(($G$10:$G$23=$AH12)*($L$10:$L$23)*($O$10:$O$23=BB$8)+($O$10:$O$23=$AH12)*($J$10:$J$23)*($G$10:$G$23=BB$8))
+SUM(($G$10:$G$23=$AH12)*($J$10:$J$23)*($O$10:$O$23=BB$8)+($O$10:$O$23=$AH12)*($L$10:$L$23)*($G$10:$G$23=BB$8))/100</f>
        <v>0</v>
      </c>
      <c r="BC12" s="29" cm="1">
        <f t="array" ref="BC12">(SUM(($G$10:$G$23=$AH12)*($J$10:$J$23&gt;$L$10:$L$23)*($O$10:$O$23=BC$8)+($O$10:$O$23=$AH12)*($J$10:$J$23&lt;$L$10:$L$23)*($G$10:$G$23=BC$8)))*300+
(SUM(($G$10:$G$23=$AH12)*($J$10:$J$23=$L$10:$L$23)*($O$10:$O$23=BC$8)+($O$10:$O$23=$AH12)*($J$10:$J$23=$L$10:$L$23)*($G$10:$G$23=BC$8)))*100
+SUM(($G$10:$G$23=$AH12)*($J$10:$J$23)*($O$10:$O$23=BC$8)+($O$10:$O$23=$AH12)*($L$10:$L$23)*($G$10:$G$23=BC$8))
-SUM(($G$10:$G$23=$AH12)*($L$10:$L$23)*($O$10:$O$23=BC$8)+($O$10:$O$23=$AH12)*($J$10:$J$23)*($G$10:$G$23=BC$8))
+SUM(($G$10:$G$23=$AH12)*($J$10:$J$23)*($O$10:$O$23=BC$8)+($O$10:$O$23=$AH12)*($L$10:$L$23)*($G$10:$G$23=BC$8))/100</f>
        <v>-1</v>
      </c>
      <c r="BD12" s="29" cm="1">
        <f t="array" ref="BD12">(SUM(($G$10:$G$23=$AH12)*($J$10:$J$23&gt;$L$10:$L$23)*($O$10:$O$23=BD$8)+($O$10:$O$23=$AH12)*($J$10:$J$23&lt;$L$10:$L$23)*($G$10:$G$23=BD$8)))*300+
(SUM(($G$10:$G$23=$AH12)*($J$10:$J$23=$L$10:$L$23)*($O$10:$O$23=BD$8)+($O$10:$O$23=$AH12)*($J$10:$J$23=$L$10:$L$23)*($G$10:$G$23=BD$8)))*100
+SUM(($G$10:$G$23=$AH12)*($J$10:$J$23)*($O$10:$O$23=BD$8)+($O$10:$O$23=$AH12)*($L$10:$L$23)*($G$10:$G$23=BD$8))
-SUM(($G$10:$G$23=$AH12)*($L$10:$L$23)*($O$10:$O$23=BD$8)+($O$10:$O$23=$AH12)*($J$10:$J$23)*($G$10:$G$23=BD$8))
+SUM(($G$10:$G$23=$AH12)*($J$10:$J$23)*($O$10:$O$23=BD$8)+($O$10:$O$23=$AH12)*($L$10:$L$23)*($G$10:$G$23=BD$8))/100</f>
        <v>-0.99</v>
      </c>
    </row>
    <row r="13" spans="1:56" s="30" customFormat="1" ht="10.15" customHeight="1" x14ac:dyDescent="0.25">
      <c r="B13" s="164" t="str">
        <v/>
      </c>
      <c r="C13" s="10"/>
      <c r="D13" s="11"/>
      <c r="E13" s="103"/>
      <c r="F13" s="103"/>
      <c r="G13" s="158"/>
      <c r="H13" s="12"/>
      <c r="I13" s="12"/>
      <c r="J13" s="145"/>
      <c r="K13" s="145"/>
      <c r="L13" s="145"/>
      <c r="M13" s="16"/>
      <c r="N13" s="154"/>
      <c r="O13" s="156"/>
      <c r="P13" s="17"/>
      <c r="Q13" s="17"/>
      <c r="R13" s="25"/>
      <c r="S13"/>
      <c r="T13" s="240"/>
      <c r="U13" s="91"/>
      <c r="V13" s="92"/>
      <c r="W13" s="93"/>
      <c r="X13" s="94"/>
      <c r="Y13" s="94"/>
      <c r="Z13" s="94"/>
      <c r="AA13" s="95"/>
      <c r="AB13" s="95"/>
      <c r="AC13" s="95"/>
      <c r="AD13" s="33"/>
      <c r="AE13" s="39"/>
      <c r="AF13" s="46"/>
      <c r="AG13" s="45"/>
      <c r="AH13" s="177"/>
      <c r="AI13" s="45"/>
      <c r="AJ13" s="45"/>
      <c r="AK13" s="45"/>
      <c r="AL13" s="45"/>
      <c r="AM13" s="45"/>
      <c r="AN13" s="29"/>
      <c r="AO13" s="29"/>
      <c r="AP13" s="141"/>
      <c r="AQ13" s="138"/>
      <c r="AR13" s="141"/>
      <c r="AS13" s="29"/>
      <c r="AT13" s="29"/>
      <c r="AU13" s="29"/>
      <c r="AV13" s="141"/>
      <c r="AW13" s="141"/>
      <c r="AX13" s="29"/>
      <c r="AY13" s="29"/>
      <c r="AZ13" s="29"/>
      <c r="BA13" s="29"/>
      <c r="BB13" s="29"/>
      <c r="BC13" s="29"/>
      <c r="BD13" s="29"/>
    </row>
    <row r="14" spans="1:56" s="30" customFormat="1" ht="22.15" customHeight="1" x14ac:dyDescent="0.25">
      <c r="B14" s="164">
        <v>29</v>
      </c>
      <c r="C14" s="7">
        <f>VLOOKUP(B14,Aux!M:AH,4,0)</f>
        <v>45830.75</v>
      </c>
      <c r="D14" s="8">
        <f>VLOOKUP(B14,Aux!M:AH,4,0)</f>
        <v>45830.75</v>
      </c>
      <c r="E14" s="102"/>
      <c r="F14" s="102" t="e" vm="35">
        <f>IFERROR(VLOOKUP(G14,Aux!$A:$X,8,0),"")</f>
        <v>#VALUE!</v>
      </c>
      <c r="G14" s="157" t="str">
        <f>VLOOKUP(B14,Aux!M:Y,5,0)</f>
        <v>Juventus</v>
      </c>
      <c r="H14" s="154" t="e" vm="47">
        <f>IFERROR(VLOOKUP(G14,Aux!$A:$C,3,0),"")</f>
        <v>#VALUE!</v>
      </c>
      <c r="I14" s="154"/>
      <c r="J14" s="203">
        <v>2</v>
      </c>
      <c r="K14" s="145" t="s">
        <v>40</v>
      </c>
      <c r="L14" s="203">
        <v>1</v>
      </c>
      <c r="M14" s="16"/>
      <c r="N14" s="154" t="e" vm="43">
        <f>IFERROR(VLOOKUP(O14,Aux!$A:$C,3,0),"")</f>
        <v>#VALUE!</v>
      </c>
      <c r="O14" s="155" t="str">
        <f>VLOOKUP(B14,Aux!M:Y,6,0)</f>
        <v>Wydad Casablanca</v>
      </c>
      <c r="P14" s="102" t="e" vm="44">
        <f>IFERROR(VLOOKUP(O14,Aux!$A:$X,8,0),"")</f>
        <v>#VALUE!</v>
      </c>
      <c r="Q14" s="16"/>
      <c r="R14" s="24" t="str">
        <f>VLOOKUP(B14,Aux!M:Y,7,0)</f>
        <v>Lincoln Financial Field</v>
      </c>
      <c r="S14"/>
      <c r="T14" s="240" t="str">
        <f>INDEX($AH$10:$AH$17,MATCH(3,$AY$10:$AY$16,0))</f>
        <v>Al-Ain</v>
      </c>
      <c r="U14" s="91" t="e" vm="46">
        <f>IFERROR(VLOOKUP(T14,Aux!A:C,3,0),"")</f>
        <v>#VALUE!</v>
      </c>
      <c r="V14" s="92"/>
      <c r="W14" s="93">
        <f>VLOOKUP($T14,$AH$10:$AO$16,3,0)</f>
        <v>3</v>
      </c>
      <c r="X14" s="94">
        <f>VLOOKUP($T14,$AH$10:$AO$16,4,0)</f>
        <v>1</v>
      </c>
      <c r="Y14" s="94">
        <f>VLOOKUP($T14,$AH$10:$AO$16,5,0)</f>
        <v>0</v>
      </c>
      <c r="Z14" s="94">
        <f>VLOOKUP($T14,$AH$10:$AO$16,6,0)</f>
        <v>2</v>
      </c>
      <c r="AA14" s="95">
        <f>VLOOKUP($T14,$AH$10:$AO$16,7,0)</f>
        <v>2</v>
      </c>
      <c r="AB14" s="95">
        <f>VLOOKUP($T14,$AH$10:$AO$16,8,0)</f>
        <v>5</v>
      </c>
      <c r="AC14" s="95">
        <f>AA14-AB14</f>
        <v>-3</v>
      </c>
      <c r="AD14" s="33"/>
      <c r="AE14" s="47"/>
      <c r="AF14" s="45"/>
      <c r="AG14" s="45">
        <v>3</v>
      </c>
      <c r="AH14" s="177" t="str">
        <f>VLOOKUP($AH$6&amp;AG14,Aux!Z:AA,2,0)</f>
        <v>Al-Ain</v>
      </c>
      <c r="AI14" s="45">
        <f>AK14+AL14+AM14</f>
        <v>3</v>
      </c>
      <c r="AJ14" s="45">
        <f>AK14*3+AL14</f>
        <v>3</v>
      </c>
      <c r="AK14" s="45" cm="1">
        <f t="array" ref="AK14">SUM(($G$10:$G$23=$AH14)*($J$10:$J$23&gt;$L$10:$L$23)+($O$10:$O$23=$AH14)*($J$10:$J$23&lt;$L$10:$L$23))</f>
        <v>1</v>
      </c>
      <c r="AL14" s="45" cm="1">
        <f t="array" ref="AL14">SUM(($G$10:$G$23=$AH14)*($J$10:$J$23=$L$10:$L$23)*($J$10:$J$23&lt;&gt;"")+($O$10:$O$23=$AH14)*($J$10:$J$23=$L$10:$L$23)*($J$10:$J$23&lt;&gt;""))</f>
        <v>0</v>
      </c>
      <c r="AM14" s="45" cm="1">
        <f t="array" ref="AM14">SUM(($G$10:$G$23=$AH14)*($J$10:$J$23&lt;$L$10:$L$23)+($O$10:$O$23=$AH14)*($J$10:$J$23&gt;$L$10:$L$23))</f>
        <v>2</v>
      </c>
      <c r="AN14" s="29" cm="1">
        <f t="array" ref="AN14">SUM(($G$10:$G$23=$AH14)*($J$10:$J$23)+($O$10:$O$23=$AH14)*($L$10:$L$23))</f>
        <v>2</v>
      </c>
      <c r="AO14" s="29" cm="1">
        <f t="array" ref="AO14">SUM(($G$10:$G$23=$AH14)*($L$10:$L$23)+($O$10:$O$23=$AH14)*($J$10:$J$23))</f>
        <v>5</v>
      </c>
      <c r="AP14" s="141">
        <f>AN14-AO14</f>
        <v>-3</v>
      </c>
      <c r="AQ14" s="138">
        <v>0</v>
      </c>
      <c r="AR14" s="141">
        <f>+AW14+AV14+AU14</f>
        <v>3.0003010099999998</v>
      </c>
      <c r="AS14" s="29"/>
      <c r="AT14" s="29"/>
      <c r="AU14" s="141">
        <f>+AJ14</f>
        <v>3</v>
      </c>
      <c r="AV14" s="141">
        <f>SUMIFS($BA14:$BD14,$BA$6:$BD$6,AJ14)/1000</f>
        <v>0</v>
      </c>
      <c r="AW14" s="141">
        <f>SUMIFS($BA14:$BD14,$BA$5:$BD$5,AV14)/1000000</f>
        <v>3.0100999999999999E-4</v>
      </c>
      <c r="AX14" s="29">
        <f>_xlfn.RANK.EQ(AJ14,$AJ$10:$AJ$16)+_xlfn.RANK.EQ(AR14,$AR$10:$AR$16)/10+_xlfn.RANK.EQ(AP14,$AP$10:$AP$16)/1000+_xlfn.RANK.EQ(AN14,$AN$10:$AN$16)/100000+_xlfn.RANK.EQ(AQ14,$AQ$10:$AQ$16)/100000+ROW()/1000000</f>
        <v>3.3030540000000004</v>
      </c>
      <c r="AY14" s="29">
        <f>_xlfn.RANK.EQ(AX14,$AX$10:$AX$16,1)</f>
        <v>3</v>
      </c>
      <c r="AZ14" s="29"/>
      <c r="BA14" s="29" cm="1">
        <f t="array" ref="BA14">(SUM(($G$10:$G$23=$AH14)*($J$10:$J$23&gt;$L$10:$L$23)*($O$10:$O$23=BA$8)+($O$10:$O$23=$AH14)*($J$10:$J$23&lt;$L$10:$L$23)*($G$10:$G$23=BA$8)))*300+
(SUM(($G$10:$G$23=$AH14)*($J$10:$J$23=$L$10:$L$23)*($O$10:$O$23=BA$8)+($O$10:$O$23=$AH14)*($J$10:$J$23=$L$10:$L$23)*($G$10:$G$23=BA$8)))*100
+SUM(($G$10:$G$23=$AH14)*($J$10:$J$23)*($O$10:$O$23=BA$8)+($O$10:$O$23=$AH14)*($L$10:$L$23)*($G$10:$G$23=BA$8))
-SUM(($G$10:$G$23=$AH14)*($L$10:$L$23)*($O$10:$O$23=BA$8)+($O$10:$O$23=$AH14)*($J$10:$J$23)*($G$10:$G$23=BA$8))
+SUM(($G$10:$G$23=$AH14)*($J$10:$J$23)*($O$10:$O$23=BA$8)+($O$10:$O$23=$AH14)*($L$10:$L$23)*($G$10:$G$23=BA$8))/100</f>
        <v>-3</v>
      </c>
      <c r="BB14" s="29" cm="1">
        <f t="array" ref="BB14">(SUM(($G$10:$G$23=$AH14)*($J$10:$J$23&gt;$L$10:$L$23)*($O$10:$O$23=BB$8)+($O$10:$O$23=$AH14)*($J$10:$J$23&lt;$L$10:$L$23)*($G$10:$G$23=BB$8)))*300+
(SUM(($G$10:$G$23=$AH14)*($J$10:$J$23=$L$10:$L$23)*($O$10:$O$23=BB$8)+($O$10:$O$23=$AH14)*($J$10:$J$23=$L$10:$L$23)*($G$10:$G$23=BB$8)))*100
+SUM(($G$10:$G$23=$AH14)*($J$10:$J$23)*($O$10:$O$23=BB$8)+($O$10:$O$23=$AH14)*($L$10:$L$23)*($G$10:$G$23=BB$8))
-SUM(($G$10:$G$23=$AH14)*($L$10:$L$23)*($O$10:$O$23=BB$8)+($O$10:$O$23=$AH14)*($J$10:$J$23)*($G$10:$G$23=BB$8))
+SUM(($G$10:$G$23=$AH14)*($J$10:$J$23)*($O$10:$O$23=BB$8)+($O$10:$O$23=$AH14)*($L$10:$L$23)*($G$10:$G$23=BB$8))/100</f>
        <v>301.01</v>
      </c>
      <c r="BC14" s="29" cm="1">
        <f t="array" ref="BC14">(SUM(($G$10:$G$23=$AH14)*($J$10:$J$23&gt;$L$10:$L$23)*($O$10:$O$23=BC$8)+($O$10:$O$23=$AH14)*($J$10:$J$23&lt;$L$10:$L$23)*($G$10:$G$23=BC$8)))*300+
(SUM(($G$10:$G$23=$AH14)*($J$10:$J$23=$L$10:$L$23)*($O$10:$O$23=BC$8)+($O$10:$O$23=$AH14)*($J$10:$J$23=$L$10:$L$23)*($G$10:$G$23=BC$8)))*100
+SUM(($G$10:$G$23=$AH14)*($J$10:$J$23)*($O$10:$O$23=BC$8)+($O$10:$O$23=$AH14)*($L$10:$L$23)*($G$10:$G$23=BC$8))
-SUM(($G$10:$G$23=$AH14)*($L$10:$L$23)*($O$10:$O$23=BC$8)+($O$10:$O$23=$AH14)*($J$10:$J$23)*($G$10:$G$23=BC$8))
+SUM(($G$10:$G$23=$AH14)*($J$10:$J$23)*($O$10:$O$23=BC$8)+($O$10:$O$23=$AH14)*($L$10:$L$23)*($G$10:$G$23=BC$8))/100</f>
        <v>0</v>
      </c>
      <c r="BD14" s="29" cm="1">
        <f t="array" ref="BD14">(SUM(($G$10:$G$23=$AH14)*($J$10:$J$23&gt;$L$10:$L$23)*($O$10:$O$23=BD$8)+($O$10:$O$23=$AH14)*($J$10:$J$23&lt;$L$10:$L$23)*($G$10:$G$23=BD$8)))*300+
(SUM(($G$10:$G$23=$AH14)*($J$10:$J$23=$L$10:$L$23)*($O$10:$O$23=BD$8)+($O$10:$O$23=$AH14)*($J$10:$J$23=$L$10:$L$23)*($G$10:$G$23=BD$8)))*100
+SUM(($G$10:$G$23=$AH14)*($J$10:$J$23)*($O$10:$O$23=BD$8)+($O$10:$O$23=$AH14)*($L$10:$L$23)*($G$10:$G$23=BD$8))
-SUM(($G$10:$G$23=$AH14)*($L$10:$L$23)*($O$10:$O$23=BD$8)+($O$10:$O$23=$AH14)*($J$10:$J$23)*($G$10:$G$23=BD$8))
+SUM(($G$10:$G$23=$AH14)*($J$10:$J$23)*($O$10:$O$23=BD$8)+($O$10:$O$23=$AH14)*($L$10:$L$23)*($G$10:$G$23=BD$8))/100</f>
        <v>-0.99</v>
      </c>
    </row>
    <row r="15" spans="1:56" s="30" customFormat="1" ht="10.15" customHeight="1" x14ac:dyDescent="0.25">
      <c r="B15" s="164" t="str">
        <v/>
      </c>
      <c r="C15" s="7"/>
      <c r="D15" s="8"/>
      <c r="E15" s="102"/>
      <c r="F15" s="102"/>
      <c r="G15" s="157"/>
      <c r="H15" s="9"/>
      <c r="I15" s="9"/>
      <c r="J15" s="154"/>
      <c r="K15" s="9"/>
      <c r="L15" s="154"/>
      <c r="M15" s="16"/>
      <c r="N15" s="154"/>
      <c r="O15" s="155"/>
      <c r="P15" s="16"/>
      <c r="Q15" s="16"/>
      <c r="R15" s="24"/>
      <c r="S15"/>
      <c r="T15" s="240"/>
      <c r="U15" s="91"/>
      <c r="V15" s="92"/>
      <c r="W15" s="93"/>
      <c r="X15" s="94"/>
      <c r="Y15" s="94"/>
      <c r="Z15" s="94"/>
      <c r="AA15" s="95"/>
      <c r="AB15" s="95"/>
      <c r="AC15" s="95"/>
      <c r="AD15" s="33"/>
      <c r="AE15" s="47"/>
      <c r="AF15" s="45"/>
      <c r="AG15" s="45"/>
      <c r="AH15" s="177"/>
      <c r="AI15" s="45"/>
      <c r="AJ15" s="45"/>
      <c r="AK15" s="45"/>
      <c r="AL15" s="45"/>
      <c r="AM15" s="45"/>
      <c r="AN15" s="29"/>
      <c r="AO15" s="29"/>
      <c r="AP15" s="141"/>
      <c r="AQ15" s="138"/>
      <c r="AR15" s="141"/>
      <c r="AS15" s="29"/>
      <c r="AT15" s="29"/>
      <c r="AU15" s="29"/>
      <c r="AV15" s="141"/>
      <c r="AW15" s="141"/>
      <c r="AX15" s="29"/>
      <c r="AY15" s="29"/>
      <c r="AZ15" s="29"/>
      <c r="BA15" s="29"/>
      <c r="BB15" s="29"/>
      <c r="BC15" s="29"/>
      <c r="BD15" s="29"/>
    </row>
    <row r="16" spans="1:56" s="30" customFormat="1" ht="22.15" customHeight="1" x14ac:dyDescent="0.25">
      <c r="B16" s="164">
        <v>32</v>
      </c>
      <c r="C16" s="7">
        <f>VLOOKUP(B16,Aux!M:AH,4,0)</f>
        <v>45831.125</v>
      </c>
      <c r="D16" s="8">
        <f>VLOOKUP(B16,Aux!M:AH,4,0)</f>
        <v>45831.125</v>
      </c>
      <c r="E16" s="102"/>
      <c r="F16" s="102" t="e" vm="25">
        <f>IFERROR(VLOOKUP(G16,Aux!$A:$X,8,0),"")</f>
        <v>#VALUE!</v>
      </c>
      <c r="G16" s="157" t="str">
        <f>VLOOKUP(B16,Aux!M:Y,5,0)</f>
        <v>Manchester City</v>
      </c>
      <c r="H16" s="154" t="e" vm="42">
        <f>IFERROR(VLOOKUP(G16,Aux!$A:$C,3,0),"")</f>
        <v>#VALUE!</v>
      </c>
      <c r="I16" s="154"/>
      <c r="J16" s="203">
        <v>3</v>
      </c>
      <c r="K16" s="145" t="s">
        <v>40</v>
      </c>
      <c r="L16" s="203">
        <v>0</v>
      </c>
      <c r="M16" s="16"/>
      <c r="N16" s="154" t="e" vm="46">
        <f>IFERROR(VLOOKUP(O16,Aux!$A:$C,3,0),"")</f>
        <v>#VALUE!</v>
      </c>
      <c r="O16" s="155" t="str">
        <f>VLOOKUP(B16,Aux!M:Y,6,0)</f>
        <v>Al-Ain</v>
      </c>
      <c r="P16" s="102" t="e" vm="45">
        <f>IFERROR(VLOOKUP(O16,Aux!$A:$X,8,0),"")</f>
        <v>#VALUE!</v>
      </c>
      <c r="Q16" s="16"/>
      <c r="R16" s="24" t="str">
        <f>VLOOKUP(B16,Aux!M:Y,7,0)</f>
        <v>Mercedes-Benz Stadium</v>
      </c>
      <c r="S16"/>
      <c r="T16" s="240" t="str">
        <f>INDEX($AH$10:$AH$17,MATCH(4,$AY$10:$AY$16,0))</f>
        <v>Wydad Casablanca</v>
      </c>
      <c r="U16" s="91" t="e" vm="43">
        <f>IFERROR(VLOOKUP(T16,Aux!A:C,3,0),"")</f>
        <v>#VALUE!</v>
      </c>
      <c r="V16" s="92"/>
      <c r="W16" s="93">
        <f>VLOOKUP($T16,$AH$10:$AO$16,3,0)</f>
        <v>0</v>
      </c>
      <c r="X16" s="94">
        <f>VLOOKUP($T16,$AH$10:$AO$16,4,0)</f>
        <v>0</v>
      </c>
      <c r="Y16" s="94">
        <f>VLOOKUP($T16,$AH$10:$AO$16,5,0)</f>
        <v>0</v>
      </c>
      <c r="Z16" s="94">
        <f>VLOOKUP($T16,$AH$10:$AO$16,6,0)</f>
        <v>3</v>
      </c>
      <c r="AA16" s="95">
        <f>VLOOKUP($T16,$AH$10:$AO$16,7,0)</f>
        <v>1</v>
      </c>
      <c r="AB16" s="95">
        <f>VLOOKUP($T16,$AH$10:$AO$16,8,0)</f>
        <v>8</v>
      </c>
      <c r="AC16" s="95">
        <f>AA16-AB16</f>
        <v>-7</v>
      </c>
      <c r="AD16" s="33"/>
      <c r="AE16" s="39"/>
      <c r="AF16" s="46"/>
      <c r="AG16" s="45">
        <v>4</v>
      </c>
      <c r="AH16" s="177" t="str">
        <f>VLOOKUP($AH$6&amp;AG16,Aux!Z:AA,2,0)</f>
        <v>Juventus</v>
      </c>
      <c r="AI16" s="45">
        <f>AK16+AL16+AM16</f>
        <v>3</v>
      </c>
      <c r="AJ16" s="45">
        <f>AK16*3+AL16</f>
        <v>7</v>
      </c>
      <c r="AK16" s="45" cm="1">
        <f t="array" ref="AK16">SUM(($G$10:$G$23=$AH16)*($J$10:$J$23&gt;$L$10:$L$23)+($O$10:$O$23=$AH16)*($J$10:$J$23&lt;$L$10:$L$23))</f>
        <v>2</v>
      </c>
      <c r="AL16" s="45" cm="1">
        <f t="array" ref="AL16">SUM(($G$10:$G$23=$AH16)*($J$10:$J$23=$L$10:$L$23)*($J$10:$J$23&lt;&gt;"")+($O$10:$O$23=$AH16)*($J$10:$J$23=$L$10:$L$23)*($J$10:$J$23&lt;&gt;""))</f>
        <v>1</v>
      </c>
      <c r="AM16" s="45" cm="1">
        <f t="array" ref="AM16">SUM(($G$10:$G$23=$AH16)*($J$10:$J$23&lt;$L$10:$L$23)+($O$10:$O$23=$AH16)*($J$10:$J$23&gt;$L$10:$L$23))</f>
        <v>0</v>
      </c>
      <c r="AN16" s="29" cm="1">
        <f t="array" ref="AN16">SUM(($G$10:$G$23=$AH16)*($J$10:$J$23)+($O$10:$O$23=$AH16)*($L$10:$L$23))</f>
        <v>5</v>
      </c>
      <c r="AO16" s="29" cm="1">
        <f t="array" ref="AO16">SUM(($G$10:$G$23=$AH16)*($L$10:$L$23)+($O$10:$O$23=$AH16)*($J$10:$J$23))</f>
        <v>3</v>
      </c>
      <c r="AP16" s="141">
        <f>AN16-AO16</f>
        <v>2</v>
      </c>
      <c r="AQ16" s="138">
        <v>0</v>
      </c>
      <c r="AR16" s="141">
        <f>+AW16+AV16+AU16</f>
        <v>7.1001100099999999</v>
      </c>
      <c r="AS16" s="29"/>
      <c r="AT16" s="29"/>
      <c r="AU16" s="141">
        <f>+AJ16</f>
        <v>7</v>
      </c>
      <c r="AV16" s="141">
        <f>SUMIFS($BA16:$BD16,$BA$6:$BD$6,AJ16)/1000</f>
        <v>0.10001</v>
      </c>
      <c r="AW16" s="141">
        <f>SUMIFS($BA16:$BD16,$BA$5:$BD$5,AV16)/1000000</f>
        <v>1.0001E-4</v>
      </c>
      <c r="AX16" s="29">
        <f>_xlfn.RANK.EQ(AJ16,$AJ$10:$AJ$16)+_xlfn.RANK.EQ(AR16,$AR$10:$AR$16)/10+_xlfn.RANK.EQ(AP16,$AP$10:$AP$16)/1000+_xlfn.RANK.EQ(AN16,$AN$10:$AN$16)/100000+_xlfn.RANK.EQ(AQ16,$AQ$10:$AQ$16)/100000+ROW()/1000000</f>
        <v>1.1020460000000001</v>
      </c>
      <c r="AY16" s="29">
        <f>_xlfn.RANK.EQ(AX16,$AX$10:$AX$16,1)</f>
        <v>2</v>
      </c>
      <c r="AZ16" s="29"/>
      <c r="BA16" s="29" cm="1">
        <f t="array" ref="BA16">(SUM(($G$10:$G$23=$AH16)*($J$10:$J$23&gt;$L$10:$L$23)*($O$10:$O$23=BA$8)+($O$10:$O$23=$AH16)*($J$10:$J$23&lt;$L$10:$L$23)*($G$10:$G$23=BA$8)))*300+
(SUM(($G$10:$G$23=$AH16)*($J$10:$J$23=$L$10:$L$23)*($O$10:$O$23=BA$8)+($O$10:$O$23=$AH16)*($J$10:$J$23=$L$10:$L$23)*($G$10:$G$23=BA$8)))*100
+SUM(($G$10:$G$23=$AH16)*($J$10:$J$23)*($O$10:$O$23=BA$8)+($O$10:$O$23=$AH16)*($L$10:$L$23)*($G$10:$G$23=BA$8))
-SUM(($G$10:$G$23=$AH16)*($L$10:$L$23)*($O$10:$O$23=BA$8)+($O$10:$O$23=$AH16)*($J$10:$J$23)*($G$10:$G$23=BA$8))
+SUM(($G$10:$G$23=$AH16)*($J$10:$J$23)*($O$10:$O$23=BA$8)+($O$10:$O$23=$AH16)*($L$10:$L$23)*($G$10:$G$23=BA$8))/100</f>
        <v>100.01</v>
      </c>
      <c r="BB16" s="29" cm="1">
        <f t="array" ref="BB16">(SUM(($G$10:$G$23=$AH16)*($J$10:$J$23&gt;$L$10:$L$23)*($O$10:$O$23=BB$8)+($O$10:$O$23=$AH16)*($J$10:$J$23&lt;$L$10:$L$23)*($G$10:$G$23=BB$8)))*300+
(SUM(($G$10:$G$23=$AH16)*($J$10:$J$23=$L$10:$L$23)*($O$10:$O$23=BB$8)+($O$10:$O$23=$AH16)*($J$10:$J$23=$L$10:$L$23)*($G$10:$G$23=BB$8)))*100
+SUM(($G$10:$G$23=$AH16)*($J$10:$J$23)*($O$10:$O$23=BB$8)+($O$10:$O$23=$AH16)*($L$10:$L$23)*($G$10:$G$23=BB$8))
-SUM(($G$10:$G$23=$AH16)*($L$10:$L$23)*($O$10:$O$23=BB$8)+($O$10:$O$23=$AH16)*($J$10:$J$23)*($G$10:$G$23=BB$8))
+SUM(($G$10:$G$23=$AH16)*($J$10:$J$23)*($O$10:$O$23=BB$8)+($O$10:$O$23=$AH16)*($L$10:$L$23)*($G$10:$G$23=BB$8))/100</f>
        <v>301.02</v>
      </c>
      <c r="BC16" s="29" cm="1">
        <f t="array" ref="BC16">(SUM(($G$10:$G$23=$AH16)*($J$10:$J$23&gt;$L$10:$L$23)*($O$10:$O$23=BC$8)+($O$10:$O$23=$AH16)*($J$10:$J$23&lt;$L$10:$L$23)*($G$10:$G$23=BC$8)))*300+
(SUM(($G$10:$G$23=$AH16)*($J$10:$J$23=$L$10:$L$23)*($O$10:$O$23=BC$8)+($O$10:$O$23=$AH16)*($J$10:$J$23=$L$10:$L$23)*($G$10:$G$23=BC$8)))*100
+SUM(($G$10:$G$23=$AH16)*($J$10:$J$23)*($O$10:$O$23=BC$8)+($O$10:$O$23=$AH16)*($L$10:$L$23)*($G$10:$G$23=BC$8))
-SUM(($G$10:$G$23=$AH16)*($L$10:$L$23)*($O$10:$O$23=BC$8)+($O$10:$O$23=$AH16)*($J$10:$J$23)*($G$10:$G$23=BC$8))
+SUM(($G$10:$G$23=$AH16)*($J$10:$J$23)*($O$10:$O$23=BC$8)+($O$10:$O$23=$AH16)*($L$10:$L$23)*($G$10:$G$23=BC$8))/100</f>
        <v>301.02</v>
      </c>
      <c r="BD16" s="29" cm="1">
        <f t="array" ref="BD16">(SUM(($G$10:$G$23=$AH16)*($J$10:$J$23&gt;$L$10:$L$23)*($O$10:$O$23=BD$8)+($O$10:$O$23=$AH16)*($J$10:$J$23&lt;$L$10:$L$23)*($G$10:$G$23=BD$8)))*300+
(SUM(($G$10:$G$23=$AH16)*($J$10:$J$23=$L$10:$L$23)*($O$10:$O$23=BD$8)+($O$10:$O$23=$AH16)*($J$10:$J$23=$L$10:$L$23)*($G$10:$G$23=BD$8)))*100
+SUM(($G$10:$G$23=$AH16)*($J$10:$J$23)*($O$10:$O$23=BD$8)+($O$10:$O$23=$AH16)*($L$10:$L$23)*($G$10:$G$23=BD$8))
-SUM(($G$10:$G$23=$AH16)*($L$10:$L$23)*($O$10:$O$23=BD$8)+($O$10:$O$23=$AH16)*($J$10:$J$23)*($G$10:$G$23=BD$8))
+SUM(($G$10:$G$23=$AH16)*($J$10:$J$23)*($O$10:$O$23=BD$8)+($O$10:$O$23=$AH16)*($L$10:$L$23)*($G$10:$G$23=BD$8))/100</f>
        <v>0</v>
      </c>
    </row>
    <row r="17" spans="2:56" s="30" customFormat="1" ht="10.15" customHeight="1" x14ac:dyDescent="0.25">
      <c r="B17" s="164" t="str">
        <v/>
      </c>
      <c r="C17" s="10"/>
      <c r="D17" s="11"/>
      <c r="E17" s="103"/>
      <c r="F17" s="103"/>
      <c r="G17" s="158"/>
      <c r="H17" s="12"/>
      <c r="I17" s="12"/>
      <c r="J17" s="145"/>
      <c r="K17" s="145"/>
      <c r="L17" s="145"/>
      <c r="M17" s="16"/>
      <c r="N17" s="154"/>
      <c r="O17" s="156"/>
      <c r="P17" s="17"/>
      <c r="Q17" s="17"/>
      <c r="R17" s="25"/>
      <c r="S17"/>
      <c r="T17" s="90"/>
      <c r="U17" s="91"/>
      <c r="V17" s="92"/>
      <c r="W17" s="93"/>
      <c r="X17" s="94"/>
      <c r="Y17" s="94"/>
      <c r="Z17" s="94"/>
      <c r="AA17" s="95"/>
      <c r="AB17" s="95"/>
      <c r="AC17" s="95"/>
      <c r="AD17" s="33"/>
      <c r="AE17" s="39"/>
      <c r="AF17" s="46"/>
      <c r="AG17" s="45"/>
      <c r="AH17" s="177"/>
      <c r="AI17" s="45"/>
      <c r="AJ17" s="45"/>
      <c r="AK17" s="45"/>
      <c r="AL17" s="45"/>
      <c r="AM17" s="45"/>
      <c r="AN17" s="29"/>
      <c r="AO17" s="29"/>
      <c r="AP17" s="141"/>
      <c r="AQ17" s="29"/>
      <c r="AR17" s="29"/>
      <c r="AS17" s="29"/>
      <c r="AT17" s="29"/>
      <c r="AU17" s="29"/>
      <c r="AV17" s="141"/>
      <c r="AW17" s="29"/>
      <c r="AX17" s="29"/>
      <c r="AY17" s="29"/>
      <c r="AZ17" s="29"/>
      <c r="BA17" s="29"/>
      <c r="BB17" s="29"/>
      <c r="BC17" s="29"/>
      <c r="BD17" s="29"/>
    </row>
    <row r="18" spans="2:56" s="30" customFormat="1" ht="22.15" customHeight="1" thickBot="1" x14ac:dyDescent="0.3">
      <c r="B18" s="164">
        <v>45</v>
      </c>
      <c r="C18" s="7">
        <f>VLOOKUP(B18,Aux!M:AH,4,0)</f>
        <v>45834.875</v>
      </c>
      <c r="D18" s="8">
        <f>VLOOKUP(B18,Aux!M:AH,4,0)</f>
        <v>45834.875</v>
      </c>
      <c r="E18" s="102"/>
      <c r="F18" s="102" t="e" vm="35">
        <f>IFERROR(VLOOKUP(G18,Aux!$A:$X,8,0),"")</f>
        <v>#VALUE!</v>
      </c>
      <c r="G18" s="157" t="str">
        <f>VLOOKUP(B18,Aux!M:Y,5,0)</f>
        <v>Juventus</v>
      </c>
      <c r="H18" s="154" t="e" vm="47">
        <f>IFERROR(VLOOKUP(G18,Aux!$A:$C,3,0),"")</f>
        <v>#VALUE!</v>
      </c>
      <c r="I18" s="154"/>
      <c r="J18" s="203">
        <v>1</v>
      </c>
      <c r="K18" s="145" t="s">
        <v>40</v>
      </c>
      <c r="L18" s="203">
        <v>1</v>
      </c>
      <c r="M18" s="16"/>
      <c r="N18" s="154" t="e" vm="42">
        <f>IFERROR(VLOOKUP(O18,Aux!$A:$C,3,0),"")</f>
        <v>#VALUE!</v>
      </c>
      <c r="O18" s="155" t="str">
        <f>VLOOKUP(B18,Aux!M:Y,6,0)</f>
        <v>Manchester City</v>
      </c>
      <c r="P18" s="102" t="e" vm="25">
        <f>IFERROR(VLOOKUP(O18,Aux!$A:$X,8,0),"")</f>
        <v>#VALUE!</v>
      </c>
      <c r="Q18" s="16"/>
      <c r="R18" s="24" t="str">
        <f>VLOOKUP(B18,Aux!M:Y,7,0)</f>
        <v>Camping World Stadium</v>
      </c>
      <c r="S18"/>
      <c r="T18" s="310"/>
      <c r="U18" s="310"/>
      <c r="V18" s="310"/>
      <c r="W18" s="310"/>
      <c r="X18" s="310"/>
      <c r="Y18" s="310"/>
      <c r="Z18" s="310"/>
      <c r="AA18" s="310"/>
      <c r="AB18" s="310"/>
      <c r="AC18" s="310"/>
      <c r="AD18" s="33"/>
      <c r="AE18" s="33"/>
      <c r="AF18" s="45"/>
      <c r="AG18" s="45"/>
      <c r="AH18" s="45"/>
      <c r="AI18" s="45"/>
      <c r="AJ18" s="45"/>
      <c r="AK18" s="45"/>
      <c r="AL18" s="45"/>
      <c r="AM18" s="45"/>
      <c r="AN18" s="29"/>
      <c r="AO18" s="29"/>
      <c r="AP18" s="29"/>
      <c r="AQ18" s="29"/>
      <c r="AR18" s="29"/>
      <c r="AS18" s="29"/>
      <c r="AT18" s="29"/>
      <c r="AU18" s="29"/>
      <c r="AV18" s="29"/>
      <c r="AW18" s="29"/>
      <c r="AX18" s="29"/>
      <c r="AY18" s="29"/>
      <c r="AZ18" s="29"/>
      <c r="BA18" s="29"/>
      <c r="BB18" s="29"/>
      <c r="BC18" s="29"/>
      <c r="BD18" s="29"/>
    </row>
    <row r="19" spans="2:56" s="30" customFormat="1" ht="10.15" customHeight="1" thickTop="1" x14ac:dyDescent="0.25">
      <c r="B19" s="164" t="str">
        <v/>
      </c>
      <c r="C19" s="10"/>
      <c r="D19" s="11"/>
      <c r="E19" s="103"/>
      <c r="F19" s="103"/>
      <c r="G19" s="158"/>
      <c r="H19" s="12"/>
      <c r="I19" s="12"/>
      <c r="J19" s="145"/>
      <c r="K19" s="145"/>
      <c r="L19" s="145"/>
      <c r="M19" s="16"/>
      <c r="N19" s="154"/>
      <c r="O19" s="155"/>
      <c r="P19" s="17"/>
      <c r="Q19" s="17"/>
      <c r="R19" s="25"/>
      <c r="S19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33"/>
      <c r="AE19" s="33"/>
      <c r="AF19" s="45"/>
      <c r="AG19" s="45"/>
      <c r="AH19" s="45"/>
      <c r="AI19" s="45"/>
      <c r="AJ19" s="45"/>
      <c r="AK19" s="45"/>
      <c r="AL19" s="45"/>
      <c r="AM19" s="45"/>
      <c r="AN19" s="29"/>
      <c r="AO19" s="29"/>
      <c r="AP19" s="29"/>
      <c r="AQ19" s="29"/>
      <c r="AR19" s="29"/>
      <c r="AS19" s="29"/>
      <c r="AT19" s="29"/>
      <c r="AU19" s="29"/>
      <c r="AV19" s="29"/>
      <c r="AW19" s="29"/>
      <c r="AX19" s="29"/>
      <c r="AY19" s="29"/>
      <c r="AZ19" s="29"/>
      <c r="BA19" s="45"/>
      <c r="BB19" s="127"/>
      <c r="BC19" s="127"/>
      <c r="BD19" s="127"/>
    </row>
    <row r="20" spans="2:56" s="30" customFormat="1" ht="22.15" customHeight="1" x14ac:dyDescent="0.25">
      <c r="B20" s="164">
        <v>46</v>
      </c>
      <c r="C20" s="7">
        <f>VLOOKUP(B20,Aux!M:AH,4,0)</f>
        <v>45834.875</v>
      </c>
      <c r="D20" s="8">
        <f>VLOOKUP(B20,Aux!M:AH,4,0)</f>
        <v>45834.875</v>
      </c>
      <c r="E20" s="102"/>
      <c r="F20" s="102" t="e" vm="44">
        <f>IFERROR(VLOOKUP(G20,Aux!$A:$X,8,0),"")</f>
        <v>#VALUE!</v>
      </c>
      <c r="G20" s="157" t="str">
        <f>VLOOKUP(B20,Aux!M:Y,5,0)</f>
        <v>Wydad Casablanca</v>
      </c>
      <c r="H20" s="154" t="e" vm="43">
        <f>IFERROR(VLOOKUP(G20,Aux!$A:$C,3,0),"")</f>
        <v>#VALUE!</v>
      </c>
      <c r="I20" s="154"/>
      <c r="J20" s="203">
        <v>0</v>
      </c>
      <c r="K20" s="145" t="s">
        <v>40</v>
      </c>
      <c r="L20" s="203">
        <v>1</v>
      </c>
      <c r="M20" s="16"/>
      <c r="N20" s="154" t="e" vm="46">
        <f>IFERROR(VLOOKUP(O20,Aux!$A:$C,3,0),"")</f>
        <v>#VALUE!</v>
      </c>
      <c r="O20" s="155" t="str">
        <f>VLOOKUP(B20,Aux!M:Y,6,0)</f>
        <v>Al-Ain</v>
      </c>
      <c r="P20" s="102" t="e" vm="45">
        <f>IFERROR(VLOOKUP(O20,Aux!$A:$X,8,0),"")</f>
        <v>#VALUE!</v>
      </c>
      <c r="Q20" s="16"/>
      <c r="R20" s="24" t="str">
        <f>VLOOKUP(B20,Aux!M:Y,7,0)</f>
        <v>Audi Field</v>
      </c>
      <c r="S20"/>
      <c r="T20" s="28"/>
      <c r="U20" s="28"/>
      <c r="V20" s="28"/>
      <c r="W20"/>
      <c r="X20" s="28"/>
      <c r="Y20" s="28"/>
      <c r="Z20" s="28"/>
      <c r="AA20" s="28"/>
      <c r="AB20" s="28"/>
      <c r="AC20" s="28"/>
      <c r="AD20" s="33"/>
      <c r="AE20" s="33"/>
      <c r="AF20" s="45"/>
      <c r="AG20" s="45"/>
      <c r="AH20" s="45"/>
      <c r="AI20" s="45"/>
      <c r="AJ20" s="45"/>
      <c r="AK20" s="45"/>
      <c r="AL20" s="45"/>
      <c r="AM20" s="45"/>
      <c r="AN20" s="29"/>
      <c r="AO20" s="29"/>
      <c r="AP20" s="29"/>
      <c r="AQ20" s="29"/>
      <c r="AR20" s="29"/>
      <c r="AS20" s="29"/>
      <c r="AT20" s="29"/>
      <c r="AU20" s="29"/>
      <c r="AV20" s="29"/>
      <c r="AW20" s="29"/>
      <c r="AX20" s="29"/>
      <c r="AY20" s="29"/>
      <c r="AZ20" s="29"/>
      <c r="BA20" s="138"/>
      <c r="BB20" s="138"/>
      <c r="BC20" s="138"/>
      <c r="BD20" s="138"/>
    </row>
    <row r="21" spans="2:56" s="30" customFormat="1" ht="10.15" customHeight="1" x14ac:dyDescent="0.25">
      <c r="B21" s="165" t="str">
        <v/>
      </c>
      <c r="C21" s="13"/>
      <c r="D21" s="14"/>
      <c r="E21" s="18"/>
      <c r="F21" s="18"/>
      <c r="G21" s="15"/>
      <c r="H21" s="15"/>
      <c r="I21" s="15"/>
      <c r="J21" s="18"/>
      <c r="K21" s="18"/>
      <c r="L21" s="18"/>
      <c r="M21" s="18"/>
      <c r="N21" s="18"/>
      <c r="O21" s="19"/>
      <c r="P21" s="19"/>
      <c r="Q21" s="19"/>
      <c r="R21" s="26"/>
      <c r="S21"/>
      <c r="T21" s="28"/>
      <c r="U21" s="28"/>
      <c r="V21" s="28"/>
      <c r="W21" s="301" t="s">
        <v>134</v>
      </c>
      <c r="X21" s="301"/>
      <c r="Y21" s="301"/>
      <c r="Z21" s="28"/>
      <c r="AA21" s="28"/>
      <c r="AB21" s="28"/>
      <c r="AC21" s="28"/>
      <c r="AD21" s="33"/>
      <c r="AE21" s="33"/>
      <c r="AF21" s="45"/>
      <c r="AG21" s="45"/>
      <c r="AH21" s="45"/>
      <c r="AI21" s="45"/>
      <c r="AJ21" s="45"/>
      <c r="AK21" s="45"/>
      <c r="AL21" s="45"/>
      <c r="AM21" s="45"/>
      <c r="AN21" s="29"/>
      <c r="AO21" s="29"/>
      <c r="AP21" s="29"/>
      <c r="AQ21" s="29"/>
      <c r="AR21" s="29"/>
      <c r="AS21" s="29"/>
      <c r="AT21" s="29"/>
      <c r="AU21" s="29"/>
      <c r="AV21" s="29"/>
      <c r="AW21" s="29"/>
      <c r="AX21" s="29"/>
      <c r="AY21" s="29"/>
      <c r="AZ21" s="29"/>
      <c r="BA21" s="138"/>
      <c r="BB21" s="138"/>
      <c r="BC21" s="138"/>
      <c r="BD21" s="138"/>
    </row>
    <row r="22" spans="2:56" ht="15" customHeight="1" x14ac:dyDescent="0.25">
      <c r="W22" s="301"/>
      <c r="X22" s="301"/>
      <c r="Y22" s="301"/>
      <c r="AD22" s="33"/>
      <c r="AE22" s="45"/>
      <c r="AF22" s="45"/>
      <c r="AG22" s="45"/>
      <c r="AH22" s="45"/>
      <c r="AI22" s="45"/>
      <c r="AJ22" s="45"/>
      <c r="AK22" s="45"/>
      <c r="AL22" s="45"/>
      <c r="AM22" s="45"/>
      <c r="AN22" s="29"/>
      <c r="AO22" s="29"/>
      <c r="AP22" s="29"/>
      <c r="AQ22" s="29"/>
      <c r="AR22" s="29"/>
      <c r="AS22" s="29"/>
      <c r="AT22" s="29"/>
      <c r="AU22" s="29"/>
      <c r="AV22" s="29"/>
      <c r="AW22" s="29"/>
      <c r="AX22" s="29"/>
      <c r="AY22" s="127"/>
      <c r="AZ22" s="29"/>
      <c r="BA22" s="138"/>
      <c r="BB22" s="138"/>
      <c r="BC22" s="138"/>
      <c r="BD22" s="138"/>
    </row>
    <row r="23" spans="2:56" ht="15" customHeight="1" x14ac:dyDescent="0.25">
      <c r="N23"/>
      <c r="O23"/>
      <c r="P23"/>
      <c r="Q23"/>
      <c r="R23"/>
      <c r="W23" s="302" t="s">
        <v>135</v>
      </c>
      <c r="X23" s="302"/>
      <c r="Y23" s="302"/>
      <c r="AD23" s="33"/>
      <c r="AE23" s="45"/>
      <c r="AF23" s="45"/>
      <c r="AG23" s="45"/>
      <c r="AH23" s="45"/>
      <c r="AI23" s="47"/>
      <c r="AJ23" s="47"/>
      <c r="AK23" s="47"/>
      <c r="AL23" s="47"/>
      <c r="AM23" s="47"/>
      <c r="BA23" s="262"/>
      <c r="BB23" s="263"/>
      <c r="BC23" s="263"/>
      <c r="BD23" s="263"/>
    </row>
    <row r="24" spans="2:56" ht="15" customHeight="1" x14ac:dyDescent="0.25">
      <c r="N24"/>
      <c r="O24"/>
      <c r="P24"/>
      <c r="Q24"/>
      <c r="R24"/>
      <c r="W24" s="302"/>
      <c r="X24" s="302"/>
      <c r="Y24" s="302"/>
      <c r="AD24" s="33"/>
      <c r="AE24" s="45"/>
      <c r="AF24" s="45"/>
      <c r="AG24" s="45"/>
      <c r="AH24" s="45"/>
      <c r="AI24" s="47"/>
      <c r="AJ24" s="47"/>
      <c r="AK24" s="47"/>
      <c r="AL24" s="47"/>
      <c r="AM24" s="47"/>
      <c r="BB24" s="31"/>
      <c r="BC24" s="31"/>
      <c r="BD24" s="31"/>
    </row>
    <row r="25" spans="2:56" ht="15" customHeight="1" x14ac:dyDescent="0.25">
      <c r="N25"/>
      <c r="O25"/>
      <c r="P25"/>
      <c r="Q25"/>
      <c r="R25"/>
      <c r="W25"/>
      <c r="AD25" s="33"/>
      <c r="AE25" s="45"/>
      <c r="AF25" s="45"/>
      <c r="AG25" s="45"/>
      <c r="AH25" s="45"/>
      <c r="AI25" s="47"/>
      <c r="AJ25" s="47"/>
      <c r="AK25" s="47"/>
      <c r="AL25" s="47"/>
      <c r="AM25" s="47"/>
      <c r="BB25" s="31"/>
      <c r="BC25" s="31"/>
      <c r="BD25" s="31"/>
    </row>
    <row r="26" spans="2:56" ht="15" customHeight="1" x14ac:dyDescent="0.25">
      <c r="N26"/>
      <c r="O26"/>
      <c r="P26"/>
      <c r="Q26"/>
      <c r="R26"/>
      <c r="AG26" s="29"/>
      <c r="AH26" s="29"/>
      <c r="BB26" s="31"/>
      <c r="BC26" s="31"/>
      <c r="BD26" s="31"/>
    </row>
    <row r="27" spans="2:56" ht="15" customHeight="1" x14ac:dyDescent="0.25">
      <c r="N27"/>
      <c r="O27"/>
      <c r="P27"/>
      <c r="Q27"/>
      <c r="R27"/>
      <c r="AG27" s="29"/>
      <c r="AH27" s="29"/>
      <c r="BB27" s="31"/>
      <c r="BC27" s="31"/>
      <c r="BD27" s="31"/>
    </row>
    <row r="28" spans="2:56" ht="15" customHeight="1" x14ac:dyDescent="0.25">
      <c r="N28"/>
      <c r="O28"/>
      <c r="P28"/>
      <c r="Q28"/>
      <c r="R28"/>
      <c r="AG28" s="29"/>
      <c r="AH28" s="29"/>
      <c r="BB28" s="31"/>
      <c r="BC28" s="31"/>
      <c r="BD28" s="31"/>
    </row>
    <row r="29" spans="2:56" ht="15" customHeight="1" x14ac:dyDescent="0.25">
      <c r="N29"/>
      <c r="O29"/>
      <c r="P29"/>
      <c r="Q29"/>
      <c r="R29"/>
      <c r="AG29" s="29"/>
      <c r="AH29" s="29"/>
      <c r="AI29" s="29"/>
      <c r="AJ29" s="29"/>
      <c r="AK29" s="29"/>
      <c r="AL29" s="29"/>
      <c r="AM29" s="29"/>
      <c r="AN29" s="29"/>
      <c r="AO29" s="29"/>
      <c r="AP29" s="29"/>
      <c r="AQ29" s="29"/>
      <c r="AR29" s="29"/>
      <c r="AS29" s="29"/>
      <c r="AT29" s="29"/>
      <c r="AU29" s="29"/>
      <c r="AV29" s="29"/>
      <c r="AW29" s="29"/>
      <c r="AX29" s="29"/>
      <c r="AZ29" s="29"/>
      <c r="BB29" s="31"/>
      <c r="BC29" s="31"/>
      <c r="BD29" s="31"/>
    </row>
    <row r="30" spans="2:56" ht="15" customHeight="1" x14ac:dyDescent="0.25">
      <c r="BB30" s="31"/>
      <c r="BC30" s="31"/>
      <c r="BD30" s="31"/>
    </row>
  </sheetData>
  <mergeCells count="6">
    <mergeCell ref="W23:Y24"/>
    <mergeCell ref="W2:Y2"/>
    <mergeCell ref="E7:Q7"/>
    <mergeCell ref="T7:AC7"/>
    <mergeCell ref="T18:AC18"/>
    <mergeCell ref="W21:Y22"/>
  </mergeCells>
  <conditionalFormatting sqref="J10 J12 J14 J16 J18 J20">
    <cfRule type="expression" dxfId="223" priority="5">
      <formula>#REF!="P"</formula>
    </cfRule>
    <cfRule type="expression" dxfId="222" priority="6">
      <formula>#REF!="E"</formula>
    </cfRule>
    <cfRule type="expression" dxfId="221" priority="7">
      <formula>#REF!="G"</formula>
    </cfRule>
  </conditionalFormatting>
  <conditionalFormatting sqref="L10 L12 L14 L16 L18 L20">
    <cfRule type="expression" dxfId="220" priority="8">
      <formula>#REF!="P"</formula>
    </cfRule>
    <cfRule type="expression" dxfId="219" priority="9">
      <formula>#REF!="E"</formula>
    </cfRule>
    <cfRule type="expression" dxfId="218" priority="10">
      <formula>#REF!="G"</formula>
    </cfRule>
  </conditionalFormatting>
  <conditionalFormatting sqref="W21 W23">
    <cfRule type="expression" dxfId="217" priority="1">
      <formula>$L24&lt;&gt;""</formula>
    </cfRule>
    <cfRule type="expression" dxfId="216" priority="2">
      <formula>AND($L24&lt;&gt;"",$L25="")</formula>
    </cfRule>
  </conditionalFormatting>
  <dataValidations count="1">
    <dataValidation type="list" allowBlank="1" showInputMessage="1" showErrorMessage="1" sqref="AH6" xr:uid="{A4605231-45AD-4B83-AEE2-BFB4E438CC47}">
      <formula1>"A,B,C,D,E,F,G,H"</formula1>
    </dataValidation>
  </dataValidations>
  <hyperlinks>
    <hyperlink ref="W21" r:id="rId1" display="Aprendiz de Excel" xr:uid="{924FEE2B-1121-4FE1-9D6F-9EC9515C788E}"/>
    <hyperlink ref="W23" r:id="rId2" display="Aprendiz de Excel" xr:uid="{8C0D7381-FF8F-4ADB-BCB3-F617BE1D5403}"/>
    <hyperlink ref="W23:W24" r:id="rId3" display="Vídeo YouTube" xr:uid="{65D51024-FCCE-493B-B373-733F8863785B}"/>
    <hyperlink ref="W23:Y24" r:id="rId4" display="Vídeo YouTube" xr:uid="{F3B434E1-88F1-41CC-B4D0-66D10BC14136}"/>
  </hyperlinks>
  <pageMargins left="0.7" right="0.7" top="0.75" bottom="0.75" header="0.3" footer="0.3"/>
  <pageSetup paperSize="9" orientation="portrait" r:id="rId5"/>
  <drawing r:id="rId6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EE19B-5EF0-4921-9ED8-3658B7E94AE7}">
  <dimension ref="A1:BD30"/>
  <sheetViews>
    <sheetView showGridLines="0" topLeftCell="A7" zoomScale="90" zoomScaleNormal="90" workbookViewId="0">
      <selection activeCell="T20" sqref="T20"/>
    </sheetView>
  </sheetViews>
  <sheetFormatPr baseColWidth="10" defaultColWidth="14.42578125" defaultRowHeight="15" customHeight="1" x14ac:dyDescent="0.25"/>
  <cols>
    <col min="1" max="1" width="3.5703125" style="28" customWidth="1"/>
    <col min="2" max="2" width="3.7109375" style="28" customWidth="1"/>
    <col min="3" max="3" width="7.7109375" style="28" customWidth="1"/>
    <col min="4" max="4" width="6.7109375" style="28" customWidth="1"/>
    <col min="5" max="5" width="2.7109375" style="28" customWidth="1"/>
    <col min="6" max="6" width="3.7109375" style="28" customWidth="1"/>
    <col min="7" max="7" width="19.7109375" style="28" customWidth="1"/>
    <col min="8" max="8" width="5.7109375" style="28" customWidth="1"/>
    <col min="9" max="9" width="2.7109375" style="28" customWidth="1"/>
    <col min="10" max="10" width="6.7109375" style="28" customWidth="1"/>
    <col min="11" max="11" width="2.7109375" style="28" customWidth="1"/>
    <col min="12" max="12" width="6.7109375" style="28" customWidth="1"/>
    <col min="13" max="13" width="2.7109375" style="28" customWidth="1"/>
    <col min="14" max="14" width="5.7109375" style="28" customWidth="1"/>
    <col min="15" max="15" width="19.7109375" style="28" customWidth="1"/>
    <col min="16" max="16" width="3.7109375" style="28" customWidth="1"/>
    <col min="17" max="17" width="2.5703125" style="28" customWidth="1"/>
    <col min="18" max="18" width="15.5703125" style="28" customWidth="1"/>
    <col min="19" max="19" width="2.7109375" style="28" customWidth="1"/>
    <col min="20" max="20" width="19.7109375" style="28" customWidth="1"/>
    <col min="21" max="21" width="5.7109375" style="28" customWidth="1"/>
    <col min="22" max="22" width="1.7109375" style="28" customWidth="1"/>
    <col min="23" max="29" width="4" style="28" customWidth="1"/>
    <col min="30" max="30" width="6" style="30" customWidth="1"/>
    <col min="31" max="32" width="5" style="29" customWidth="1"/>
    <col min="33" max="33" width="5" style="31" customWidth="1"/>
    <col min="34" max="34" width="14.85546875" style="31" customWidth="1"/>
    <col min="35" max="41" width="5" style="31" customWidth="1"/>
    <col min="42" max="42" width="8.5703125" style="31" customWidth="1"/>
    <col min="43" max="47" width="5" style="31" customWidth="1"/>
    <col min="48" max="49" width="8.5703125" style="31" customWidth="1"/>
    <col min="50" max="50" width="5" style="31" customWidth="1"/>
    <col min="52" max="52" width="7.7109375" style="31" customWidth="1"/>
    <col min="53" max="53" width="14.42578125" style="31"/>
    <col min="54" max="54" width="15" style="28" customWidth="1"/>
    <col min="55" max="16384" width="14.42578125" style="28"/>
  </cols>
  <sheetData>
    <row r="1" spans="1:56" s="153" customFormat="1" ht="27.75" customHeight="1" x14ac:dyDescent="0.25">
      <c r="A1" s="210" t="s">
        <v>314</v>
      </c>
      <c r="B1" s="211"/>
      <c r="C1" s="211"/>
      <c r="D1" s="211"/>
      <c r="E1" s="211"/>
      <c r="F1" s="211"/>
      <c r="G1" s="211"/>
      <c r="H1" s="211"/>
      <c r="I1" s="211"/>
      <c r="J1" s="211"/>
      <c r="K1" s="211"/>
      <c r="L1" s="211"/>
      <c r="M1" s="211"/>
      <c r="N1" s="211"/>
      <c r="O1" s="211"/>
      <c r="P1" s="211"/>
      <c r="Q1" s="211"/>
      <c r="R1" s="211"/>
      <c r="S1" s="211"/>
    </row>
    <row r="2" spans="1:56" s="33" customFormat="1" ht="18.75" x14ac:dyDescent="0.25">
      <c r="B2" s="127"/>
      <c r="C2"/>
      <c r="D2"/>
      <c r="E2"/>
      <c r="F2"/>
      <c r="G2"/>
      <c r="H2"/>
      <c r="I2"/>
      <c r="J2" s="159"/>
      <c r="K2" s="159"/>
      <c r="L2" s="159"/>
      <c r="M2" s="159"/>
      <c r="N2" s="159"/>
      <c r="O2" s="159"/>
      <c r="P2" s="159"/>
      <c r="Q2" s="159"/>
      <c r="R2" s="159"/>
      <c r="S2" s="159"/>
      <c r="T2" s="159"/>
      <c r="U2" s="159"/>
      <c r="V2" s="159"/>
      <c r="W2" s="303"/>
      <c r="X2" s="303"/>
      <c r="Y2" s="303"/>
      <c r="Z2" s="160"/>
      <c r="AA2" s="159"/>
      <c r="AB2" s="159"/>
      <c r="AC2" s="159"/>
      <c r="AD2" s="44"/>
      <c r="AE2" s="45"/>
      <c r="AF2" s="45"/>
      <c r="AG2" s="45"/>
      <c r="AH2" s="45"/>
      <c r="AI2" s="45"/>
      <c r="AJ2" s="45"/>
      <c r="AK2" s="45"/>
      <c r="AL2" s="45"/>
      <c r="AM2" s="45"/>
      <c r="AN2" s="45"/>
      <c r="AO2" s="45"/>
      <c r="AP2" s="45"/>
      <c r="AQ2" s="45"/>
      <c r="AR2" s="45"/>
      <c r="AS2" s="45"/>
      <c r="AT2" s="45"/>
      <c r="AU2" s="45"/>
      <c r="AV2" s="45"/>
      <c r="AW2" s="45"/>
      <c r="AX2" s="45"/>
      <c r="AY2" s="45"/>
      <c r="AZ2" s="45"/>
      <c r="BA2" s="45"/>
      <c r="BB2" s="127"/>
      <c r="BC2" s="127"/>
      <c r="BD2" s="127"/>
    </row>
    <row r="3" spans="1:56" s="33" customFormat="1" ht="35.25" customHeight="1" x14ac:dyDescent="0.25">
      <c r="B3" s="127"/>
      <c r="C3"/>
      <c r="D3"/>
      <c r="E3"/>
      <c r="F3"/>
      <c r="G3" s="161"/>
      <c r="H3" s="161"/>
      <c r="I3" s="161"/>
      <c r="J3"/>
      <c r="K3" s="162"/>
      <c r="L3" s="162"/>
      <c r="M3" s="162"/>
      <c r="N3" s="162"/>
      <c r="O3" s="162"/>
      <c r="P3" s="162"/>
      <c r="Q3" s="162"/>
      <c r="R3" s="162"/>
      <c r="S3" s="162"/>
      <c r="T3" s="159"/>
      <c r="U3" s="159"/>
      <c r="V3" s="159"/>
      <c r="W3" s="159"/>
      <c r="X3" s="159"/>
      <c r="Y3" s="159"/>
      <c r="Z3" s="159"/>
      <c r="AA3" s="159"/>
      <c r="AB3" s="159"/>
      <c r="AC3" s="159"/>
      <c r="AD3" s="44"/>
      <c r="AE3" s="46"/>
      <c r="AF3" s="46"/>
      <c r="AG3" s="46"/>
      <c r="AH3" s="45"/>
      <c r="AI3" s="45"/>
      <c r="AJ3" s="45"/>
      <c r="AK3" s="45"/>
      <c r="AL3" s="45"/>
      <c r="AM3" s="45"/>
      <c r="AN3" s="45"/>
      <c r="AO3" s="45"/>
      <c r="AP3" s="45"/>
      <c r="AQ3" s="45"/>
      <c r="AR3" s="45"/>
      <c r="AS3" s="45"/>
      <c r="AT3" s="45"/>
      <c r="AU3" s="45"/>
      <c r="AV3" s="45"/>
      <c r="AW3" s="45"/>
      <c r="AX3" s="45"/>
      <c r="AY3" s="45"/>
      <c r="AZ3" s="45"/>
      <c r="BA3" s="45"/>
      <c r="BB3" s="127"/>
      <c r="BC3" s="127"/>
      <c r="BD3" s="127"/>
    </row>
    <row r="4" spans="1:56" s="33" customFormat="1" x14ac:dyDescent="0.25">
      <c r="B4" s="127"/>
      <c r="C4"/>
      <c r="D4"/>
      <c r="E4"/>
      <c r="F4"/>
      <c r="G4"/>
      <c r="H4"/>
      <c r="I4"/>
      <c r="J4" s="159"/>
      <c r="K4" s="159"/>
      <c r="L4" s="159"/>
      <c r="M4" s="159"/>
      <c r="N4" s="159"/>
      <c r="O4" s="159"/>
      <c r="P4" s="159"/>
      <c r="Q4" s="159"/>
      <c r="R4" s="159"/>
      <c r="S4" s="159"/>
      <c r="T4" s="159"/>
      <c r="U4" s="159"/>
      <c r="V4" s="159"/>
      <c r="W4" s="159"/>
      <c r="X4" s="159"/>
      <c r="Y4" s="159"/>
      <c r="Z4" s="159"/>
      <c r="AA4" s="159"/>
      <c r="AB4" s="159"/>
      <c r="AC4" s="159"/>
      <c r="AD4" s="44"/>
      <c r="AE4" s="47"/>
      <c r="AF4" s="45"/>
      <c r="AG4" s="45"/>
      <c r="AH4" s="45"/>
      <c r="AI4" s="45"/>
      <c r="AJ4" s="45"/>
      <c r="AK4" s="45"/>
      <c r="AL4" s="45"/>
      <c r="AM4" s="45"/>
      <c r="AN4" s="45"/>
      <c r="AO4" s="45"/>
      <c r="AP4" s="45"/>
      <c r="AQ4" s="45"/>
      <c r="AR4" s="45"/>
      <c r="AS4" s="45"/>
      <c r="AT4" s="45"/>
      <c r="AU4" s="45"/>
      <c r="AV4" s="45"/>
      <c r="AW4" s="45"/>
      <c r="AX4" s="45"/>
      <c r="AY4" s="45"/>
      <c r="AZ4" s="45"/>
      <c r="BA4" s="45"/>
      <c r="BB4" s="127"/>
      <c r="BC4" s="127"/>
      <c r="BD4" s="127"/>
    </row>
    <row r="5" spans="1:56" s="33" customFormat="1" ht="15" customHeight="1" x14ac:dyDescent="0.25">
      <c r="B5" s="127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E5" s="47"/>
      <c r="AF5" s="45"/>
      <c r="AG5" s="45"/>
      <c r="AH5" s="45"/>
      <c r="AI5" s="45"/>
      <c r="AJ5" s="45"/>
      <c r="AK5" s="45"/>
      <c r="AL5" s="45"/>
      <c r="AM5" s="45"/>
      <c r="AN5" s="45"/>
      <c r="AO5" s="45"/>
      <c r="AP5" s="45"/>
      <c r="AQ5" s="45"/>
      <c r="AR5" s="45"/>
      <c r="AS5" s="45"/>
      <c r="AT5" s="45"/>
      <c r="AU5" s="45"/>
      <c r="AV5" s="45"/>
      <c r="AW5" s="45"/>
      <c r="AX5" s="45"/>
      <c r="AY5" s="264" t="s">
        <v>336</v>
      </c>
      <c r="AZ5" s="45"/>
      <c r="BA5" s="138">
        <f>VLOOKUP(BA8,$AH$10:$AW$16,15,0)</f>
        <v>0</v>
      </c>
      <c r="BB5" s="138">
        <f t="shared" ref="BB5:BD5" si="0">VLOOKUP(BB8,$AH$10:$AW$16,15,0)</f>
        <v>0</v>
      </c>
      <c r="BC5" s="138">
        <f t="shared" si="0"/>
        <v>0</v>
      </c>
      <c r="BD5" s="138">
        <f t="shared" si="0"/>
        <v>0</v>
      </c>
    </row>
    <row r="6" spans="1:56" s="30" customFormat="1" ht="15" customHeight="1" x14ac:dyDescent="0.25">
      <c r="B6" s="27"/>
      <c r="C6" s="32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/>
      <c r="T6" s="28"/>
      <c r="U6" s="28"/>
      <c r="V6" s="28"/>
      <c r="W6" s="28"/>
      <c r="X6" s="28"/>
      <c r="Y6" s="28"/>
      <c r="Z6" s="28"/>
      <c r="AA6" s="28"/>
      <c r="AB6" s="28"/>
      <c r="AC6" s="28"/>
      <c r="AD6" s="33"/>
      <c r="AE6" s="47"/>
      <c r="AF6" s="45"/>
      <c r="AG6" s="45"/>
      <c r="AH6" s="166" t="s">
        <v>176</v>
      </c>
      <c r="AI6" s="45"/>
      <c r="AJ6" s="45"/>
      <c r="AK6" s="45"/>
      <c r="AL6" s="45"/>
      <c r="AM6" s="45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64" t="s">
        <v>335</v>
      </c>
      <c r="AZ6" s="29"/>
      <c r="BA6" s="138">
        <f>VLOOKUP(BA8,$AH$10:$AW$16,14,0)</f>
        <v>9</v>
      </c>
      <c r="BB6" s="138">
        <f t="shared" ref="BB6:BD6" si="1">VLOOKUP(BB8,$AH$10:$AW$16,14,0)</f>
        <v>4</v>
      </c>
      <c r="BC6" s="138">
        <f t="shared" si="1"/>
        <v>2</v>
      </c>
      <c r="BD6" s="138">
        <f t="shared" si="1"/>
        <v>1</v>
      </c>
    </row>
    <row r="7" spans="1:56" s="30" customFormat="1" ht="22.15" customHeight="1" thickBot="1" x14ac:dyDescent="0.3">
      <c r="B7" s="107" t="s">
        <v>33</v>
      </c>
      <c r="C7" s="108" t="s">
        <v>34</v>
      </c>
      <c r="D7" s="108" t="s">
        <v>35</v>
      </c>
      <c r="E7" s="304" t="s">
        <v>36</v>
      </c>
      <c r="F7" s="305"/>
      <c r="G7" s="305"/>
      <c r="H7" s="305"/>
      <c r="I7" s="305"/>
      <c r="J7" s="305"/>
      <c r="K7" s="305"/>
      <c r="L7" s="305"/>
      <c r="M7" s="305"/>
      <c r="N7" s="305"/>
      <c r="O7" s="305"/>
      <c r="P7" s="305"/>
      <c r="Q7" s="306"/>
      <c r="R7" s="109" t="s">
        <v>37</v>
      </c>
      <c r="S7" s="34"/>
      <c r="T7" s="307" t="s">
        <v>38</v>
      </c>
      <c r="U7" s="305"/>
      <c r="V7" s="305"/>
      <c r="W7" s="308"/>
      <c r="X7" s="308"/>
      <c r="Y7" s="308"/>
      <c r="Z7" s="308"/>
      <c r="AA7" s="308"/>
      <c r="AB7" s="308"/>
      <c r="AC7" s="309"/>
      <c r="AD7" s="33"/>
      <c r="AE7" s="39"/>
      <c r="AF7" s="46"/>
      <c r="AG7" s="46"/>
      <c r="AH7" s="45"/>
      <c r="AI7" s="45"/>
      <c r="AJ7" s="45"/>
      <c r="AK7" s="45"/>
      <c r="AL7" s="45"/>
      <c r="AM7" s="45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138"/>
      <c r="BB7" s="138"/>
      <c r="BC7" s="138"/>
      <c r="BD7" s="138"/>
    </row>
    <row r="8" spans="1:56" s="30" customFormat="1" ht="15" customHeight="1" thickTop="1" x14ac:dyDescent="0.25"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35"/>
      <c r="U8" s="35"/>
      <c r="V8" s="35"/>
      <c r="W8" s="36" t="s">
        <v>41</v>
      </c>
      <c r="X8" s="37" t="s">
        <v>42</v>
      </c>
      <c r="Y8" s="37" t="s">
        <v>43</v>
      </c>
      <c r="Z8" s="37" t="s">
        <v>44</v>
      </c>
      <c r="AA8" s="38" t="s">
        <v>45</v>
      </c>
      <c r="AB8" s="38" t="s">
        <v>46</v>
      </c>
      <c r="AC8" s="38" t="s">
        <v>47</v>
      </c>
      <c r="AD8" s="33"/>
      <c r="AE8" s="39"/>
      <c r="AF8" s="46"/>
      <c r="AG8" s="46"/>
      <c r="AH8" s="174" t="s">
        <v>8</v>
      </c>
      <c r="AI8" s="175" t="s">
        <v>39</v>
      </c>
      <c r="AJ8" s="176" t="s">
        <v>41</v>
      </c>
      <c r="AK8" s="175" t="s">
        <v>42</v>
      </c>
      <c r="AL8" s="175" t="s">
        <v>43</v>
      </c>
      <c r="AM8" s="175" t="s">
        <v>44</v>
      </c>
      <c r="AN8" s="265" t="s">
        <v>45</v>
      </c>
      <c r="AO8" s="265" t="s">
        <v>46</v>
      </c>
      <c r="AP8" s="265" t="s">
        <v>333</v>
      </c>
      <c r="AQ8" s="265" t="s">
        <v>334</v>
      </c>
      <c r="AR8" s="265" t="s">
        <v>332</v>
      </c>
      <c r="AS8" s="265"/>
      <c r="AT8" s="265"/>
      <c r="AU8" s="29" t="s">
        <v>337</v>
      </c>
      <c r="AV8" s="29" t="s">
        <v>338</v>
      </c>
      <c r="AW8" s="29" t="s">
        <v>339</v>
      </c>
      <c r="AX8" s="29"/>
      <c r="AY8" s="29"/>
      <c r="AZ8" s="29"/>
      <c r="BA8" s="138" t="str">
        <f>AH10</f>
        <v>Real Madrid</v>
      </c>
      <c r="BB8" s="140" t="str">
        <f>AH12</f>
        <v>Al-Hilal</v>
      </c>
      <c r="BC8" s="140" t="str">
        <f>AH14</f>
        <v>Pachuca</v>
      </c>
      <c r="BD8" s="140" t="str">
        <f>AH16</f>
        <v>Salzburgo</v>
      </c>
    </row>
    <row r="9" spans="1:56" s="30" customFormat="1" ht="10.15" customHeight="1" x14ac:dyDescent="0.25">
      <c r="B9" s="163" t="str" cm="1">
        <f t="array" ref="B9:B21">_xlfn.REDUCE("",_xlfn.TAKE(_xlfn._xlws.FILTER(Aux!M:T,Aux!T:T=AH6),,1),_xlfn.LAMBDA(_xlpm.t,_xlpm.p,_xlfn.VSTACK(_xlpm.t,_xlpm.p,"")))</f>
        <v/>
      </c>
      <c r="C9" s="96"/>
      <c r="D9" s="97"/>
      <c r="E9" s="99"/>
      <c r="F9" s="99"/>
      <c r="G9" s="98"/>
      <c r="H9" s="98"/>
      <c r="I9" s="98"/>
      <c r="J9" s="99"/>
      <c r="K9" s="99"/>
      <c r="L9" s="99"/>
      <c r="M9" s="99"/>
      <c r="N9" s="99"/>
      <c r="O9" s="100"/>
      <c r="P9" s="100"/>
      <c r="Q9" s="100"/>
      <c r="R9" s="101"/>
      <c r="S9"/>
      <c r="T9" s="20"/>
      <c r="U9" s="88"/>
      <c r="V9" s="89"/>
      <c r="W9" s="21"/>
      <c r="X9" s="22"/>
      <c r="Y9" s="22"/>
      <c r="Z9" s="22"/>
      <c r="AA9" s="23"/>
      <c r="AB9" s="23"/>
      <c r="AC9" s="23"/>
      <c r="AD9" s="33"/>
      <c r="AE9" s="39"/>
      <c r="AF9" s="46"/>
      <c r="AG9" s="46"/>
      <c r="AH9" s="174"/>
      <c r="AI9" s="175"/>
      <c r="AJ9" s="176"/>
      <c r="AK9" s="175"/>
      <c r="AL9" s="175"/>
      <c r="AM9" s="175"/>
      <c r="AN9" s="139"/>
      <c r="AO9" s="139"/>
      <c r="AP9" s="29"/>
      <c r="AQ9" s="29"/>
      <c r="AR9" s="29"/>
      <c r="AS9" s="139"/>
      <c r="AT9" s="139"/>
      <c r="AU9" s="139"/>
      <c r="AV9" s="29"/>
      <c r="AW9" s="29"/>
      <c r="AX9" s="29"/>
      <c r="AY9" s="29"/>
      <c r="AZ9" s="29"/>
      <c r="BA9" s="138"/>
      <c r="BB9" s="140"/>
      <c r="BC9" s="140"/>
      <c r="BD9" s="140"/>
    </row>
    <row r="10" spans="1:56" s="30" customFormat="1" ht="22.15" customHeight="1" x14ac:dyDescent="0.25">
      <c r="B10" s="164">
        <v>14</v>
      </c>
      <c r="C10" s="7">
        <f>VLOOKUP(B10,Aux!M:AH,4,0)</f>
        <v>45826.875</v>
      </c>
      <c r="D10" s="8">
        <f>VLOOKUP(B10,Aux!M:AH,4,0)</f>
        <v>45826.875</v>
      </c>
      <c r="E10" s="102"/>
      <c r="F10" s="102" t="e" vm="15">
        <f>IFERROR(VLOOKUP(G10,Aux!$A:$X,8,0),"")</f>
        <v>#VALUE!</v>
      </c>
      <c r="G10" s="157" t="str">
        <f>VLOOKUP(B10,Aux!M:Y,5,0)</f>
        <v>Real Madrid</v>
      </c>
      <c r="H10" s="154" t="e" vm="48">
        <f>IFERROR(VLOOKUP(G10,Aux!$A:$C,3,0),"")</f>
        <v>#VALUE!</v>
      </c>
      <c r="I10" s="154"/>
      <c r="J10" s="203">
        <v>3</v>
      </c>
      <c r="K10" s="145" t="s">
        <v>40</v>
      </c>
      <c r="L10" s="203">
        <v>0</v>
      </c>
      <c r="M10" s="16"/>
      <c r="N10" s="154" t="e" vm="49">
        <f>IFERROR(VLOOKUP(O10,Aux!$A:$C,3,0),"")</f>
        <v>#VALUE!</v>
      </c>
      <c r="O10" s="155" t="str">
        <f>VLOOKUP(B10,Aux!M:Y,6,0)</f>
        <v>Al-Hilal</v>
      </c>
      <c r="P10" s="102" t="e" vm="50">
        <f>IFERROR(VLOOKUP(O10,Aux!$A:$X,8,0),"")</f>
        <v>#VALUE!</v>
      </c>
      <c r="Q10" s="16"/>
      <c r="R10" s="24" t="str">
        <f>VLOOKUP(B10,Aux!M:Y,7,0)</f>
        <v>Hard Rock Stadium</v>
      </c>
      <c r="S10"/>
      <c r="T10" s="240" t="str">
        <f>INDEX($AH$10:$AH$17,MATCH(1,$AY$10:$AY$16,0))</f>
        <v>Real Madrid</v>
      </c>
      <c r="U10" s="91" t="e" vm="48">
        <f>IFERROR(VLOOKUP(T10,Aux!A:C,3,0),"")</f>
        <v>#VALUE!</v>
      </c>
      <c r="V10" s="92"/>
      <c r="W10" s="93">
        <f>VLOOKUP($T10,$AH$10:$AO$16,3,0)</f>
        <v>9</v>
      </c>
      <c r="X10" s="94">
        <f>VLOOKUP($T10,$AH$10:$AO$16,4,0)</f>
        <v>3</v>
      </c>
      <c r="Y10" s="94">
        <f>VLOOKUP($T10,$AH$10:$AO$16,5,0)</f>
        <v>0</v>
      </c>
      <c r="Z10" s="94">
        <f>VLOOKUP($T10,$AH$10:$AO$16,6,0)</f>
        <v>0</v>
      </c>
      <c r="AA10" s="95">
        <f>VLOOKUP($T10,$AH$10:$AO$16,7,0)</f>
        <v>8</v>
      </c>
      <c r="AB10" s="95">
        <f>VLOOKUP($T10,$AH$10:$AO$16,8,0)</f>
        <v>1</v>
      </c>
      <c r="AC10" s="95">
        <f>AA10-AB10</f>
        <v>7</v>
      </c>
      <c r="AD10" s="33"/>
      <c r="AE10" s="47"/>
      <c r="AF10" s="45"/>
      <c r="AG10" s="45">
        <v>1</v>
      </c>
      <c r="AH10" s="177" t="str">
        <f>VLOOKUP($AH$6&amp;AG10,Aux!Z:AA,2,0)</f>
        <v>Real Madrid</v>
      </c>
      <c r="AI10" s="45">
        <f>AK10+AL10+AM10</f>
        <v>3</v>
      </c>
      <c r="AJ10" s="45">
        <f>AK10*3+AL10</f>
        <v>9</v>
      </c>
      <c r="AK10" s="45" cm="1">
        <f t="array" ref="AK10">SUM(($G$10:$G$23=$AH10)*($J$10:$J$23&gt;$L$10:$L$23)+($O$10:$O$23=$AH10)*($J$10:$J$23&lt;$L$10:$L$23))</f>
        <v>3</v>
      </c>
      <c r="AL10" s="45" cm="1">
        <f t="array" ref="AL10">SUM(($G$10:$G$23=$AH10)*($J$10:$J$23=$L$10:$L$23)*($J$10:$J$23&lt;&gt;"")+($O$10:$O$23=$AH10)*($J$10:$J$23=$L$10:$L$23)*($J$10:$J$23&lt;&gt;""))</f>
        <v>0</v>
      </c>
      <c r="AM10" s="45" cm="1">
        <f t="array" ref="AM10">SUM(($G$10:$G$23=$AH10)*($J$10:$J$23&lt;$L$10:$L$23)+($O$10:$O$23=$AH10)*($J$10:$J$23&gt;$L$10:$L$23))</f>
        <v>0</v>
      </c>
      <c r="AN10" s="29" cm="1">
        <f t="array" ref="AN10">SUM(($G$10:$G$23=$AH10)*($J$10:$J$23)+($O$10:$O$23=$AH10)*($L$10:$L$23))</f>
        <v>8</v>
      </c>
      <c r="AO10" s="29" cm="1">
        <f t="array" ref="AO10">SUM(($G$10:$G$23=$AH10)*($L$10:$L$23)+($O$10:$O$23=$AH10)*($J$10:$J$23))</f>
        <v>1</v>
      </c>
      <c r="AP10" s="141">
        <f>AN10-AO10</f>
        <v>7</v>
      </c>
      <c r="AQ10" s="138">
        <v>0</v>
      </c>
      <c r="AR10" s="141">
        <f>+AW10+AV10+AU10</f>
        <v>9.0009070799999993</v>
      </c>
      <c r="AS10" s="29"/>
      <c r="AT10" s="29"/>
      <c r="AU10" s="141">
        <f>+AJ10</f>
        <v>9</v>
      </c>
      <c r="AV10" s="141">
        <f>SUMIFS($BA10:$BD10,$BA$6:$BD$6,AJ10)/1000</f>
        <v>0</v>
      </c>
      <c r="AW10" s="141">
        <f>SUMIFS($BA10:$BD10,$BA$5:$BD$5,AV10)/1000000</f>
        <v>9.0707999999999989E-4</v>
      </c>
      <c r="AX10" s="29">
        <f>_xlfn.RANK.EQ(AJ10,$AJ$10:$AJ$16)+_xlfn.RANK.EQ(AR10,$AR$10:$AR$16)/10+_xlfn.RANK.EQ(AP10,$AP$10:$AP$16)/1000+_xlfn.RANK.EQ(AN10,$AN$10:$AN$16)/100000+_xlfn.RANK.EQ(AQ10,$AQ$10:$AQ$16)/100000+ROW()/1000000</f>
        <v>1.1010300000000002</v>
      </c>
      <c r="AY10" s="29">
        <f>_xlfn.RANK.EQ(AX10,$AX$10:$AX$16,1)</f>
        <v>1</v>
      </c>
      <c r="AZ10" s="29"/>
      <c r="BA10" s="29" cm="1">
        <f t="array" ref="BA10">(SUM(($G$10:$G$23=$AH10)*($J$10:$J$23&gt;$L$10:$L$23)*($O$10:$O$23=BA$8)+($O$10:$O$23=$AH10)*($J$10:$J$23&lt;$L$10:$L$23)*($G$10:$G$23=BA$8)))*300+
(SUM(($G$10:$G$23=$AH10)*($J$10:$J$23=$L$10:$L$23)*($O$10:$O$23=BA$8)+($O$10:$O$23=$AH10)*($J$10:$J$23=$L$10:$L$23)*($G$10:$G$23=BA$8)))*100
+SUM(($G$10:$G$23=$AH10)*($J$10:$J$23)*($O$10:$O$23=BA$8)+($O$10:$O$23=$AH10)*($L$10:$L$23)*($G$10:$G$23=BA$8))
-SUM(($G$10:$G$23=$AH10)*($L$10:$L$23)*($O$10:$O$23=BA$8)+($O$10:$O$23=$AH10)*($J$10:$J$23)*($G$10:$G$23=BA$8))
+SUM(($G$10:$G$23=$AH10)*($J$10:$J$23)*($O$10:$O$23=BA$8)+($O$10:$O$23=$AH10)*($L$10:$L$23)*($G$10:$G$23=BA$8))/100</f>
        <v>0</v>
      </c>
      <c r="BB10" s="29" cm="1">
        <f t="array" ref="BB10">(SUM(($G$10:$G$23=$AH10)*($J$10:$J$23&gt;$L$10:$L$23)*($O$10:$O$23=BB$8)+($O$10:$O$23=$AH10)*($J$10:$J$23&lt;$L$10:$L$23)*($G$10:$G$23=BB$8)))*300+
(SUM(($G$10:$G$23=$AH10)*($J$10:$J$23=$L$10:$L$23)*($O$10:$O$23=BB$8)+($O$10:$O$23=$AH10)*($J$10:$J$23=$L$10:$L$23)*($G$10:$G$23=BB$8)))*100
+SUM(($G$10:$G$23=$AH10)*($J$10:$J$23)*($O$10:$O$23=BB$8)+($O$10:$O$23=$AH10)*($L$10:$L$23)*($G$10:$G$23=BB$8))
-SUM(($G$10:$G$23=$AH10)*($L$10:$L$23)*($O$10:$O$23=BB$8)+($O$10:$O$23=$AH10)*($J$10:$J$23)*($G$10:$G$23=BB$8))
+SUM(($G$10:$G$23=$AH10)*($J$10:$J$23)*($O$10:$O$23=BB$8)+($O$10:$O$23=$AH10)*($L$10:$L$23)*($G$10:$G$23=BB$8))/100</f>
        <v>303.02999999999997</v>
      </c>
      <c r="BC10" s="29" cm="1">
        <f t="array" ref="BC10">(SUM(($G$10:$G$23=$AH10)*($J$10:$J$23&gt;$L$10:$L$23)*($O$10:$O$23=BC$8)+($O$10:$O$23=$AH10)*($J$10:$J$23&lt;$L$10:$L$23)*($G$10:$G$23=BC$8)))*300+
(SUM(($G$10:$G$23=$AH10)*($J$10:$J$23=$L$10:$L$23)*($O$10:$O$23=BC$8)+($O$10:$O$23=$AH10)*($J$10:$J$23=$L$10:$L$23)*($G$10:$G$23=BC$8)))*100
+SUM(($G$10:$G$23=$AH10)*($J$10:$J$23)*($O$10:$O$23=BC$8)+($O$10:$O$23=$AH10)*($L$10:$L$23)*($G$10:$G$23=BC$8))
-SUM(($G$10:$G$23=$AH10)*($L$10:$L$23)*($O$10:$O$23=BC$8)+($O$10:$O$23=$AH10)*($J$10:$J$23)*($G$10:$G$23=BC$8))
+SUM(($G$10:$G$23=$AH10)*($J$10:$J$23)*($O$10:$O$23=BC$8)+($O$10:$O$23=$AH10)*($L$10:$L$23)*($G$10:$G$23=BC$8))/100</f>
        <v>302.02</v>
      </c>
      <c r="BD10" s="29" cm="1">
        <f t="array" ref="BD10">(SUM(($G$10:$G$23=$AH10)*($J$10:$J$23&gt;$L$10:$L$23)*($O$10:$O$23=BD$8)+($O$10:$O$23=$AH10)*($J$10:$J$23&lt;$L$10:$L$23)*($G$10:$G$23=BD$8)))*300+
(SUM(($G$10:$G$23=$AH10)*($J$10:$J$23=$L$10:$L$23)*($O$10:$O$23=BD$8)+($O$10:$O$23=$AH10)*($J$10:$J$23=$L$10:$L$23)*($G$10:$G$23=BD$8)))*100
+SUM(($G$10:$G$23=$AH10)*($J$10:$J$23)*($O$10:$O$23=BD$8)+($O$10:$O$23=$AH10)*($L$10:$L$23)*($G$10:$G$23=BD$8))
-SUM(($G$10:$G$23=$AH10)*($L$10:$L$23)*($O$10:$O$23=BD$8)+($O$10:$O$23=$AH10)*($J$10:$J$23)*($G$10:$G$23=BD$8))
+SUM(($G$10:$G$23=$AH10)*($J$10:$J$23)*($O$10:$O$23=BD$8)+($O$10:$O$23=$AH10)*($L$10:$L$23)*($G$10:$G$23=BD$8))/100</f>
        <v>302.02999999999997</v>
      </c>
    </row>
    <row r="11" spans="1:56" s="30" customFormat="1" ht="10.15" customHeight="1" x14ac:dyDescent="0.25">
      <c r="B11" s="164" t="str">
        <v/>
      </c>
      <c r="C11" s="7"/>
      <c r="D11" s="8"/>
      <c r="E11" s="102"/>
      <c r="F11" s="102"/>
      <c r="G11" s="157"/>
      <c r="H11" s="9"/>
      <c r="I11" s="9"/>
      <c r="J11" s="154"/>
      <c r="K11" s="9"/>
      <c r="L11" s="154"/>
      <c r="M11" s="16"/>
      <c r="N11" s="154"/>
      <c r="O11" s="155"/>
      <c r="P11" s="16"/>
      <c r="Q11" s="16"/>
      <c r="R11" s="24"/>
      <c r="S11"/>
      <c r="T11" s="240"/>
      <c r="U11" s="91"/>
      <c r="V11" s="92"/>
      <c r="W11" s="93"/>
      <c r="X11" s="94"/>
      <c r="Y11" s="94"/>
      <c r="Z11" s="94"/>
      <c r="AA11" s="95"/>
      <c r="AB11" s="95"/>
      <c r="AC11" s="95"/>
      <c r="AD11" s="33"/>
      <c r="AE11" s="47"/>
      <c r="AF11" s="45"/>
      <c r="AG11" s="45"/>
      <c r="AH11" s="177"/>
      <c r="AI11" s="45"/>
      <c r="AJ11" s="45"/>
      <c r="AK11" s="45"/>
      <c r="AL11" s="45"/>
      <c r="AM11" s="45"/>
      <c r="AN11" s="29"/>
      <c r="AO11" s="29"/>
      <c r="AP11" s="141"/>
      <c r="AQ11" s="138"/>
      <c r="AR11" s="141"/>
      <c r="AS11" s="29"/>
      <c r="AT11" s="29"/>
      <c r="AU11" s="29"/>
      <c r="AV11" s="141"/>
      <c r="AW11" s="141"/>
      <c r="AX11" s="29"/>
      <c r="AY11" s="29"/>
      <c r="AZ11" s="29"/>
      <c r="BA11" s="29"/>
      <c r="BB11" s="29"/>
      <c r="BC11" s="29"/>
      <c r="BD11" s="29"/>
    </row>
    <row r="12" spans="1:56" s="30" customFormat="1" ht="22.15" customHeight="1" x14ac:dyDescent="0.25">
      <c r="B12" s="164">
        <v>15</v>
      </c>
      <c r="C12" s="7">
        <f>VLOOKUP(B12,Aux!M:AH,4,0)</f>
        <v>45827</v>
      </c>
      <c r="D12" s="8">
        <f>VLOOKUP(B12,Aux!M:AH,4,0)</f>
        <v>45827</v>
      </c>
      <c r="E12" s="102"/>
      <c r="F12" s="102" t="e" vm="4">
        <f>IFERROR(VLOOKUP(G12,Aux!$A:$X,8,0),"")</f>
        <v>#VALUE!</v>
      </c>
      <c r="G12" s="157" t="str">
        <f>VLOOKUP(B12,Aux!M:Y,5,0)</f>
        <v>Pachuca</v>
      </c>
      <c r="H12" s="154" t="e" vm="51">
        <f>IFERROR(VLOOKUP(G12,Aux!$A:$C,3,0),"")</f>
        <v>#VALUE!</v>
      </c>
      <c r="I12" s="154"/>
      <c r="J12" s="203">
        <v>1</v>
      </c>
      <c r="K12" s="145" t="s">
        <v>40</v>
      </c>
      <c r="L12" s="203">
        <v>1</v>
      </c>
      <c r="M12" s="16"/>
      <c r="N12" s="154" t="e" vm="52">
        <f>IFERROR(VLOOKUP(O12,Aux!$A:$C,3,0),"")</f>
        <v>#VALUE!</v>
      </c>
      <c r="O12" s="155" t="str">
        <f>VLOOKUP(B12,Aux!M:Y,6,0)</f>
        <v>Salzburgo</v>
      </c>
      <c r="P12" s="102" t="e" vm="53">
        <f>IFERROR(VLOOKUP(O12,Aux!$A:$X,8,0),"")</f>
        <v>#VALUE!</v>
      </c>
      <c r="Q12" s="16"/>
      <c r="R12" s="24" t="str">
        <f>VLOOKUP(B12,Aux!M:Y,7,0)</f>
        <v>TQL Stadium</v>
      </c>
      <c r="S12"/>
      <c r="T12" s="240" t="str">
        <f>INDEX($AH$10:$AH$17,MATCH(2,$AY$10:$AY$16,0))</f>
        <v>Al-Hilal</v>
      </c>
      <c r="U12" s="91" t="e" vm="49">
        <f>IFERROR(VLOOKUP(T12,Aux!A:C,3,0),"")</f>
        <v>#VALUE!</v>
      </c>
      <c r="V12" s="92"/>
      <c r="W12" s="93">
        <f>VLOOKUP($T12,$AH$10:$AO$16,3,0)</f>
        <v>4</v>
      </c>
      <c r="X12" s="94">
        <f>VLOOKUP($T12,$AH$10:$AO$16,4,0)</f>
        <v>1</v>
      </c>
      <c r="Y12" s="94">
        <f>VLOOKUP($T12,$AH$10:$AO$16,5,0)</f>
        <v>1</v>
      </c>
      <c r="Z12" s="94">
        <f>VLOOKUP($T12,$AH$10:$AO$16,6,0)</f>
        <v>1</v>
      </c>
      <c r="AA12" s="95">
        <f>VLOOKUP($T12,$AH$10:$AO$16,7,0)</f>
        <v>4</v>
      </c>
      <c r="AB12" s="95">
        <f>VLOOKUP($T12,$AH$10:$AO$16,8,0)</f>
        <v>6</v>
      </c>
      <c r="AC12" s="95">
        <f>AA12-AB12</f>
        <v>-2</v>
      </c>
      <c r="AD12" s="33"/>
      <c r="AE12" s="39"/>
      <c r="AF12" s="46"/>
      <c r="AG12" s="45">
        <v>2</v>
      </c>
      <c r="AH12" s="177" t="str">
        <f>VLOOKUP($AH$6&amp;AG12,Aux!Z:AA,2,0)</f>
        <v>Al-Hilal</v>
      </c>
      <c r="AI12" s="45">
        <f>AK12+AL12+AM12</f>
        <v>3</v>
      </c>
      <c r="AJ12" s="45">
        <f>AK12*3+AL12</f>
        <v>4</v>
      </c>
      <c r="AK12" s="45" cm="1">
        <f t="array" ref="AK12">SUM(($G$10:$G$23=$AH12)*($J$10:$J$23&gt;$L$10:$L$23)+($O$10:$O$23=$AH12)*($J$10:$J$23&lt;$L$10:$L$23))</f>
        <v>1</v>
      </c>
      <c r="AL12" s="45" cm="1">
        <f t="array" ref="AL12">SUM(($G$10:$G$23=$AH12)*($J$10:$J$23=$L$10:$L$23)*($J$10:$J$23&lt;&gt;"")+($O$10:$O$23=$AH12)*($J$10:$J$23=$L$10:$L$23)*($J$10:$J$23&lt;&gt;""))</f>
        <v>1</v>
      </c>
      <c r="AM12" s="45" cm="1">
        <f t="array" ref="AM12">SUM(($G$10:$G$23=$AH12)*($J$10:$J$23&lt;$L$10:$L$23)+($O$10:$O$23=$AH12)*($J$10:$J$23&gt;$L$10:$L$23))</f>
        <v>1</v>
      </c>
      <c r="AN12" s="29" cm="1">
        <f t="array" ref="AN12">SUM(($G$10:$G$23=$AH12)*($J$10:$J$23)+($O$10:$O$23=$AH12)*($L$10:$L$23))</f>
        <v>4</v>
      </c>
      <c r="AO12" s="29" cm="1">
        <f t="array" ref="AO12">SUM(($G$10:$G$23=$AH12)*($L$10:$L$23)+($O$10:$O$23=$AH12)*($J$10:$J$23))</f>
        <v>6</v>
      </c>
      <c r="AP12" s="141">
        <f>AN12-AO12</f>
        <v>-2</v>
      </c>
      <c r="AQ12" s="138">
        <v>0</v>
      </c>
      <c r="AR12" s="141">
        <f>+AW12+AV12+AU12</f>
        <v>4.0003980400000003</v>
      </c>
      <c r="AS12" s="29"/>
      <c r="AT12" s="29"/>
      <c r="AU12" s="141">
        <f>+AJ12</f>
        <v>4</v>
      </c>
      <c r="AV12" s="141">
        <f>SUMIFS($BA12:$BD12,$BA$6:$BD$6,AJ12)/1000</f>
        <v>0</v>
      </c>
      <c r="AW12" s="141">
        <f>SUMIFS($BA12:$BD12,$BA$5:$BD$5,AV12)/1000000</f>
        <v>3.9803999999999995E-4</v>
      </c>
      <c r="AX12" s="29">
        <f>_xlfn.RANK.EQ(AJ12,$AJ$10:$AJ$16)+_xlfn.RANK.EQ(AR12,$AR$10:$AR$16)/10+_xlfn.RANK.EQ(AP12,$AP$10:$AP$16)/1000+_xlfn.RANK.EQ(AN12,$AN$10:$AN$16)/100000+_xlfn.RANK.EQ(AQ12,$AQ$10:$AQ$16)/100000+ROW()/1000000</f>
        <v>2.2020420000000001</v>
      </c>
      <c r="AY12" s="29">
        <f>_xlfn.RANK.EQ(AX12,$AX$10:$AX$16,1)</f>
        <v>2</v>
      </c>
      <c r="AZ12" s="29"/>
      <c r="BA12" s="29" cm="1">
        <f t="array" ref="BA12">(SUM(($G$10:$G$23=$AH12)*($J$10:$J$23&gt;$L$10:$L$23)*($O$10:$O$23=BA$8)+($O$10:$O$23=$AH12)*($J$10:$J$23&lt;$L$10:$L$23)*($G$10:$G$23=BA$8)))*300+
(SUM(($G$10:$G$23=$AH12)*($J$10:$J$23=$L$10:$L$23)*($O$10:$O$23=BA$8)+($O$10:$O$23=$AH12)*($J$10:$J$23=$L$10:$L$23)*($G$10:$G$23=BA$8)))*100
+SUM(($G$10:$G$23=$AH12)*($J$10:$J$23)*($O$10:$O$23=BA$8)+($O$10:$O$23=$AH12)*($L$10:$L$23)*($G$10:$G$23=BA$8))
-SUM(($G$10:$G$23=$AH12)*($L$10:$L$23)*($O$10:$O$23=BA$8)+($O$10:$O$23=$AH12)*($J$10:$J$23)*($G$10:$G$23=BA$8))
+SUM(($G$10:$G$23=$AH12)*($J$10:$J$23)*($O$10:$O$23=BA$8)+($O$10:$O$23=$AH12)*($L$10:$L$23)*($G$10:$G$23=BA$8))/100</f>
        <v>-3</v>
      </c>
      <c r="BB12" s="29" cm="1">
        <f t="array" ref="BB12">(SUM(($G$10:$G$23=$AH12)*($J$10:$J$23&gt;$L$10:$L$23)*($O$10:$O$23=BB$8)+($O$10:$O$23=$AH12)*($J$10:$J$23&lt;$L$10:$L$23)*($G$10:$G$23=BB$8)))*300+
(SUM(($G$10:$G$23=$AH12)*($J$10:$J$23=$L$10:$L$23)*($O$10:$O$23=BB$8)+($O$10:$O$23=$AH12)*($J$10:$J$23=$L$10:$L$23)*($G$10:$G$23=BB$8)))*100
+SUM(($G$10:$G$23=$AH12)*($J$10:$J$23)*($O$10:$O$23=BB$8)+($O$10:$O$23=$AH12)*($L$10:$L$23)*($G$10:$G$23=BB$8))
-SUM(($G$10:$G$23=$AH12)*($L$10:$L$23)*($O$10:$O$23=BB$8)+($O$10:$O$23=$AH12)*($J$10:$J$23)*($G$10:$G$23=BB$8))
+SUM(($G$10:$G$23=$AH12)*($J$10:$J$23)*($O$10:$O$23=BB$8)+($O$10:$O$23=$AH12)*($L$10:$L$23)*($G$10:$G$23=BB$8))/100</f>
        <v>0</v>
      </c>
      <c r="BC12" s="29" cm="1">
        <f t="array" ref="BC12">(SUM(($G$10:$G$23=$AH12)*($J$10:$J$23&gt;$L$10:$L$23)*($O$10:$O$23=BC$8)+($O$10:$O$23=$AH12)*($J$10:$J$23&lt;$L$10:$L$23)*($G$10:$G$23=BC$8)))*300+
(SUM(($G$10:$G$23=$AH12)*($J$10:$J$23=$L$10:$L$23)*($O$10:$O$23=BC$8)+($O$10:$O$23=$AH12)*($J$10:$J$23=$L$10:$L$23)*($G$10:$G$23=BC$8)))*100
+SUM(($G$10:$G$23=$AH12)*($J$10:$J$23)*($O$10:$O$23=BC$8)+($O$10:$O$23=$AH12)*($L$10:$L$23)*($G$10:$G$23=BC$8))
-SUM(($G$10:$G$23=$AH12)*($L$10:$L$23)*($O$10:$O$23=BC$8)+($O$10:$O$23=$AH12)*($J$10:$J$23)*($G$10:$G$23=BC$8))
+SUM(($G$10:$G$23=$AH12)*($J$10:$J$23)*($O$10:$O$23=BC$8)+($O$10:$O$23=$AH12)*($L$10:$L$23)*($G$10:$G$23=BC$8))/100</f>
        <v>100.02</v>
      </c>
      <c r="BD12" s="29" cm="1">
        <f t="array" ref="BD12">(SUM(($G$10:$G$23=$AH12)*($J$10:$J$23&gt;$L$10:$L$23)*($O$10:$O$23=BD$8)+($O$10:$O$23=$AH12)*($J$10:$J$23&lt;$L$10:$L$23)*($G$10:$G$23=BD$8)))*300+
(SUM(($G$10:$G$23=$AH12)*($J$10:$J$23=$L$10:$L$23)*($O$10:$O$23=BD$8)+($O$10:$O$23=$AH12)*($J$10:$J$23=$L$10:$L$23)*($G$10:$G$23=BD$8)))*100
+SUM(($G$10:$G$23=$AH12)*($J$10:$J$23)*($O$10:$O$23=BD$8)+($O$10:$O$23=$AH12)*($L$10:$L$23)*($G$10:$G$23=BD$8))
-SUM(($G$10:$G$23=$AH12)*($L$10:$L$23)*($O$10:$O$23=BD$8)+($O$10:$O$23=$AH12)*($J$10:$J$23)*($G$10:$G$23=BD$8))
+SUM(($G$10:$G$23=$AH12)*($J$10:$J$23)*($O$10:$O$23=BD$8)+($O$10:$O$23=$AH12)*($L$10:$L$23)*($G$10:$G$23=BD$8))/100</f>
        <v>301.02</v>
      </c>
    </row>
    <row r="13" spans="1:56" s="30" customFormat="1" ht="10.15" customHeight="1" x14ac:dyDescent="0.25">
      <c r="B13" s="164" t="str">
        <v/>
      </c>
      <c r="C13" s="10"/>
      <c r="D13" s="11"/>
      <c r="E13" s="103"/>
      <c r="F13" s="103"/>
      <c r="G13" s="158"/>
      <c r="H13" s="12"/>
      <c r="I13" s="12"/>
      <c r="J13" s="145"/>
      <c r="K13" s="145"/>
      <c r="L13" s="145"/>
      <c r="M13" s="16"/>
      <c r="N13" s="154"/>
      <c r="O13" s="156"/>
      <c r="P13" s="17"/>
      <c r="Q13" s="17"/>
      <c r="R13" s="25"/>
      <c r="S13"/>
      <c r="T13" s="240"/>
      <c r="U13" s="91"/>
      <c r="V13" s="92"/>
      <c r="W13" s="93"/>
      <c r="X13" s="94"/>
      <c r="Y13" s="94"/>
      <c r="Z13" s="94"/>
      <c r="AA13" s="95"/>
      <c r="AB13" s="95"/>
      <c r="AC13" s="95"/>
      <c r="AD13" s="33"/>
      <c r="AE13" s="39"/>
      <c r="AF13" s="46"/>
      <c r="AG13" s="45"/>
      <c r="AH13" s="177"/>
      <c r="AI13" s="45"/>
      <c r="AJ13" s="45"/>
      <c r="AK13" s="45"/>
      <c r="AL13" s="45"/>
      <c r="AM13" s="45"/>
      <c r="AN13" s="29"/>
      <c r="AO13" s="29"/>
      <c r="AP13" s="141"/>
      <c r="AQ13" s="138"/>
      <c r="AR13" s="141"/>
      <c r="AS13" s="29"/>
      <c r="AT13" s="29"/>
      <c r="AU13" s="29"/>
      <c r="AV13" s="141"/>
      <c r="AW13" s="141"/>
      <c r="AX13" s="29"/>
      <c r="AY13" s="29"/>
      <c r="AZ13" s="29"/>
      <c r="BA13" s="29"/>
      <c r="BB13" s="29"/>
      <c r="BC13" s="29"/>
      <c r="BD13" s="29"/>
    </row>
    <row r="14" spans="1:56" s="30" customFormat="1" ht="22.15" customHeight="1" x14ac:dyDescent="0.25">
      <c r="B14" s="164">
        <v>30</v>
      </c>
      <c r="C14" s="7">
        <f>VLOOKUP(B14,Aux!M:AH,4,0)</f>
        <v>45830.875</v>
      </c>
      <c r="D14" s="8">
        <f>VLOOKUP(B14,Aux!M:AH,4,0)</f>
        <v>45830.875</v>
      </c>
      <c r="E14" s="102"/>
      <c r="F14" s="102" t="e" vm="15">
        <f>IFERROR(VLOOKUP(G14,Aux!$A:$X,8,0),"")</f>
        <v>#VALUE!</v>
      </c>
      <c r="G14" s="157" t="str">
        <f>VLOOKUP(B14,Aux!M:Y,5,0)</f>
        <v>Real Madrid</v>
      </c>
      <c r="H14" s="154" t="e" vm="48">
        <f>IFERROR(VLOOKUP(G14,Aux!$A:$C,3,0),"")</f>
        <v>#VALUE!</v>
      </c>
      <c r="I14" s="154"/>
      <c r="J14" s="203">
        <v>2</v>
      </c>
      <c r="K14" s="145" t="s">
        <v>40</v>
      </c>
      <c r="L14" s="203">
        <v>0</v>
      </c>
      <c r="M14" s="16"/>
      <c r="N14" s="154" t="e" vm="51">
        <f>IFERROR(VLOOKUP(O14,Aux!$A:$C,3,0),"")</f>
        <v>#VALUE!</v>
      </c>
      <c r="O14" s="155" t="str">
        <f>VLOOKUP(B14,Aux!M:Y,6,0)</f>
        <v>Pachuca</v>
      </c>
      <c r="P14" s="102" t="e" vm="4">
        <f>IFERROR(VLOOKUP(O14,Aux!$A:$X,8,0),"")</f>
        <v>#VALUE!</v>
      </c>
      <c r="Q14" s="16"/>
      <c r="R14" s="24" t="str">
        <f>VLOOKUP(B14,Aux!M:Y,7,0)</f>
        <v>Bank of America Stadium</v>
      </c>
      <c r="S14"/>
      <c r="T14" s="240" t="str">
        <f>INDEX($AH$10:$AH$17,MATCH(3,$AY$10:$AY$16,0))</f>
        <v>Pachuca</v>
      </c>
      <c r="U14" s="91" t="e" vm="51">
        <f>IFERROR(VLOOKUP(T14,Aux!A:C,3,0),"")</f>
        <v>#VALUE!</v>
      </c>
      <c r="V14" s="92"/>
      <c r="W14" s="93">
        <f>VLOOKUP($T14,$AH$10:$AO$16,3,0)</f>
        <v>2</v>
      </c>
      <c r="X14" s="94">
        <f>VLOOKUP($T14,$AH$10:$AO$16,4,0)</f>
        <v>0</v>
      </c>
      <c r="Y14" s="94">
        <f>VLOOKUP($T14,$AH$10:$AO$16,5,0)</f>
        <v>2</v>
      </c>
      <c r="Z14" s="94">
        <f>VLOOKUP($T14,$AH$10:$AO$16,6,0)</f>
        <v>1</v>
      </c>
      <c r="AA14" s="95">
        <f>VLOOKUP($T14,$AH$10:$AO$16,7,0)</f>
        <v>3</v>
      </c>
      <c r="AB14" s="95">
        <f>VLOOKUP($T14,$AH$10:$AO$16,8,0)</f>
        <v>5</v>
      </c>
      <c r="AC14" s="95">
        <f>AA14-AB14</f>
        <v>-2</v>
      </c>
      <c r="AD14" s="33"/>
      <c r="AE14" s="47"/>
      <c r="AF14" s="45"/>
      <c r="AG14" s="45">
        <v>3</v>
      </c>
      <c r="AH14" s="177" t="str">
        <f>VLOOKUP($AH$6&amp;AG14,Aux!Z:AA,2,0)</f>
        <v>Pachuca</v>
      </c>
      <c r="AI14" s="45">
        <f>AK14+AL14+AM14</f>
        <v>3</v>
      </c>
      <c r="AJ14" s="45">
        <f>AK14*3+AL14</f>
        <v>2</v>
      </c>
      <c r="AK14" s="45" cm="1">
        <f t="array" ref="AK14">SUM(($G$10:$G$23=$AH14)*($J$10:$J$23&gt;$L$10:$L$23)+($O$10:$O$23=$AH14)*($J$10:$J$23&lt;$L$10:$L$23))</f>
        <v>0</v>
      </c>
      <c r="AL14" s="45" cm="1">
        <f t="array" ref="AL14">SUM(($G$10:$G$23=$AH14)*($J$10:$J$23=$L$10:$L$23)*($J$10:$J$23&lt;&gt;"")+($O$10:$O$23=$AH14)*($J$10:$J$23=$L$10:$L$23)*($J$10:$J$23&lt;&gt;""))</f>
        <v>2</v>
      </c>
      <c r="AM14" s="45" cm="1">
        <f t="array" ref="AM14">SUM(($G$10:$G$23=$AH14)*($J$10:$J$23&lt;$L$10:$L$23)+($O$10:$O$23=$AH14)*($J$10:$J$23&gt;$L$10:$L$23))</f>
        <v>1</v>
      </c>
      <c r="AN14" s="29" cm="1">
        <f t="array" ref="AN14">SUM(($G$10:$G$23=$AH14)*($J$10:$J$23)+($O$10:$O$23=$AH14)*($L$10:$L$23))</f>
        <v>3</v>
      </c>
      <c r="AO14" s="29" cm="1">
        <f t="array" ref="AO14">SUM(($G$10:$G$23=$AH14)*($L$10:$L$23)+($O$10:$O$23=$AH14)*($J$10:$J$23))</f>
        <v>5</v>
      </c>
      <c r="AP14" s="141">
        <f>AN14-AO14</f>
        <v>-2</v>
      </c>
      <c r="AQ14" s="138">
        <v>0</v>
      </c>
      <c r="AR14" s="141">
        <f>+AW14+AV14+AU14</f>
        <v>2.00019803</v>
      </c>
      <c r="AS14" s="29"/>
      <c r="AT14" s="29"/>
      <c r="AU14" s="141">
        <f>+AJ14</f>
        <v>2</v>
      </c>
      <c r="AV14" s="141">
        <f>SUMIFS($BA14:$BD14,$BA$6:$BD$6,AJ14)/1000</f>
        <v>0</v>
      </c>
      <c r="AW14" s="141">
        <f>SUMIFS($BA14:$BD14,$BA$5:$BD$5,AV14)/1000000</f>
        <v>1.9803E-4</v>
      </c>
      <c r="AX14" s="29">
        <f>_xlfn.RANK.EQ(AJ14,$AJ$10:$AJ$16)+_xlfn.RANK.EQ(AR14,$AR$10:$AR$16)/10+_xlfn.RANK.EQ(AP14,$AP$10:$AP$16)/1000+_xlfn.RANK.EQ(AN14,$AN$10:$AN$16)/100000+_xlfn.RANK.EQ(AQ14,$AQ$10:$AQ$16)/100000+ROW()/1000000</f>
        <v>3.302054</v>
      </c>
      <c r="AY14" s="29">
        <f>_xlfn.RANK.EQ(AX14,$AX$10:$AX$16,1)</f>
        <v>3</v>
      </c>
      <c r="AZ14" s="29"/>
      <c r="BA14" s="29" cm="1">
        <f t="array" ref="BA14">(SUM(($G$10:$G$23=$AH14)*($J$10:$J$23&gt;$L$10:$L$23)*($O$10:$O$23=BA$8)+($O$10:$O$23=$AH14)*($J$10:$J$23&lt;$L$10:$L$23)*($G$10:$G$23=BA$8)))*300+
(SUM(($G$10:$G$23=$AH14)*($J$10:$J$23=$L$10:$L$23)*($O$10:$O$23=BA$8)+($O$10:$O$23=$AH14)*($J$10:$J$23=$L$10:$L$23)*($G$10:$G$23=BA$8)))*100
+SUM(($G$10:$G$23=$AH14)*($J$10:$J$23)*($O$10:$O$23=BA$8)+($O$10:$O$23=$AH14)*($L$10:$L$23)*($G$10:$G$23=BA$8))
-SUM(($G$10:$G$23=$AH14)*($L$10:$L$23)*($O$10:$O$23=BA$8)+($O$10:$O$23=$AH14)*($J$10:$J$23)*($G$10:$G$23=BA$8))
+SUM(($G$10:$G$23=$AH14)*($J$10:$J$23)*($O$10:$O$23=BA$8)+($O$10:$O$23=$AH14)*($L$10:$L$23)*($G$10:$G$23=BA$8))/100</f>
        <v>-2</v>
      </c>
      <c r="BB14" s="29" cm="1">
        <f t="array" ref="BB14">(SUM(($G$10:$G$23=$AH14)*($J$10:$J$23&gt;$L$10:$L$23)*($O$10:$O$23=BB$8)+($O$10:$O$23=$AH14)*($J$10:$J$23&lt;$L$10:$L$23)*($G$10:$G$23=BB$8)))*300+
(SUM(($G$10:$G$23=$AH14)*($J$10:$J$23=$L$10:$L$23)*($O$10:$O$23=BB$8)+($O$10:$O$23=$AH14)*($J$10:$J$23=$L$10:$L$23)*($G$10:$G$23=BB$8)))*100
+SUM(($G$10:$G$23=$AH14)*($J$10:$J$23)*($O$10:$O$23=BB$8)+($O$10:$O$23=$AH14)*($L$10:$L$23)*($G$10:$G$23=BB$8))
-SUM(($G$10:$G$23=$AH14)*($L$10:$L$23)*($O$10:$O$23=BB$8)+($O$10:$O$23=$AH14)*($J$10:$J$23)*($G$10:$G$23=BB$8))
+SUM(($G$10:$G$23=$AH14)*($J$10:$J$23)*($O$10:$O$23=BB$8)+($O$10:$O$23=$AH14)*($L$10:$L$23)*($G$10:$G$23=BB$8))/100</f>
        <v>100.02</v>
      </c>
      <c r="BC14" s="29" cm="1">
        <f t="array" ref="BC14">(SUM(($G$10:$G$23=$AH14)*($J$10:$J$23&gt;$L$10:$L$23)*($O$10:$O$23=BC$8)+($O$10:$O$23=$AH14)*($J$10:$J$23&lt;$L$10:$L$23)*($G$10:$G$23=BC$8)))*300+
(SUM(($G$10:$G$23=$AH14)*($J$10:$J$23=$L$10:$L$23)*($O$10:$O$23=BC$8)+($O$10:$O$23=$AH14)*($J$10:$J$23=$L$10:$L$23)*($G$10:$G$23=BC$8)))*100
+SUM(($G$10:$G$23=$AH14)*($J$10:$J$23)*($O$10:$O$23=BC$8)+($O$10:$O$23=$AH14)*($L$10:$L$23)*($G$10:$G$23=BC$8))
-SUM(($G$10:$G$23=$AH14)*($L$10:$L$23)*($O$10:$O$23=BC$8)+($O$10:$O$23=$AH14)*($J$10:$J$23)*($G$10:$G$23=BC$8))
+SUM(($G$10:$G$23=$AH14)*($J$10:$J$23)*($O$10:$O$23=BC$8)+($O$10:$O$23=$AH14)*($L$10:$L$23)*($G$10:$G$23=BC$8))/100</f>
        <v>0</v>
      </c>
      <c r="BD14" s="29" cm="1">
        <f t="array" ref="BD14">(SUM(($G$10:$G$23=$AH14)*($J$10:$J$23&gt;$L$10:$L$23)*($O$10:$O$23=BD$8)+($O$10:$O$23=$AH14)*($J$10:$J$23&lt;$L$10:$L$23)*($G$10:$G$23=BD$8)))*300+
(SUM(($G$10:$G$23=$AH14)*($J$10:$J$23=$L$10:$L$23)*($O$10:$O$23=BD$8)+($O$10:$O$23=$AH14)*($J$10:$J$23=$L$10:$L$23)*($G$10:$G$23=BD$8)))*100
+SUM(($G$10:$G$23=$AH14)*($J$10:$J$23)*($O$10:$O$23=BD$8)+($O$10:$O$23=$AH14)*($L$10:$L$23)*($G$10:$G$23=BD$8))
-SUM(($G$10:$G$23=$AH14)*($L$10:$L$23)*($O$10:$O$23=BD$8)+($O$10:$O$23=$AH14)*($J$10:$J$23)*($G$10:$G$23=BD$8))
+SUM(($G$10:$G$23=$AH14)*($J$10:$J$23)*($O$10:$O$23=BD$8)+($O$10:$O$23=$AH14)*($L$10:$L$23)*($G$10:$G$23=BD$8))/100</f>
        <v>100.01</v>
      </c>
    </row>
    <row r="15" spans="1:56" s="30" customFormat="1" ht="10.15" customHeight="1" x14ac:dyDescent="0.25">
      <c r="B15" s="164" t="str">
        <v/>
      </c>
      <c r="C15" s="7"/>
      <c r="D15" s="8"/>
      <c r="E15" s="102"/>
      <c r="F15" s="102"/>
      <c r="G15" s="157"/>
      <c r="H15" s="9"/>
      <c r="I15" s="9"/>
      <c r="J15" s="154"/>
      <c r="K15" s="9"/>
      <c r="L15" s="154"/>
      <c r="M15" s="16"/>
      <c r="N15" s="154"/>
      <c r="O15" s="155"/>
      <c r="P15" s="16"/>
      <c r="Q15" s="16"/>
      <c r="R15" s="24"/>
      <c r="S15"/>
      <c r="T15" s="240"/>
      <c r="U15" s="91"/>
      <c r="V15" s="92"/>
      <c r="W15" s="93"/>
      <c r="X15" s="94"/>
      <c r="Y15" s="94"/>
      <c r="Z15" s="94"/>
      <c r="AA15" s="95"/>
      <c r="AB15" s="95"/>
      <c r="AC15" s="95"/>
      <c r="AD15" s="33"/>
      <c r="AE15" s="47"/>
      <c r="AF15" s="45"/>
      <c r="AG15" s="45"/>
      <c r="AH15" s="177"/>
      <c r="AI15" s="45"/>
      <c r="AJ15" s="45"/>
      <c r="AK15" s="45"/>
      <c r="AL15" s="45"/>
      <c r="AM15" s="45"/>
      <c r="AN15" s="29"/>
      <c r="AO15" s="29"/>
      <c r="AP15" s="141"/>
      <c r="AQ15" s="138"/>
      <c r="AR15" s="141"/>
      <c r="AS15" s="29"/>
      <c r="AT15" s="29"/>
      <c r="AU15" s="29"/>
      <c r="AV15" s="141"/>
      <c r="AW15" s="141"/>
      <c r="AX15" s="29"/>
      <c r="AY15" s="29"/>
      <c r="AZ15" s="29"/>
      <c r="BA15" s="29"/>
      <c r="BB15" s="29"/>
      <c r="BC15" s="29"/>
      <c r="BD15" s="29"/>
    </row>
    <row r="16" spans="1:56" s="30" customFormat="1" ht="22.15" customHeight="1" x14ac:dyDescent="0.25">
      <c r="B16" s="164">
        <v>31</v>
      </c>
      <c r="C16" s="7">
        <f>VLOOKUP(B16,Aux!M:AH,4,0)</f>
        <v>45831</v>
      </c>
      <c r="D16" s="8">
        <f>VLOOKUP(B16,Aux!M:AH,4,0)</f>
        <v>45831</v>
      </c>
      <c r="E16" s="102"/>
      <c r="F16" s="102" t="e" vm="53">
        <f>IFERROR(VLOOKUP(G16,Aux!$A:$X,8,0),"")</f>
        <v>#VALUE!</v>
      </c>
      <c r="G16" s="157" t="str">
        <f>VLOOKUP(B16,Aux!M:Y,5,0)</f>
        <v>Salzburgo</v>
      </c>
      <c r="H16" s="154" t="e" vm="52">
        <f>IFERROR(VLOOKUP(G16,Aux!$A:$C,3,0),"")</f>
        <v>#VALUE!</v>
      </c>
      <c r="I16" s="154"/>
      <c r="J16" s="203">
        <v>1</v>
      </c>
      <c r="K16" s="145" t="s">
        <v>40</v>
      </c>
      <c r="L16" s="203">
        <v>2</v>
      </c>
      <c r="M16" s="16"/>
      <c r="N16" s="154" t="e" vm="49">
        <f>IFERROR(VLOOKUP(O16,Aux!$A:$C,3,0),"")</f>
        <v>#VALUE!</v>
      </c>
      <c r="O16" s="155" t="str">
        <f>VLOOKUP(B16,Aux!M:Y,6,0)</f>
        <v>Al-Hilal</v>
      </c>
      <c r="P16" s="102" t="e" vm="50">
        <f>IFERROR(VLOOKUP(O16,Aux!$A:$X,8,0),"")</f>
        <v>#VALUE!</v>
      </c>
      <c r="Q16" s="16"/>
      <c r="R16" s="24" t="str">
        <f>VLOOKUP(B16,Aux!M:Y,7,0)</f>
        <v>Audi Field</v>
      </c>
      <c r="S16"/>
      <c r="T16" s="240" t="str">
        <f>INDEX($AH$10:$AH$17,MATCH(4,$AY$10:$AY$16,0))</f>
        <v>Salzburgo</v>
      </c>
      <c r="U16" s="91" t="e" vm="52">
        <f>IFERROR(VLOOKUP(T16,Aux!A:C,3,0),"")</f>
        <v>#VALUE!</v>
      </c>
      <c r="V16" s="92"/>
      <c r="W16" s="93">
        <f>VLOOKUP($T16,$AH$10:$AO$16,3,0)</f>
        <v>1</v>
      </c>
      <c r="X16" s="94">
        <f>VLOOKUP($T16,$AH$10:$AO$16,4,0)</f>
        <v>0</v>
      </c>
      <c r="Y16" s="94">
        <f>VLOOKUP($T16,$AH$10:$AO$16,5,0)</f>
        <v>1</v>
      </c>
      <c r="Z16" s="94">
        <f>VLOOKUP($T16,$AH$10:$AO$16,6,0)</f>
        <v>2</v>
      </c>
      <c r="AA16" s="95">
        <f>VLOOKUP($T16,$AH$10:$AO$16,7,0)</f>
        <v>3</v>
      </c>
      <c r="AB16" s="95">
        <f>VLOOKUP($T16,$AH$10:$AO$16,8,0)</f>
        <v>6</v>
      </c>
      <c r="AC16" s="95">
        <f>AA16-AB16</f>
        <v>-3</v>
      </c>
      <c r="AD16" s="33"/>
      <c r="AE16" s="39"/>
      <c r="AF16" s="46"/>
      <c r="AG16" s="45">
        <v>4</v>
      </c>
      <c r="AH16" s="177" t="str">
        <f>VLOOKUP($AH$6&amp;AG16,Aux!Z:AA,2,0)</f>
        <v>Salzburgo</v>
      </c>
      <c r="AI16" s="45">
        <f>AK16+AL16+AM16</f>
        <v>3</v>
      </c>
      <c r="AJ16" s="45">
        <f>AK16*3+AL16</f>
        <v>1</v>
      </c>
      <c r="AK16" s="45" cm="1">
        <f t="array" ref="AK16">SUM(($G$10:$G$23=$AH16)*($J$10:$J$23&gt;$L$10:$L$23)+($O$10:$O$23=$AH16)*($J$10:$J$23&lt;$L$10:$L$23))</f>
        <v>0</v>
      </c>
      <c r="AL16" s="45" cm="1">
        <f t="array" ref="AL16">SUM(($G$10:$G$23=$AH16)*($J$10:$J$23=$L$10:$L$23)*($J$10:$J$23&lt;&gt;"")+($O$10:$O$23=$AH16)*($J$10:$J$23=$L$10:$L$23)*($J$10:$J$23&lt;&gt;""))</f>
        <v>1</v>
      </c>
      <c r="AM16" s="45" cm="1">
        <f t="array" ref="AM16">SUM(($G$10:$G$23=$AH16)*($J$10:$J$23&lt;$L$10:$L$23)+($O$10:$O$23=$AH16)*($J$10:$J$23&gt;$L$10:$L$23))</f>
        <v>2</v>
      </c>
      <c r="AN16" s="29" cm="1">
        <f t="array" ref="AN16">SUM(($G$10:$G$23=$AH16)*($J$10:$J$23)+($O$10:$O$23=$AH16)*($L$10:$L$23))</f>
        <v>3</v>
      </c>
      <c r="AO16" s="29" cm="1">
        <f t="array" ref="AO16">SUM(($G$10:$G$23=$AH16)*($L$10:$L$23)+($O$10:$O$23=$AH16)*($J$10:$J$23))</f>
        <v>6</v>
      </c>
      <c r="AP16" s="141">
        <f>AN16-AO16</f>
        <v>-3</v>
      </c>
      <c r="AQ16" s="138">
        <v>0</v>
      </c>
      <c r="AR16" s="141">
        <f>+AW16+AV16+AU16</f>
        <v>1.0000970300000001</v>
      </c>
      <c r="AS16" s="29"/>
      <c r="AT16" s="29"/>
      <c r="AU16" s="141">
        <f>+AJ16</f>
        <v>1</v>
      </c>
      <c r="AV16" s="141">
        <f>SUMIFS($BA16:$BD16,$BA$6:$BD$6,AJ16)/1000</f>
        <v>0</v>
      </c>
      <c r="AW16" s="141">
        <f>SUMIFS($BA16:$BD16,$BA$5:$BD$5,AV16)/1000000</f>
        <v>9.7029999999999998E-5</v>
      </c>
      <c r="AX16" s="29">
        <f>_xlfn.RANK.EQ(AJ16,$AJ$10:$AJ$16)+_xlfn.RANK.EQ(AR16,$AR$10:$AR$16)/10+_xlfn.RANK.EQ(AP16,$AP$10:$AP$16)/1000+_xlfn.RANK.EQ(AN16,$AN$10:$AN$16)/100000+_xlfn.RANK.EQ(AQ16,$AQ$10:$AQ$16)/100000+ROW()/1000000</f>
        <v>4.4040559999999989</v>
      </c>
      <c r="AY16" s="29">
        <f>_xlfn.RANK.EQ(AX16,$AX$10:$AX$16,1)</f>
        <v>4</v>
      </c>
      <c r="AZ16" s="29"/>
      <c r="BA16" s="29" cm="1">
        <f t="array" ref="BA16">(SUM(($G$10:$G$23=$AH16)*($J$10:$J$23&gt;$L$10:$L$23)*($O$10:$O$23=BA$8)+($O$10:$O$23=$AH16)*($J$10:$J$23&lt;$L$10:$L$23)*($G$10:$G$23=BA$8)))*300+
(SUM(($G$10:$G$23=$AH16)*($J$10:$J$23=$L$10:$L$23)*($O$10:$O$23=BA$8)+($O$10:$O$23=$AH16)*($J$10:$J$23=$L$10:$L$23)*($G$10:$G$23=BA$8)))*100
+SUM(($G$10:$G$23=$AH16)*($J$10:$J$23)*($O$10:$O$23=BA$8)+($O$10:$O$23=$AH16)*($L$10:$L$23)*($G$10:$G$23=BA$8))
-SUM(($G$10:$G$23=$AH16)*($L$10:$L$23)*($O$10:$O$23=BA$8)+($O$10:$O$23=$AH16)*($J$10:$J$23)*($G$10:$G$23=BA$8))
+SUM(($G$10:$G$23=$AH16)*($J$10:$J$23)*($O$10:$O$23=BA$8)+($O$10:$O$23=$AH16)*($L$10:$L$23)*($G$10:$G$23=BA$8))/100</f>
        <v>-1.99</v>
      </c>
      <c r="BB16" s="29" cm="1">
        <f t="array" ref="BB16">(SUM(($G$10:$G$23=$AH16)*($J$10:$J$23&gt;$L$10:$L$23)*($O$10:$O$23=BB$8)+($O$10:$O$23=$AH16)*($J$10:$J$23&lt;$L$10:$L$23)*($G$10:$G$23=BB$8)))*300+
(SUM(($G$10:$G$23=$AH16)*($J$10:$J$23=$L$10:$L$23)*($O$10:$O$23=BB$8)+($O$10:$O$23=$AH16)*($J$10:$J$23=$L$10:$L$23)*($G$10:$G$23=BB$8)))*100
+SUM(($G$10:$G$23=$AH16)*($J$10:$J$23)*($O$10:$O$23=BB$8)+($O$10:$O$23=$AH16)*($L$10:$L$23)*($G$10:$G$23=BB$8))
-SUM(($G$10:$G$23=$AH16)*($L$10:$L$23)*($O$10:$O$23=BB$8)+($O$10:$O$23=$AH16)*($J$10:$J$23)*($G$10:$G$23=BB$8))
+SUM(($G$10:$G$23=$AH16)*($J$10:$J$23)*($O$10:$O$23=BB$8)+($O$10:$O$23=$AH16)*($L$10:$L$23)*($G$10:$G$23=BB$8))/100</f>
        <v>-0.99</v>
      </c>
      <c r="BC16" s="29" cm="1">
        <f t="array" ref="BC16">(SUM(($G$10:$G$23=$AH16)*($J$10:$J$23&gt;$L$10:$L$23)*($O$10:$O$23=BC$8)+($O$10:$O$23=$AH16)*($J$10:$J$23&lt;$L$10:$L$23)*($G$10:$G$23=BC$8)))*300+
(SUM(($G$10:$G$23=$AH16)*($J$10:$J$23=$L$10:$L$23)*($O$10:$O$23=BC$8)+($O$10:$O$23=$AH16)*($J$10:$J$23=$L$10:$L$23)*($G$10:$G$23=BC$8)))*100
+SUM(($G$10:$G$23=$AH16)*($J$10:$J$23)*($O$10:$O$23=BC$8)+($O$10:$O$23=$AH16)*($L$10:$L$23)*($G$10:$G$23=BC$8))
-SUM(($G$10:$G$23=$AH16)*($L$10:$L$23)*($O$10:$O$23=BC$8)+($O$10:$O$23=$AH16)*($J$10:$J$23)*($G$10:$G$23=BC$8))
+SUM(($G$10:$G$23=$AH16)*($J$10:$J$23)*($O$10:$O$23=BC$8)+($O$10:$O$23=$AH16)*($L$10:$L$23)*($G$10:$G$23=BC$8))/100</f>
        <v>100.01</v>
      </c>
      <c r="BD16" s="29" cm="1">
        <f t="array" ref="BD16">(SUM(($G$10:$G$23=$AH16)*($J$10:$J$23&gt;$L$10:$L$23)*($O$10:$O$23=BD$8)+($O$10:$O$23=$AH16)*($J$10:$J$23&lt;$L$10:$L$23)*($G$10:$G$23=BD$8)))*300+
(SUM(($G$10:$G$23=$AH16)*($J$10:$J$23=$L$10:$L$23)*($O$10:$O$23=BD$8)+($O$10:$O$23=$AH16)*($J$10:$J$23=$L$10:$L$23)*($G$10:$G$23=BD$8)))*100
+SUM(($G$10:$G$23=$AH16)*($J$10:$J$23)*($O$10:$O$23=BD$8)+($O$10:$O$23=$AH16)*($L$10:$L$23)*($G$10:$G$23=BD$8))
-SUM(($G$10:$G$23=$AH16)*($L$10:$L$23)*($O$10:$O$23=BD$8)+($O$10:$O$23=$AH16)*($J$10:$J$23)*($G$10:$G$23=BD$8))
+SUM(($G$10:$G$23=$AH16)*($J$10:$J$23)*($O$10:$O$23=BD$8)+($O$10:$O$23=$AH16)*($L$10:$L$23)*($G$10:$G$23=BD$8))/100</f>
        <v>0</v>
      </c>
    </row>
    <row r="17" spans="2:56" s="30" customFormat="1" ht="10.15" customHeight="1" x14ac:dyDescent="0.25">
      <c r="B17" s="164" t="str">
        <v/>
      </c>
      <c r="C17" s="10"/>
      <c r="D17" s="11"/>
      <c r="E17" s="103"/>
      <c r="F17" s="103"/>
      <c r="G17" s="158"/>
      <c r="H17" s="12"/>
      <c r="I17" s="12"/>
      <c r="J17" s="145"/>
      <c r="K17" s="145"/>
      <c r="L17" s="145"/>
      <c r="M17" s="16"/>
      <c r="N17" s="154"/>
      <c r="O17" s="156"/>
      <c r="P17" s="17"/>
      <c r="Q17" s="17"/>
      <c r="R17" s="25"/>
      <c r="S17"/>
      <c r="T17" s="90"/>
      <c r="U17" s="91"/>
      <c r="V17" s="92"/>
      <c r="W17" s="93"/>
      <c r="X17" s="94"/>
      <c r="Y17" s="94"/>
      <c r="Z17" s="94"/>
      <c r="AA17" s="95"/>
      <c r="AB17" s="95"/>
      <c r="AC17" s="95"/>
      <c r="AD17" s="33"/>
      <c r="AE17" s="39"/>
      <c r="AF17" s="46"/>
      <c r="AG17" s="45"/>
      <c r="AH17" s="177"/>
      <c r="AI17" s="45"/>
      <c r="AJ17" s="45"/>
      <c r="AK17" s="45"/>
      <c r="AL17" s="45"/>
      <c r="AM17" s="45"/>
      <c r="AN17" s="29"/>
      <c r="AO17" s="29"/>
      <c r="AP17" s="141"/>
      <c r="AQ17" s="29"/>
      <c r="AR17" s="29"/>
      <c r="AS17" s="29"/>
      <c r="AT17" s="29"/>
      <c r="AU17" s="29"/>
      <c r="AV17" s="141"/>
      <c r="AW17" s="29"/>
      <c r="AX17" s="29"/>
      <c r="AY17" s="29"/>
      <c r="AZ17" s="29"/>
      <c r="BA17" s="29"/>
      <c r="BB17" s="29"/>
      <c r="BC17" s="29"/>
      <c r="BD17" s="29"/>
    </row>
    <row r="18" spans="2:56" s="30" customFormat="1" ht="22.15" customHeight="1" thickBot="1" x14ac:dyDescent="0.3">
      <c r="B18" s="164">
        <v>47</v>
      </c>
      <c r="C18" s="7">
        <f>VLOOKUP(B18,Aux!M:AH,4,0)</f>
        <v>45835.125000000007</v>
      </c>
      <c r="D18" s="8">
        <f>VLOOKUP(B18,Aux!M:AH,4,0)</f>
        <v>45835.125000000007</v>
      </c>
      <c r="E18" s="102"/>
      <c r="F18" s="102" t="e" vm="50">
        <f>IFERROR(VLOOKUP(G18,Aux!$A:$X,8,0),"")</f>
        <v>#VALUE!</v>
      </c>
      <c r="G18" s="157" t="str">
        <f>VLOOKUP(B18,Aux!M:Y,5,0)</f>
        <v>Al-Hilal</v>
      </c>
      <c r="H18" s="154" t="e" vm="49">
        <f>IFERROR(VLOOKUP(G18,Aux!$A:$C,3,0),"")</f>
        <v>#VALUE!</v>
      </c>
      <c r="I18" s="154"/>
      <c r="J18" s="203">
        <v>2</v>
      </c>
      <c r="K18" s="145" t="s">
        <v>40</v>
      </c>
      <c r="L18" s="203">
        <v>2</v>
      </c>
      <c r="M18" s="16"/>
      <c r="N18" s="154" t="e" vm="51">
        <f>IFERROR(VLOOKUP(O18,Aux!$A:$C,3,0),"")</f>
        <v>#VALUE!</v>
      </c>
      <c r="O18" s="155" t="str">
        <f>VLOOKUP(B18,Aux!M:Y,6,0)</f>
        <v>Pachuca</v>
      </c>
      <c r="P18" s="102" t="e" vm="4">
        <f>IFERROR(VLOOKUP(O18,Aux!$A:$X,8,0),"")</f>
        <v>#VALUE!</v>
      </c>
      <c r="Q18" s="16"/>
      <c r="R18" s="24" t="str">
        <f>VLOOKUP(B18,Aux!M:Y,7,0)</f>
        <v>Geodis Park</v>
      </c>
      <c r="S18"/>
      <c r="T18" s="310"/>
      <c r="U18" s="310"/>
      <c r="V18" s="310"/>
      <c r="W18" s="310"/>
      <c r="X18" s="310"/>
      <c r="Y18" s="310"/>
      <c r="Z18" s="310"/>
      <c r="AA18" s="310"/>
      <c r="AB18" s="310"/>
      <c r="AC18" s="310"/>
      <c r="AD18" s="33"/>
      <c r="AE18" s="33"/>
      <c r="AF18" s="45"/>
      <c r="AG18" s="45"/>
      <c r="AH18" s="45"/>
      <c r="AI18" s="45"/>
      <c r="AJ18" s="45"/>
      <c r="AK18" s="45"/>
      <c r="AL18" s="45"/>
      <c r="AM18" s="45"/>
      <c r="AN18" s="29"/>
      <c r="AO18" s="29"/>
      <c r="AP18" s="29"/>
      <c r="AQ18" s="29"/>
      <c r="AR18" s="29"/>
      <c r="AS18" s="29"/>
      <c r="AT18" s="29"/>
      <c r="AU18" s="29"/>
      <c r="AV18" s="29"/>
      <c r="AW18" s="29"/>
      <c r="AX18" s="29"/>
      <c r="AY18" s="29"/>
      <c r="AZ18" s="29"/>
      <c r="BA18" s="29"/>
      <c r="BB18" s="29"/>
      <c r="BC18" s="29"/>
      <c r="BD18" s="29"/>
    </row>
    <row r="19" spans="2:56" s="30" customFormat="1" ht="10.15" customHeight="1" thickTop="1" x14ac:dyDescent="0.25">
      <c r="B19" s="164" t="str">
        <v/>
      </c>
      <c r="C19" s="10"/>
      <c r="D19" s="11"/>
      <c r="E19" s="103"/>
      <c r="F19" s="103"/>
      <c r="G19" s="158"/>
      <c r="H19" s="12"/>
      <c r="I19" s="12"/>
      <c r="J19" s="145"/>
      <c r="K19" s="145"/>
      <c r="L19" s="145"/>
      <c r="M19" s="16"/>
      <c r="N19" s="154"/>
      <c r="O19" s="155"/>
      <c r="P19" s="17"/>
      <c r="Q19" s="17"/>
      <c r="R19" s="25"/>
      <c r="S19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33"/>
      <c r="AE19" s="33"/>
      <c r="AF19" s="45"/>
      <c r="AG19" s="45"/>
      <c r="AH19" s="45"/>
      <c r="AI19" s="45"/>
      <c r="AJ19" s="45"/>
      <c r="AK19" s="45"/>
      <c r="AL19" s="45"/>
      <c r="AM19" s="45"/>
      <c r="AN19" s="29"/>
      <c r="AO19" s="29"/>
      <c r="AP19" s="29"/>
      <c r="AQ19" s="29"/>
      <c r="AR19" s="29"/>
      <c r="AS19" s="29"/>
      <c r="AT19" s="29"/>
      <c r="AU19" s="29"/>
      <c r="AV19" s="29"/>
      <c r="AW19" s="29"/>
      <c r="AX19" s="29"/>
      <c r="AY19" s="29"/>
      <c r="AZ19" s="29"/>
      <c r="BA19" s="45"/>
      <c r="BB19" s="127"/>
      <c r="BC19" s="127"/>
      <c r="BD19" s="127"/>
    </row>
    <row r="20" spans="2:56" s="30" customFormat="1" ht="22.15" customHeight="1" x14ac:dyDescent="0.25">
      <c r="B20" s="164">
        <v>48</v>
      </c>
      <c r="C20" s="7">
        <f>VLOOKUP(B20,Aux!M:AH,4,0)</f>
        <v>45835.125</v>
      </c>
      <c r="D20" s="8">
        <f>VLOOKUP(B20,Aux!M:AH,4,0)</f>
        <v>45835.125</v>
      </c>
      <c r="E20" s="102"/>
      <c r="F20" s="102" t="e" vm="53">
        <f>IFERROR(VLOOKUP(G20,Aux!$A:$X,8,0),"")</f>
        <v>#VALUE!</v>
      </c>
      <c r="G20" s="157" t="str">
        <f>VLOOKUP(B20,Aux!M:Y,5,0)</f>
        <v>Salzburgo</v>
      </c>
      <c r="H20" s="154" t="e" vm="52">
        <f>IFERROR(VLOOKUP(G20,Aux!$A:$C,3,0),"")</f>
        <v>#VALUE!</v>
      </c>
      <c r="I20" s="154"/>
      <c r="J20" s="203">
        <v>1</v>
      </c>
      <c r="K20" s="145" t="s">
        <v>40</v>
      </c>
      <c r="L20" s="203">
        <v>3</v>
      </c>
      <c r="M20" s="16"/>
      <c r="N20" s="154" t="e" vm="48">
        <f>IFERROR(VLOOKUP(O20,Aux!$A:$C,3,0),"")</f>
        <v>#VALUE!</v>
      </c>
      <c r="O20" s="155" t="str">
        <f>VLOOKUP(B20,Aux!M:Y,6,0)</f>
        <v>Real Madrid</v>
      </c>
      <c r="P20" s="102" t="e" vm="15">
        <f>IFERROR(VLOOKUP(O20,Aux!$A:$X,8,0),"")</f>
        <v>#VALUE!</v>
      </c>
      <c r="Q20" s="16"/>
      <c r="R20" s="24" t="str">
        <f>VLOOKUP(B20,Aux!M:Y,7,0)</f>
        <v>Lincoln Financial Field</v>
      </c>
      <c r="S20"/>
      <c r="T20" s="28"/>
      <c r="U20" s="28"/>
      <c r="V20" s="28"/>
      <c r="W20"/>
      <c r="X20" s="28"/>
      <c r="Y20" s="28"/>
      <c r="Z20" s="28"/>
      <c r="AA20" s="28"/>
      <c r="AB20" s="28"/>
      <c r="AC20" s="28"/>
      <c r="AD20" s="33"/>
      <c r="AE20" s="33"/>
      <c r="AF20" s="45"/>
      <c r="AG20" s="45"/>
      <c r="AH20" s="45"/>
      <c r="AI20" s="45"/>
      <c r="AJ20" s="45"/>
      <c r="AK20" s="45"/>
      <c r="AL20" s="45"/>
      <c r="AM20" s="45"/>
      <c r="AN20" s="29"/>
      <c r="AO20" s="29"/>
      <c r="AP20" s="29"/>
      <c r="AQ20" s="29"/>
      <c r="AR20" s="29"/>
      <c r="AS20" s="29"/>
      <c r="AT20" s="29"/>
      <c r="AU20" s="29"/>
      <c r="AV20" s="29"/>
      <c r="AW20" s="29"/>
      <c r="AX20" s="29"/>
      <c r="AY20" s="29"/>
      <c r="AZ20" s="29"/>
      <c r="BA20" s="138"/>
      <c r="BB20" s="138"/>
      <c r="BC20" s="138"/>
      <c r="BD20" s="138"/>
    </row>
    <row r="21" spans="2:56" s="30" customFormat="1" ht="10.15" customHeight="1" x14ac:dyDescent="0.25">
      <c r="B21" s="165" t="str">
        <v/>
      </c>
      <c r="C21" s="13"/>
      <c r="D21" s="14"/>
      <c r="E21" s="18"/>
      <c r="F21" s="18"/>
      <c r="G21" s="15"/>
      <c r="H21" s="15"/>
      <c r="I21" s="15"/>
      <c r="J21" s="18"/>
      <c r="K21" s="18"/>
      <c r="L21" s="18"/>
      <c r="M21" s="18"/>
      <c r="N21" s="18"/>
      <c r="O21" s="19"/>
      <c r="P21" s="19"/>
      <c r="Q21" s="19"/>
      <c r="R21" s="26"/>
      <c r="S21"/>
      <c r="T21" s="28"/>
      <c r="U21" s="28"/>
      <c r="V21" s="28"/>
      <c r="W21" s="301" t="s">
        <v>134</v>
      </c>
      <c r="X21" s="301"/>
      <c r="Y21" s="301"/>
      <c r="Z21" s="28"/>
      <c r="AA21" s="28"/>
      <c r="AB21" s="28"/>
      <c r="AC21" s="28"/>
      <c r="AD21" s="33"/>
      <c r="AE21" s="33"/>
      <c r="AF21" s="45"/>
      <c r="AG21" s="45"/>
      <c r="AH21" s="45"/>
      <c r="AI21" s="45"/>
      <c r="AJ21" s="45"/>
      <c r="AK21" s="45"/>
      <c r="AL21" s="45"/>
      <c r="AM21" s="45"/>
      <c r="AN21" s="29"/>
      <c r="AO21" s="29"/>
      <c r="AP21" s="29"/>
      <c r="AQ21" s="29"/>
      <c r="AR21" s="29"/>
      <c r="AS21" s="29"/>
      <c r="AT21" s="29"/>
      <c r="AU21" s="29"/>
      <c r="AV21" s="29"/>
      <c r="AW21" s="29"/>
      <c r="AX21" s="29"/>
      <c r="AY21" s="29"/>
      <c r="AZ21" s="29"/>
      <c r="BA21" s="138"/>
      <c r="BB21" s="138"/>
      <c r="BC21" s="138"/>
      <c r="BD21" s="138"/>
    </row>
    <row r="22" spans="2:56" ht="15" customHeight="1" x14ac:dyDescent="0.25">
      <c r="W22" s="301"/>
      <c r="X22" s="301"/>
      <c r="Y22" s="301"/>
      <c r="AD22" s="33"/>
      <c r="AE22" s="45"/>
      <c r="AF22" s="45"/>
      <c r="AG22" s="45"/>
      <c r="AH22" s="45"/>
      <c r="AI22" s="45"/>
      <c r="AJ22" s="45"/>
      <c r="AK22" s="45"/>
      <c r="AL22" s="45"/>
      <c r="AM22" s="45"/>
      <c r="AN22" s="29"/>
      <c r="AO22" s="29"/>
      <c r="AP22" s="29"/>
      <c r="AQ22" s="29"/>
      <c r="AR22" s="29"/>
      <c r="AS22" s="29"/>
      <c r="AT22" s="29"/>
      <c r="AU22" s="29"/>
      <c r="AV22" s="29"/>
      <c r="AW22" s="29"/>
      <c r="AX22" s="29"/>
      <c r="AY22" s="127"/>
      <c r="AZ22" s="29"/>
      <c r="BA22" s="138"/>
      <c r="BB22" s="138"/>
      <c r="BC22" s="138"/>
      <c r="BD22" s="138"/>
    </row>
    <row r="23" spans="2:56" ht="15" customHeight="1" x14ac:dyDescent="0.25">
      <c r="N23"/>
      <c r="O23"/>
      <c r="P23"/>
      <c r="Q23"/>
      <c r="R23"/>
      <c r="W23" s="302" t="s">
        <v>135</v>
      </c>
      <c r="X23" s="302"/>
      <c r="Y23" s="302"/>
      <c r="AD23" s="33"/>
      <c r="AE23" s="45"/>
      <c r="AF23" s="45"/>
      <c r="AG23" s="45"/>
      <c r="AH23" s="45"/>
      <c r="AI23" s="47"/>
      <c r="AJ23" s="47"/>
      <c r="AK23" s="47"/>
      <c r="AL23" s="47"/>
      <c r="AM23" s="47"/>
      <c r="BA23" s="262"/>
      <c r="BB23" s="263"/>
      <c r="BC23" s="263"/>
      <c r="BD23" s="263"/>
    </row>
    <row r="24" spans="2:56" ht="15" customHeight="1" x14ac:dyDescent="0.25">
      <c r="N24"/>
      <c r="O24"/>
      <c r="P24"/>
      <c r="Q24"/>
      <c r="R24"/>
      <c r="W24" s="302"/>
      <c r="X24" s="302"/>
      <c r="Y24" s="302"/>
      <c r="AD24" s="33"/>
      <c r="AE24" s="45"/>
      <c r="AF24" s="45"/>
      <c r="AG24" s="45"/>
      <c r="AH24" s="45"/>
      <c r="AI24" s="47"/>
      <c r="AJ24" s="47"/>
      <c r="AK24" s="47"/>
      <c r="AL24" s="47"/>
      <c r="AM24" s="47"/>
      <c r="BB24" s="31"/>
      <c r="BC24" s="31"/>
      <c r="BD24" s="31"/>
    </row>
    <row r="25" spans="2:56" ht="15" customHeight="1" x14ac:dyDescent="0.25">
      <c r="N25"/>
      <c r="O25"/>
      <c r="P25"/>
      <c r="Q25"/>
      <c r="R25"/>
      <c r="W25"/>
      <c r="AD25" s="33"/>
      <c r="AE25" s="45"/>
      <c r="AF25" s="45"/>
      <c r="AG25" s="45"/>
      <c r="AH25" s="45"/>
      <c r="AI25" s="47"/>
      <c r="AJ25" s="47"/>
      <c r="AK25" s="47"/>
      <c r="AL25" s="47"/>
      <c r="AM25" s="47"/>
      <c r="BB25" s="31"/>
      <c r="BC25" s="31"/>
      <c r="BD25" s="31"/>
    </row>
    <row r="26" spans="2:56" ht="15" customHeight="1" x14ac:dyDescent="0.25">
      <c r="N26"/>
      <c r="O26"/>
      <c r="P26"/>
      <c r="Q26"/>
      <c r="R26"/>
      <c r="AG26" s="29"/>
      <c r="AH26" s="29"/>
      <c r="BB26" s="31"/>
      <c r="BC26" s="31"/>
      <c r="BD26" s="31"/>
    </row>
    <row r="27" spans="2:56" ht="15" customHeight="1" x14ac:dyDescent="0.25">
      <c r="N27"/>
      <c r="O27"/>
      <c r="P27"/>
      <c r="Q27"/>
      <c r="R27"/>
      <c r="AG27" s="29"/>
      <c r="AH27" s="29"/>
      <c r="BB27" s="31"/>
      <c r="BC27" s="31"/>
      <c r="BD27" s="31"/>
    </row>
    <row r="28" spans="2:56" ht="15" customHeight="1" x14ac:dyDescent="0.25">
      <c r="N28"/>
      <c r="O28"/>
      <c r="P28"/>
      <c r="Q28"/>
      <c r="R28"/>
      <c r="AG28" s="29"/>
      <c r="AH28" s="29"/>
      <c r="BB28" s="31"/>
      <c r="BC28" s="31"/>
      <c r="BD28" s="31"/>
    </row>
    <row r="29" spans="2:56" ht="15" customHeight="1" x14ac:dyDescent="0.25">
      <c r="N29"/>
      <c r="O29"/>
      <c r="P29"/>
      <c r="Q29"/>
      <c r="R29"/>
      <c r="AG29" s="29"/>
      <c r="AH29" s="29"/>
      <c r="AI29" s="29"/>
      <c r="AJ29" s="29"/>
      <c r="AK29" s="29"/>
      <c r="AL29" s="29"/>
      <c r="AM29" s="29"/>
      <c r="AN29" s="29"/>
      <c r="AO29" s="29"/>
      <c r="AP29" s="29"/>
      <c r="AQ29" s="29"/>
      <c r="AR29" s="29"/>
      <c r="AS29" s="29"/>
      <c r="AT29" s="29"/>
      <c r="AU29" s="29"/>
      <c r="AV29" s="29"/>
      <c r="AW29" s="29"/>
      <c r="AX29" s="29"/>
      <c r="AZ29" s="29"/>
      <c r="BB29" s="31"/>
      <c r="BC29" s="31"/>
      <c r="BD29" s="31"/>
    </row>
    <row r="30" spans="2:56" ht="15" customHeight="1" x14ac:dyDescent="0.25">
      <c r="BB30" s="31"/>
      <c r="BC30" s="31"/>
      <c r="BD30" s="31"/>
    </row>
  </sheetData>
  <mergeCells count="6">
    <mergeCell ref="W23:Y24"/>
    <mergeCell ref="W2:Y2"/>
    <mergeCell ref="E7:Q7"/>
    <mergeCell ref="T7:AC7"/>
    <mergeCell ref="T18:AC18"/>
    <mergeCell ref="W21:Y22"/>
  </mergeCells>
  <conditionalFormatting sqref="J10 J12 J14 J16 J18 J20">
    <cfRule type="expression" dxfId="215" priority="5">
      <formula>#REF!="P"</formula>
    </cfRule>
    <cfRule type="expression" dxfId="214" priority="6">
      <formula>#REF!="E"</formula>
    </cfRule>
    <cfRule type="expression" dxfId="213" priority="7">
      <formula>#REF!="G"</formula>
    </cfRule>
  </conditionalFormatting>
  <conditionalFormatting sqref="L10 L12 L14 L16 L18 L20">
    <cfRule type="expression" dxfId="212" priority="8">
      <formula>#REF!="P"</formula>
    </cfRule>
    <cfRule type="expression" dxfId="211" priority="9">
      <formula>#REF!="E"</formula>
    </cfRule>
    <cfRule type="expression" dxfId="210" priority="10">
      <formula>#REF!="G"</formula>
    </cfRule>
  </conditionalFormatting>
  <conditionalFormatting sqref="W21 W23">
    <cfRule type="expression" dxfId="209" priority="1">
      <formula>$L24&lt;&gt;""</formula>
    </cfRule>
    <cfRule type="expression" dxfId="208" priority="2">
      <formula>AND($L24&lt;&gt;"",$L25="")</formula>
    </cfRule>
  </conditionalFormatting>
  <dataValidations count="1">
    <dataValidation type="list" allowBlank="1" showInputMessage="1" showErrorMessage="1" sqref="AH6" xr:uid="{83A55762-75B2-4E95-B4AC-DE6B9C174F4B}">
      <formula1>"A,B,C,D,E,F,G,H"</formula1>
    </dataValidation>
  </dataValidations>
  <hyperlinks>
    <hyperlink ref="W21" r:id="rId1" display="Aprendiz de Excel" xr:uid="{584CED7A-8C6F-478B-A0C7-4D8DF297BE49}"/>
    <hyperlink ref="W23" r:id="rId2" display="Aprendiz de Excel" xr:uid="{4CC29A30-BC3A-4F65-8D87-18553B3107EC}"/>
    <hyperlink ref="W23:W24" r:id="rId3" display="Vídeo YouTube" xr:uid="{185A9623-9374-40BE-AF0F-B59F08342590}"/>
    <hyperlink ref="W23:Y24" r:id="rId4" display="Vídeo YouTube" xr:uid="{404E2F83-8BA1-475A-9CD3-7DC2F4DACCB2}"/>
  </hyperlinks>
  <pageMargins left="0.7" right="0.7" top="0.75" bottom="0.75" header="0.3" footer="0.3"/>
  <pageSetup paperSize="9" orientation="portrait" r:id="rId5"/>
  <drawing r:id="rId6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F0E28-6850-4174-82E9-F77743963E1D}">
  <dimension ref="A1:X40"/>
  <sheetViews>
    <sheetView showGridLines="0" topLeftCell="A13" zoomScaleNormal="100" workbookViewId="0">
      <selection activeCell="P33" sqref="P33"/>
    </sheetView>
  </sheetViews>
  <sheetFormatPr baseColWidth="10" defaultColWidth="14.42578125" defaultRowHeight="15" customHeight="1" x14ac:dyDescent="0.25"/>
  <cols>
    <col min="1" max="2" width="4.28515625" style="48" customWidth="1"/>
    <col min="3" max="3" width="3.7109375" customWidth="1"/>
    <col min="4" max="4" width="7.7109375" customWidth="1"/>
    <col min="5" max="5" width="6.7109375" customWidth="1"/>
    <col min="6" max="6" width="2.7109375" customWidth="1"/>
    <col min="7" max="7" width="3.7109375" customWidth="1"/>
    <col min="8" max="8" width="19.7109375" customWidth="1"/>
    <col min="9" max="9" width="5.7109375" customWidth="1"/>
    <col min="10" max="10" width="1.7109375" customWidth="1"/>
    <col min="11" max="11" width="6.7109375" customWidth="1"/>
    <col min="12" max="12" width="2.7109375" customWidth="1"/>
    <col min="13" max="13" width="6.7109375" customWidth="1"/>
    <col min="14" max="14" width="1.7109375" customWidth="1"/>
    <col min="15" max="15" width="5.7109375" customWidth="1"/>
    <col min="16" max="16" width="19.7109375" customWidth="1"/>
    <col min="17" max="17" width="3.7109375" customWidth="1"/>
    <col min="18" max="18" width="2.7109375" customWidth="1"/>
    <col min="19" max="19" width="20.7109375" customWidth="1"/>
    <col min="20" max="20" width="0.85546875" customWidth="1"/>
    <col min="21" max="21" width="19.5703125" customWidth="1"/>
    <col min="22" max="29" width="12.7109375" customWidth="1"/>
  </cols>
  <sheetData>
    <row r="1" spans="1:24" s="153" customFormat="1" ht="27.75" customHeight="1" x14ac:dyDescent="0.25">
      <c r="A1" s="210" t="s">
        <v>314</v>
      </c>
      <c r="B1" s="211"/>
      <c r="C1" s="211"/>
      <c r="D1" s="211"/>
      <c r="E1" s="211"/>
      <c r="F1" s="211"/>
      <c r="G1" s="211"/>
      <c r="H1" s="211"/>
      <c r="I1" s="211"/>
      <c r="J1" s="211"/>
      <c r="K1" s="211"/>
      <c r="L1" s="211"/>
      <c r="M1" s="211"/>
      <c r="N1" s="211"/>
      <c r="O1" s="211"/>
      <c r="P1" s="211"/>
      <c r="Q1" s="211"/>
      <c r="R1" s="211"/>
      <c r="S1" s="211"/>
    </row>
    <row r="3" spans="1:24" ht="15" customHeight="1" thickBot="1" x14ac:dyDescent="0.3"/>
    <row r="4" spans="1:24" ht="15" customHeight="1" x14ac:dyDescent="0.25">
      <c r="X4" s="294" t="s">
        <v>134</v>
      </c>
    </row>
    <row r="5" spans="1:24" ht="15" customHeight="1" thickBot="1" x14ac:dyDescent="0.3">
      <c r="X5" s="295"/>
    </row>
    <row r="6" spans="1:24" ht="15" customHeight="1" x14ac:dyDescent="0.25">
      <c r="X6" s="296" t="s">
        <v>135</v>
      </c>
    </row>
    <row r="7" spans="1:24" ht="15" customHeight="1" thickBot="1" x14ac:dyDescent="0.3">
      <c r="X7" s="297"/>
    </row>
    <row r="8" spans="1:24" ht="18" customHeight="1" x14ac:dyDescent="0.25">
      <c r="A8" s="275"/>
      <c r="B8" s="275"/>
      <c r="C8" s="168" t="s">
        <v>33</v>
      </c>
      <c r="D8" s="169" t="s">
        <v>34</v>
      </c>
      <c r="E8" s="169" t="s">
        <v>35</v>
      </c>
      <c r="F8" s="170"/>
      <c r="G8" s="170"/>
      <c r="H8" s="300" t="s">
        <v>315</v>
      </c>
      <c r="I8" s="300"/>
      <c r="J8" s="300"/>
      <c r="K8" s="300"/>
      <c r="L8" s="300"/>
      <c r="M8" s="300"/>
      <c r="N8" s="300"/>
      <c r="O8" s="300"/>
      <c r="P8" s="300"/>
      <c r="Q8" s="171"/>
      <c r="R8" s="171"/>
      <c r="S8" s="172" t="s">
        <v>37</v>
      </c>
      <c r="U8" s="173" t="s">
        <v>48</v>
      </c>
    </row>
    <row r="9" spans="1:24" ht="15" customHeight="1" thickBot="1" x14ac:dyDescent="0.3">
      <c r="A9" s="275"/>
      <c r="B9" s="275"/>
      <c r="C9" s="5"/>
      <c r="D9" s="42"/>
      <c r="E9" s="43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5"/>
    </row>
    <row r="10" spans="1:24" ht="22.15" customHeight="1" thickBot="1" x14ac:dyDescent="0.3">
      <c r="A10" s="275" t="s">
        <v>49</v>
      </c>
      <c r="B10" s="276" t="s">
        <v>9</v>
      </c>
      <c r="C10" s="178">
        <v>49</v>
      </c>
      <c r="D10" s="179">
        <f>VLOOKUP(C10,Aux!M:AH,4,0)</f>
        <v>45836.75</v>
      </c>
      <c r="E10" s="180">
        <f>VLOOKUP(C10,Aux!M:AH,4,0)</f>
        <v>45836.75</v>
      </c>
      <c r="F10" s="181"/>
      <c r="G10" s="181" t="e" vm="9">
        <f ca="1">IFERROR(VLOOKUP(H10,Aux!$A:$X,8,0),"")</f>
        <v>#VALUE!</v>
      </c>
      <c r="H10" s="182" t="str" cm="1">
        <f t="array" aca="1" ref="H10" ca="1">INDIRECT(RIGHT(A10,1)&amp;"!T"&amp;8+LEFT(A10,1)*2)</f>
        <v>Palmeiras</v>
      </c>
      <c r="I10" s="183" t="e" vm="8">
        <f ca="1">IFERROR(VLOOKUP(H10,Aux!$A:$C,3,0),"")</f>
        <v>#VALUE!</v>
      </c>
      <c r="J10" s="184"/>
      <c r="K10" s="203">
        <v>1</v>
      </c>
      <c r="L10" s="184" t="s">
        <v>40</v>
      </c>
      <c r="M10" s="203">
        <v>1</v>
      </c>
      <c r="N10" s="185"/>
      <c r="O10" s="184" t="e" vm="14">
        <f ca="1">IFERROR(VLOOKUP(P10,Aux!$A:$C,3,0),"")</f>
        <v>#VALUE!</v>
      </c>
      <c r="P10" s="186" t="str" cm="1">
        <f t="array" aca="1" ref="P10" ca="1">INDIRECT(RIGHT(B10,1)&amp;"!T"&amp;8+LEFT(B10,1)*2)</f>
        <v>Atlético de Madrid</v>
      </c>
      <c r="Q10" s="181" t="e" vm="15">
        <f ca="1">IFERROR(VLOOKUP(P10,Aux!$A:$X,8,0),"")</f>
        <v>#VALUE!</v>
      </c>
      <c r="R10" s="186"/>
      <c r="S10" s="247" t="str">
        <f>+VLOOKUP(C10,Aux!M:AZ,7,0)</f>
        <v>Lincoln Financial Field</v>
      </c>
      <c r="U10" s="206" t="str">
        <f ca="1">IF(OR(K10="",M10=""),"",IF(K10&gt;M10,H10,IF(K10&lt;M10,P10,IF(OR(K11="",M11=""),"",IF(K11=M11,"",IF(K11&gt;M11,H10,P10))))))</f>
        <v>Atlético de Madrid</v>
      </c>
    </row>
    <row r="11" spans="1:24" ht="15" customHeight="1" x14ac:dyDescent="0.25">
      <c r="A11" s="275"/>
      <c r="B11" s="275"/>
      <c r="C11" s="178"/>
      <c r="D11" s="188"/>
      <c r="E11" s="189"/>
      <c r="F11" s="190"/>
      <c r="G11" s="190"/>
      <c r="H11" s="191" t="s">
        <v>50</v>
      </c>
      <c r="I11" s="191"/>
      <c r="J11" s="185"/>
      <c r="K11" s="192">
        <v>2</v>
      </c>
      <c r="L11" s="192" t="s">
        <v>40</v>
      </c>
      <c r="M11" s="192">
        <v>3</v>
      </c>
      <c r="N11" s="193"/>
      <c r="O11" s="193"/>
      <c r="P11" s="193"/>
      <c r="Q11" s="193"/>
      <c r="R11" s="193"/>
      <c r="S11" s="247"/>
      <c r="U11" s="207"/>
    </row>
    <row r="12" spans="1:24" ht="15" customHeight="1" thickBot="1" x14ac:dyDescent="0.3">
      <c r="A12" s="275"/>
      <c r="B12" s="275"/>
      <c r="C12" s="178"/>
      <c r="D12" s="188"/>
      <c r="E12" s="189"/>
      <c r="F12" s="190"/>
      <c r="G12" s="190"/>
      <c r="H12" s="193"/>
      <c r="I12" s="193"/>
      <c r="J12" s="185"/>
      <c r="K12" s="184"/>
      <c r="L12" s="184"/>
      <c r="M12" s="184"/>
      <c r="N12" s="185"/>
      <c r="O12" s="185"/>
      <c r="P12" s="193"/>
      <c r="Q12" s="193"/>
      <c r="R12" s="193"/>
      <c r="S12" s="247"/>
      <c r="U12" s="207"/>
    </row>
    <row r="13" spans="1:24" ht="22.15" customHeight="1" thickBot="1" x14ac:dyDescent="0.3">
      <c r="A13" s="277" t="s">
        <v>51</v>
      </c>
      <c r="B13" s="277" t="s">
        <v>52</v>
      </c>
      <c r="C13" s="178">
        <f>C10+1</f>
        <v>50</v>
      </c>
      <c r="D13" s="179">
        <f>VLOOKUP(C13,Aux!M:AH,4,0)</f>
        <v>45836.916666666664</v>
      </c>
      <c r="E13" s="180">
        <f>VLOOKUP(C13,Aux!M:AH,4,0)</f>
        <v>45836.916666666664</v>
      </c>
      <c r="F13" s="181"/>
      <c r="G13" s="181" t="e" vm="18">
        <f ca="1">IFERROR(VLOOKUP(H13,Aux!$A:$X,8,0),"")</f>
        <v>#VALUE!</v>
      </c>
      <c r="H13" s="182" t="str" cm="1">
        <f t="array" aca="1" ref="H13" ca="1">INDIRECT(RIGHT(A13,1)&amp;"!T"&amp;8+LEFT(A13,1)*2)</f>
        <v>Bayern Múnich</v>
      </c>
      <c r="I13" s="183" t="e" vm="19">
        <f ca="1">IFERROR(VLOOKUP(H13,Aux!$A:$C,3,0),"")</f>
        <v>#VALUE!</v>
      </c>
      <c r="J13" s="194"/>
      <c r="K13" s="203">
        <v>3</v>
      </c>
      <c r="L13" s="184" t="s">
        <v>40</v>
      </c>
      <c r="M13" s="203">
        <v>1</v>
      </c>
      <c r="N13" s="185"/>
      <c r="O13" s="184" t="e" vm="27">
        <f ca="1">IFERROR(VLOOKUP(P13,Aux!$A:$C,3,0),"")</f>
        <v>#VALUE!</v>
      </c>
      <c r="P13" s="186" t="str" cm="1">
        <f t="array" aca="1" ref="P13" ca="1">INDIRECT(RIGHT(B13,1)&amp;"!T"&amp;8+LEFT(B13,1)*2)</f>
        <v>Flamengo</v>
      </c>
      <c r="Q13" s="181" t="e" vm="9">
        <f ca="1">IFERROR(VLOOKUP(P13,Aux!$A:$X,8,0),"")</f>
        <v>#VALUE!</v>
      </c>
      <c r="R13" s="186"/>
      <c r="S13" s="247" t="str">
        <f>+VLOOKUP(C13,Aux!M:AZ,7,0)</f>
        <v>Bank of America Stadium</v>
      </c>
      <c r="U13" s="206" t="str">
        <f ca="1">IF(OR(K13="",M13=""),"",IF(K13&gt;M13,H13,IF(K13&lt;M13,P13,IF(OR(K14="",M14=""),"",IF(K14=M14,"",IF(K14&gt;M14,H13,P13))))))</f>
        <v>Bayern Múnich</v>
      </c>
    </row>
    <row r="14" spans="1:24" ht="15" customHeight="1" x14ac:dyDescent="0.25">
      <c r="A14" s="275"/>
      <c r="B14" s="275"/>
      <c r="C14" s="178"/>
      <c r="D14" s="188"/>
      <c r="E14" s="189"/>
      <c r="F14" s="190"/>
      <c r="G14" s="190"/>
      <c r="H14" s="191" t="s">
        <v>50</v>
      </c>
      <c r="I14" s="191"/>
      <c r="J14" s="185"/>
      <c r="K14" s="192"/>
      <c r="L14" s="192" t="s">
        <v>40</v>
      </c>
      <c r="M14" s="192"/>
      <c r="N14" s="193"/>
      <c r="O14" s="193"/>
      <c r="P14" s="193"/>
      <c r="Q14" s="193"/>
      <c r="R14" s="193"/>
      <c r="S14" s="247"/>
      <c r="U14" s="207"/>
    </row>
    <row r="15" spans="1:24" ht="15" customHeight="1" thickBot="1" x14ac:dyDescent="0.3">
      <c r="A15" s="275"/>
      <c r="B15" s="275"/>
      <c r="C15" s="178"/>
      <c r="D15" s="188"/>
      <c r="E15" s="189"/>
      <c r="F15" s="190"/>
      <c r="G15" s="190"/>
      <c r="H15" s="193"/>
      <c r="I15" s="193"/>
      <c r="J15" s="185"/>
      <c r="K15" s="184"/>
      <c r="L15" s="184"/>
      <c r="M15" s="184"/>
      <c r="N15" s="185"/>
      <c r="O15" s="185"/>
      <c r="P15" s="193"/>
      <c r="Q15" s="193"/>
      <c r="R15" s="193"/>
      <c r="S15" s="247"/>
      <c r="U15" s="207"/>
    </row>
    <row r="16" spans="1:24" ht="22.15" customHeight="1" thickBot="1" x14ac:dyDescent="0.3">
      <c r="A16" s="277" t="s">
        <v>208</v>
      </c>
      <c r="B16" s="277" t="s">
        <v>209</v>
      </c>
      <c r="C16" s="178">
        <v>53</v>
      </c>
      <c r="D16" s="179">
        <f>VLOOKUP(C16,Aux!M:AH,4,0)</f>
        <v>45838.875</v>
      </c>
      <c r="E16" s="180">
        <f>VLOOKUP(C16,Aux!M:AH,4,0)</f>
        <v>45838.875</v>
      </c>
      <c r="F16" s="181"/>
      <c r="G16" s="181" t="e" vm="22">
        <f ca="1">IFERROR(VLOOKUP(H16,Aux!$A:$X,8,0),"")</f>
        <v>#VALUE!</v>
      </c>
      <c r="H16" s="182" t="str" cm="1">
        <f t="array" aca="1" ref="H16" ca="1">INDIRECT(RIGHT(A16,1)&amp;"!T"&amp;8+LEFT(A16,1)*2)</f>
        <v>River Plate</v>
      </c>
      <c r="I16" s="183" t="e" vm="30">
        <f ca="1">IFERROR(VLOOKUP(H16,Aux!$A:$C,3,0),"")</f>
        <v>#VALUE!</v>
      </c>
      <c r="J16" s="194"/>
      <c r="K16" s="203">
        <v>1</v>
      </c>
      <c r="L16" s="184" t="s">
        <v>40</v>
      </c>
      <c r="M16" s="203">
        <v>1</v>
      </c>
      <c r="N16" s="185"/>
      <c r="O16" s="184" t="e" vm="36">
        <f ca="1">IFERROR(VLOOKUP(P16,Aux!$A:$C,3,0),"")</f>
        <v>#VALUE!</v>
      </c>
      <c r="P16" s="186" t="str" cm="1">
        <f t="array" aca="1" ref="P16" ca="1">INDIRECT(RIGHT(B16,1)&amp;"!T"&amp;8+LEFT(B16,1)*2)</f>
        <v>Fluminense</v>
      </c>
      <c r="Q16" s="181" t="e" vm="9">
        <f ca="1">IFERROR(VLOOKUP(P16,Aux!$A:$X,8,0),"")</f>
        <v>#VALUE!</v>
      </c>
      <c r="R16" s="186"/>
      <c r="S16" s="247" t="str">
        <f>+VLOOKUP(C16,Aux!M:AZ,7,0)</f>
        <v>Bank of America Stadium</v>
      </c>
      <c r="U16" s="206" t="str">
        <f ca="1">IF(OR(K16="",M16=""),"",IF(K16&gt;M16,H16,IF(K16&lt;M16,P16,IF(OR(K17="",M17=""),"",IF(K17=M17,"",IF(K17&gt;M17,H16,P16))))))</f>
        <v>River Plate</v>
      </c>
    </row>
    <row r="17" spans="1:21" ht="15" customHeight="1" x14ac:dyDescent="0.25">
      <c r="A17" s="275"/>
      <c r="B17" s="275"/>
      <c r="C17" s="178"/>
      <c r="D17" s="188"/>
      <c r="E17" s="189"/>
      <c r="F17" s="190"/>
      <c r="G17" s="190"/>
      <c r="H17" s="191" t="s">
        <v>50</v>
      </c>
      <c r="I17" s="191"/>
      <c r="J17" s="185"/>
      <c r="K17" s="192">
        <v>4</v>
      </c>
      <c r="L17" s="192" t="s">
        <v>40</v>
      </c>
      <c r="M17" s="192">
        <v>3</v>
      </c>
      <c r="N17" s="193"/>
      <c r="O17" s="193"/>
      <c r="P17" s="193"/>
      <c r="Q17" s="193"/>
      <c r="R17" s="193"/>
      <c r="S17" s="247"/>
      <c r="U17" s="207"/>
    </row>
    <row r="18" spans="1:21" ht="15" customHeight="1" thickBot="1" x14ac:dyDescent="0.3">
      <c r="A18" s="275"/>
      <c r="B18" s="275"/>
      <c r="C18" s="178"/>
      <c r="D18" s="188"/>
      <c r="E18" s="189"/>
      <c r="F18" s="190"/>
      <c r="G18" s="190"/>
      <c r="H18" s="193"/>
      <c r="I18" s="193"/>
      <c r="J18" s="185"/>
      <c r="K18" s="184"/>
      <c r="L18" s="184"/>
      <c r="M18" s="184"/>
      <c r="N18" s="185"/>
      <c r="O18" s="185"/>
      <c r="P18" s="193"/>
      <c r="Q18" s="193"/>
      <c r="R18" s="193"/>
      <c r="S18" s="247"/>
      <c r="U18" s="207"/>
    </row>
    <row r="19" spans="1:21" ht="22.15" customHeight="1" thickBot="1" x14ac:dyDescent="0.3">
      <c r="A19" s="277" t="s">
        <v>210</v>
      </c>
      <c r="B19" s="277" t="s">
        <v>211</v>
      </c>
      <c r="C19" s="178">
        <f>+C16+1</f>
        <v>54</v>
      </c>
      <c r="D19" s="179">
        <f>VLOOKUP(C19,Aux!M:AH,4,0)</f>
        <v>45839.125</v>
      </c>
      <c r="E19" s="180">
        <f>VLOOKUP(C19,Aux!M:AH,4,0)</f>
        <v>45839.125</v>
      </c>
      <c r="F19" s="181"/>
      <c r="G19" s="181" t="e" vm="25">
        <f ca="1">IFERROR(VLOOKUP(H19,Aux!$A:$X,8,0),"")</f>
        <v>#VALUE!</v>
      </c>
      <c r="H19" s="182" t="str" cm="1">
        <f t="array" aca="1" ref="H19" ca="1">INDIRECT(RIGHT(A19,1)&amp;"!T"&amp;8+LEFT(A19,1)*2)</f>
        <v>Manchester City</v>
      </c>
      <c r="I19" s="183" t="e" vm="42">
        <f ca="1">IFERROR(VLOOKUP(H19,Aux!$A:$C,3,0),"")</f>
        <v>#VALUE!</v>
      </c>
      <c r="J19" s="194"/>
      <c r="K19" s="203">
        <v>2</v>
      </c>
      <c r="L19" s="184" t="s">
        <v>40</v>
      </c>
      <c r="M19" s="203">
        <v>0</v>
      </c>
      <c r="N19" s="185"/>
      <c r="O19" s="184" t="e" vm="49">
        <f ca="1">IFERROR(VLOOKUP(P19,Aux!$A:$C,3,0),"")</f>
        <v>#VALUE!</v>
      </c>
      <c r="P19" s="186" t="str" cm="1">
        <f t="array" aca="1" ref="P19" ca="1">INDIRECT(RIGHT(B19,1)&amp;"!T"&amp;8+LEFT(B19,1)*2)</f>
        <v>Al-Hilal</v>
      </c>
      <c r="Q19" s="181" t="e" vm="50">
        <f ca="1">IFERROR(VLOOKUP(P19,Aux!$A:$X,8,0),"")</f>
        <v>#VALUE!</v>
      </c>
      <c r="R19" s="186"/>
      <c r="S19" s="247" t="str">
        <f>+VLOOKUP(C19,Aux!M:AZ,7,0)</f>
        <v>Camping World Stadium</v>
      </c>
      <c r="U19" s="206" t="str">
        <f ca="1">IF(OR(K19="",M19=""),"",IF(K19&gt;M19,H19,IF(K19&lt;M19,P19,IF(OR(K20="",M20=""),"",IF(K20=M20,"",IF(K20&gt;M20,H19,P19))))))</f>
        <v>Manchester City</v>
      </c>
    </row>
    <row r="20" spans="1:21" ht="15" customHeight="1" x14ac:dyDescent="0.25">
      <c r="A20" s="275"/>
      <c r="B20" s="275"/>
      <c r="C20" s="195"/>
      <c r="D20" s="188"/>
      <c r="E20" s="189"/>
      <c r="F20" s="185"/>
      <c r="G20" s="185"/>
      <c r="H20" s="191" t="s">
        <v>50</v>
      </c>
      <c r="I20" s="191"/>
      <c r="J20" s="185"/>
      <c r="K20" s="192"/>
      <c r="L20" s="192" t="s">
        <v>40</v>
      </c>
      <c r="M20" s="192"/>
      <c r="N20" s="193"/>
      <c r="O20" s="193"/>
      <c r="P20" s="193"/>
      <c r="Q20" s="185"/>
      <c r="R20" s="185"/>
      <c r="S20" s="249"/>
      <c r="U20" s="208"/>
    </row>
    <row r="21" spans="1:21" ht="15" customHeight="1" thickBot="1" x14ac:dyDescent="0.3">
      <c r="A21" s="275"/>
      <c r="B21" s="275"/>
      <c r="C21" s="195"/>
      <c r="D21" s="196"/>
      <c r="E21" s="197"/>
      <c r="F21" s="185"/>
      <c r="G21" s="185"/>
      <c r="H21" s="185"/>
      <c r="I21" s="185"/>
      <c r="J21" s="185"/>
      <c r="K21" s="184"/>
      <c r="L21" s="185"/>
      <c r="M21" s="184"/>
      <c r="N21" s="185"/>
      <c r="O21" s="185"/>
      <c r="P21" s="185"/>
      <c r="Q21" s="185"/>
      <c r="R21" s="185"/>
      <c r="S21" s="249"/>
      <c r="U21" s="208"/>
    </row>
    <row r="22" spans="1:21" ht="22.15" customHeight="1" thickBot="1" x14ac:dyDescent="0.3">
      <c r="A22" s="275" t="s">
        <v>53</v>
      </c>
      <c r="B22" s="276" t="s">
        <v>54</v>
      </c>
      <c r="C22" s="178">
        <v>51</v>
      </c>
      <c r="D22" s="179">
        <f>VLOOKUP(C22,Aux!M:AH,4,0)</f>
        <v>45837.75</v>
      </c>
      <c r="E22" s="180">
        <f>VLOOKUP(C22,Aux!M:AH,4,0)</f>
        <v>45837.75</v>
      </c>
      <c r="F22" s="181"/>
      <c r="G22" s="181" t="e" vm="12">
        <f ca="1">IFERROR(VLOOKUP(H22,Aux!$A:$X,8,0),"")</f>
        <v>#VALUE!</v>
      </c>
      <c r="H22" s="182" t="str" cm="1">
        <f t="array" aca="1" ref="H22" ca="1">INDIRECT(RIGHT(A22,1)&amp;"!T"&amp;8+LEFT(A22,1)*2)</f>
        <v>Paris Saint-Germain</v>
      </c>
      <c r="I22" s="183" t="e" vm="13">
        <f ca="1">IFERROR(VLOOKUP(H22,Aux!$A:$C,3,0),"")</f>
        <v>#VALUE!</v>
      </c>
      <c r="J22" s="184"/>
      <c r="K22" s="203">
        <v>2</v>
      </c>
      <c r="L22" s="184" t="s">
        <v>40</v>
      </c>
      <c r="M22" s="203">
        <v>0</v>
      </c>
      <c r="N22" s="185"/>
      <c r="O22" s="184" t="e" vm="10">
        <f ca="1">IFERROR(VLOOKUP(P22,Aux!$A:$C,3,0),"")</f>
        <v>#VALUE!</v>
      </c>
      <c r="P22" s="186" t="str" cm="1">
        <f t="array" aca="1" ref="P22" ca="1">INDIRECT(RIGHT(B22,1)&amp;"!T"&amp;8+LEFT(B22,1)*2)</f>
        <v>Porto</v>
      </c>
      <c r="Q22" s="181" t="e" vm="11">
        <f ca="1">IFERROR(VLOOKUP(P22,Aux!$A:$X,8,0),"")</f>
        <v>#VALUE!</v>
      </c>
      <c r="R22" s="186"/>
      <c r="S22" s="247" t="str">
        <f>+VLOOKUP(C22,Aux!M:AZ,7,0)</f>
        <v>Mercedes-Benz Stadium</v>
      </c>
      <c r="U22" s="206" t="str">
        <f ca="1">IF(OR(K22="",M22=""),"",IF(K22&gt;M22,H22,IF(K22&lt;M22,P22,IF(OR(K23="",M23=""),"",IF(K23=M23,"",IF(K23&gt;M23,H22,P22))))))</f>
        <v>Paris Saint-Germain</v>
      </c>
    </row>
    <row r="23" spans="1:21" ht="15" customHeight="1" x14ac:dyDescent="0.25">
      <c r="A23" s="275"/>
      <c r="B23" s="275"/>
      <c r="C23" s="178"/>
      <c r="D23" s="188"/>
      <c r="E23" s="189"/>
      <c r="F23" s="190"/>
      <c r="G23" s="190"/>
      <c r="H23" s="191" t="s">
        <v>50</v>
      </c>
      <c r="I23" s="191"/>
      <c r="J23" s="185"/>
      <c r="K23" s="192"/>
      <c r="L23" s="192" t="s">
        <v>40</v>
      </c>
      <c r="M23" s="192"/>
      <c r="N23" s="193"/>
      <c r="O23" s="193"/>
      <c r="P23" s="193"/>
      <c r="Q23" s="193"/>
      <c r="R23" s="193"/>
      <c r="S23" s="247"/>
      <c r="U23" s="207"/>
    </row>
    <row r="24" spans="1:21" ht="15" customHeight="1" thickBot="1" x14ac:dyDescent="0.3">
      <c r="A24" s="275"/>
      <c r="B24" s="275"/>
      <c r="C24" s="178"/>
      <c r="D24" s="188"/>
      <c r="E24" s="189"/>
      <c r="F24" s="190"/>
      <c r="G24" s="190"/>
      <c r="H24" s="193"/>
      <c r="I24" s="193"/>
      <c r="J24" s="185"/>
      <c r="K24" s="184"/>
      <c r="L24" s="184"/>
      <c r="M24" s="184"/>
      <c r="N24" s="185"/>
      <c r="O24" s="185"/>
      <c r="P24" s="193"/>
      <c r="Q24" s="193"/>
      <c r="R24" s="193"/>
      <c r="S24" s="247"/>
      <c r="U24" s="207"/>
    </row>
    <row r="25" spans="1:21" ht="22.15" customHeight="1" thickBot="1" x14ac:dyDescent="0.3">
      <c r="A25" s="277" t="s">
        <v>55</v>
      </c>
      <c r="B25" s="277" t="s">
        <v>13</v>
      </c>
      <c r="C25" s="178">
        <f>C22+1</f>
        <v>52</v>
      </c>
      <c r="D25" s="179">
        <f>VLOOKUP(C25,Aux!M:AH,4,0)</f>
        <v>45837.916666666664</v>
      </c>
      <c r="E25" s="180">
        <f>VLOOKUP(C25,Aux!M:AH,4,0)</f>
        <v>45837.916666666664</v>
      </c>
      <c r="F25" s="181"/>
      <c r="G25" s="181" t="e" vm="25">
        <f ca="1">IFERROR(VLOOKUP(H25,Aux!$A:$X,8,0),"")</f>
        <v>#VALUE!</v>
      </c>
      <c r="H25" s="182" t="str" cm="1">
        <f t="array" aca="1" ref="H25" ca="1">INDIRECT(RIGHT(A25,1)&amp;"!T"&amp;8+LEFT(A25,1)*2)</f>
        <v>Chelsea</v>
      </c>
      <c r="I25" s="183" t="e" vm="26">
        <f ca="1">IFERROR(VLOOKUP(H25,Aux!$A:$C,3,0),"")</f>
        <v>#VALUE!</v>
      </c>
      <c r="J25" s="194"/>
      <c r="K25" s="203">
        <v>2</v>
      </c>
      <c r="L25" s="184" t="s">
        <v>40</v>
      </c>
      <c r="M25" s="203">
        <v>0</v>
      </c>
      <c r="N25" s="185"/>
      <c r="O25" s="184" t="e" vm="23">
        <f ca="1">IFERROR(VLOOKUP(P25,Aux!$A:$C,3,0),"")</f>
        <v>#VALUE!</v>
      </c>
      <c r="P25" s="186" t="str" cm="1">
        <f t="array" aca="1" ref="P25" ca="1">INDIRECT(RIGHT(B25,1)&amp;"!T"&amp;8+LEFT(B25,1)*2)</f>
        <v>Boca Juniors</v>
      </c>
      <c r="Q25" s="181" t="e" vm="22">
        <f ca="1">IFERROR(VLOOKUP(P25,Aux!$A:$X,8,0),"")</f>
        <v>#VALUE!</v>
      </c>
      <c r="R25" s="186"/>
      <c r="S25" s="247" t="str">
        <f>+VLOOKUP(C25,Aux!M:AZ,7,0)</f>
        <v>Hard Rock Stadium</v>
      </c>
      <c r="U25" s="206" t="str">
        <f ca="1">IF(OR(K25="",M25=""),"",IF(K25&gt;M25,H25,IF(K25&lt;M25,P25,IF(OR(K26="",M26=""),"",IF(K26=M26,"",IF(K26&gt;M26,H25,P25))))))</f>
        <v>Chelsea</v>
      </c>
    </row>
    <row r="26" spans="1:21" ht="15" customHeight="1" x14ac:dyDescent="0.25">
      <c r="A26" s="275"/>
      <c r="B26" s="275"/>
      <c r="C26" s="178"/>
      <c r="D26" s="188"/>
      <c r="E26" s="189"/>
      <c r="F26" s="190"/>
      <c r="G26" s="190"/>
      <c r="H26" s="191" t="s">
        <v>50</v>
      </c>
      <c r="I26" s="191"/>
      <c r="J26" s="185"/>
      <c r="K26" s="192"/>
      <c r="L26" s="192" t="s">
        <v>40</v>
      </c>
      <c r="M26" s="192"/>
      <c r="N26" s="193"/>
      <c r="O26" s="193"/>
      <c r="P26" s="193"/>
      <c r="Q26" s="193"/>
      <c r="R26" s="193"/>
      <c r="S26" s="247"/>
      <c r="U26" s="207"/>
    </row>
    <row r="27" spans="1:21" ht="15" customHeight="1" thickBot="1" x14ac:dyDescent="0.3">
      <c r="A27" s="275"/>
      <c r="B27" s="275"/>
      <c r="C27" s="178"/>
      <c r="D27" s="188"/>
      <c r="E27" s="189"/>
      <c r="F27" s="190"/>
      <c r="G27" s="190"/>
      <c r="H27" s="193"/>
      <c r="I27" s="193"/>
      <c r="J27" s="185"/>
      <c r="K27" s="184"/>
      <c r="L27" s="184"/>
      <c r="M27" s="184"/>
      <c r="N27" s="185"/>
      <c r="O27" s="185"/>
      <c r="P27" s="193"/>
      <c r="Q27" s="193"/>
      <c r="R27" s="193"/>
      <c r="S27" s="247"/>
      <c r="U27" s="207"/>
    </row>
    <row r="28" spans="1:21" ht="22.15" customHeight="1" thickBot="1" x14ac:dyDescent="0.3">
      <c r="A28" s="277" t="s">
        <v>214</v>
      </c>
      <c r="B28" s="277" t="s">
        <v>215</v>
      </c>
      <c r="C28" s="178">
        <v>55</v>
      </c>
      <c r="D28" s="179">
        <f>VLOOKUP(C28,Aux!M:AH,4,0)</f>
        <v>45839.875</v>
      </c>
      <c r="E28" s="180">
        <f>VLOOKUP(C28,Aux!M:AH,4,0)</f>
        <v>45839.875</v>
      </c>
      <c r="F28" s="181"/>
      <c r="G28" s="181" t="e" vm="18">
        <f ca="1">IFERROR(VLOOKUP(H28,Aux!$A:$X,8,0),"")</f>
        <v>#VALUE!</v>
      </c>
      <c r="H28" s="182" t="str" cm="1">
        <f t="array" aca="1" ref="H28" ca="1">INDIRECT(RIGHT(A28,1)&amp;"!T"&amp;8+LEFT(A28,1)*2)</f>
        <v>Borussia Dortmund</v>
      </c>
      <c r="I28" s="183" t="e" vm="37">
        <f ca="1">IFERROR(VLOOKUP(H28,Aux!$A:$C,3,0),"")</f>
        <v>#VALUE!</v>
      </c>
      <c r="J28" s="194"/>
      <c r="K28" s="203">
        <v>1</v>
      </c>
      <c r="L28" s="184" t="s">
        <v>40</v>
      </c>
      <c r="M28" s="203">
        <v>2</v>
      </c>
      <c r="N28" s="185"/>
      <c r="O28" s="184" t="e" vm="34">
        <f ca="1">IFERROR(VLOOKUP(P28,Aux!$A:$C,3,0),"")</f>
        <v>#VALUE!</v>
      </c>
      <c r="P28" s="186" t="str" cm="1">
        <f t="array" aca="1" ref="P28" ca="1">INDIRECT(RIGHT(B28,1)&amp;"!T"&amp;8+LEFT(B28,1)*2)</f>
        <v>Inter de Milán</v>
      </c>
      <c r="Q28" s="181" t="e" vm="35">
        <f ca="1">IFERROR(VLOOKUP(P28,Aux!$A:$X,8,0),"")</f>
        <v>#VALUE!</v>
      </c>
      <c r="R28" s="186"/>
      <c r="S28" s="247" t="str">
        <f>+VLOOKUP(C28,Aux!M:AZ,7,0)</f>
        <v>Hard Rock Stadium</v>
      </c>
      <c r="U28" s="206" t="str">
        <f ca="1">IF(OR(K28="",M28=""),"",IF(K28&gt;M28,H28,IF(K28&lt;M28,P28,IF(OR(K29="",M29=""),"",IF(K29=M29,"",IF(K29&gt;M29,H28,P28))))))</f>
        <v>Inter de Milán</v>
      </c>
    </row>
    <row r="29" spans="1:21" ht="15" customHeight="1" x14ac:dyDescent="0.25">
      <c r="A29" s="275"/>
      <c r="B29" s="275"/>
      <c r="C29" s="178"/>
      <c r="D29" s="188"/>
      <c r="E29" s="189"/>
      <c r="F29" s="190"/>
      <c r="G29" s="190"/>
      <c r="H29" s="191" t="s">
        <v>50</v>
      </c>
      <c r="I29" s="191"/>
      <c r="J29" s="185"/>
      <c r="K29" s="192"/>
      <c r="L29" s="192" t="s">
        <v>40</v>
      </c>
      <c r="M29" s="192"/>
      <c r="N29" s="193"/>
      <c r="O29" s="193"/>
      <c r="P29" s="193"/>
      <c r="Q29" s="193"/>
      <c r="R29" s="193"/>
      <c r="S29" s="247"/>
      <c r="U29" s="207"/>
    </row>
    <row r="30" spans="1:21" ht="15" customHeight="1" thickBot="1" x14ac:dyDescent="0.3">
      <c r="A30" s="275"/>
      <c r="B30" s="275"/>
      <c r="C30" s="178"/>
      <c r="D30" s="188"/>
      <c r="E30" s="189"/>
      <c r="F30" s="190"/>
      <c r="G30" s="190"/>
      <c r="H30" s="193"/>
      <c r="I30" s="193"/>
      <c r="J30" s="185"/>
      <c r="K30" s="184"/>
      <c r="L30" s="184"/>
      <c r="M30" s="184"/>
      <c r="N30" s="185"/>
      <c r="O30" s="185"/>
      <c r="P30" s="193"/>
      <c r="Q30" s="193"/>
      <c r="R30" s="193"/>
      <c r="S30" s="247"/>
      <c r="U30" s="207"/>
    </row>
    <row r="31" spans="1:21" ht="22.15" customHeight="1" thickBot="1" x14ac:dyDescent="0.3">
      <c r="A31" s="277" t="s">
        <v>212</v>
      </c>
      <c r="B31" s="277" t="s">
        <v>213</v>
      </c>
      <c r="C31" s="178">
        <f>+C28+1</f>
        <v>56</v>
      </c>
      <c r="D31" s="179">
        <f>VLOOKUP(C31,Aux!M:AH,4,0)</f>
        <v>45840.125</v>
      </c>
      <c r="E31" s="180">
        <f>VLOOKUP(C31,Aux!M:AH,4,0)</f>
        <v>45840.125</v>
      </c>
      <c r="F31" s="181"/>
      <c r="G31" s="181" t="e" vm="15">
        <f ca="1">IFERROR(VLOOKUP(H31,Aux!$A:$X,8,0),"")</f>
        <v>#VALUE!</v>
      </c>
      <c r="H31" s="182" t="str" cm="1">
        <f t="array" aca="1" ref="H31" ca="1">INDIRECT(RIGHT(A31,1)&amp;"!T"&amp;8+LEFT(A31,1)*2)</f>
        <v>Real Madrid</v>
      </c>
      <c r="I31" s="183" t="e" vm="48">
        <f ca="1">IFERROR(VLOOKUP(H31,Aux!$A:$C,3,0),"")</f>
        <v>#VALUE!</v>
      </c>
      <c r="J31" s="194"/>
      <c r="K31" s="203">
        <v>2</v>
      </c>
      <c r="L31" s="184" t="s">
        <v>40</v>
      </c>
      <c r="M31" s="203">
        <v>0</v>
      </c>
      <c r="N31" s="185"/>
      <c r="O31" s="184" t="e" vm="47">
        <f ca="1">IFERROR(VLOOKUP(P31,Aux!$A:$C,3,0),"")</f>
        <v>#VALUE!</v>
      </c>
      <c r="P31" s="186" t="str" cm="1">
        <f t="array" aca="1" ref="P31" ca="1">INDIRECT(RIGHT(B31,1)&amp;"!T"&amp;8+LEFT(B31,1)*2)</f>
        <v>Juventus</v>
      </c>
      <c r="Q31" s="181" t="e" vm="35">
        <f ca="1">IFERROR(VLOOKUP(P31,Aux!$A:$X,8,0),"")</f>
        <v>#VALUE!</v>
      </c>
      <c r="R31" s="186"/>
      <c r="S31" s="247" t="str">
        <f>+VLOOKUP(C31,Aux!M:AZ,7,0)</f>
        <v>Mercedes-Benz Stadium</v>
      </c>
      <c r="U31" s="206" t="str">
        <f ca="1">IF(OR(K31="",M31=""),"",IF(K31&gt;M31,H31,IF(K31&lt;M31,P31,IF(OR(K32="",M32=""),"",IF(K32=M32,"",IF(K32&gt;M32,H31,P31))))))</f>
        <v>Real Madrid</v>
      </c>
    </row>
    <row r="32" spans="1:21" ht="15" customHeight="1" x14ac:dyDescent="0.25">
      <c r="A32" s="277"/>
      <c r="B32" s="277"/>
      <c r="C32" s="178"/>
      <c r="D32" s="179"/>
      <c r="E32" s="180"/>
      <c r="F32" s="181"/>
      <c r="G32" s="181"/>
      <c r="H32" s="191" t="s">
        <v>50</v>
      </c>
      <c r="I32" s="191"/>
      <c r="J32" s="185"/>
      <c r="K32" s="192"/>
      <c r="L32" s="192" t="s">
        <v>40</v>
      </c>
      <c r="M32" s="192"/>
      <c r="N32" s="193"/>
      <c r="O32" s="193"/>
      <c r="P32" s="193"/>
      <c r="Q32" s="181"/>
      <c r="R32" s="186"/>
      <c r="S32" s="187"/>
      <c r="U32" s="167"/>
    </row>
    <row r="33" spans="1:21" ht="15" customHeight="1" x14ac:dyDescent="0.25">
      <c r="A33" s="275"/>
      <c r="B33" s="275"/>
      <c r="C33" s="198"/>
      <c r="D33" s="199"/>
      <c r="E33" s="200"/>
      <c r="F33" s="201"/>
      <c r="G33" s="201"/>
      <c r="H33" s="201"/>
      <c r="I33" s="201"/>
      <c r="J33" s="201"/>
      <c r="K33" s="202"/>
      <c r="L33" s="202"/>
      <c r="M33" s="202"/>
      <c r="N33" s="201"/>
      <c r="O33" s="201"/>
      <c r="P33" s="201"/>
      <c r="Q33" s="201"/>
      <c r="R33" s="201"/>
      <c r="S33" s="198"/>
    </row>
    <row r="35" spans="1:21" ht="15" customHeight="1" thickBot="1" x14ac:dyDescent="0.3">
      <c r="U35" s="146"/>
    </row>
    <row r="36" spans="1:21" ht="15" customHeight="1" x14ac:dyDescent="0.25">
      <c r="U36" s="294" t="s">
        <v>134</v>
      </c>
    </row>
    <row r="37" spans="1:21" ht="15" customHeight="1" thickBot="1" x14ac:dyDescent="0.3">
      <c r="U37" s="311"/>
    </row>
    <row r="38" spans="1:21" ht="15" customHeight="1" x14ac:dyDescent="0.25">
      <c r="U38" s="296" t="s">
        <v>135</v>
      </c>
    </row>
    <row r="39" spans="1:21" ht="15" customHeight="1" thickBot="1" x14ac:dyDescent="0.3">
      <c r="U39" s="312"/>
    </row>
    <row r="40" spans="1:21" ht="15" customHeight="1" x14ac:dyDescent="0.25">
      <c r="U40" s="28"/>
    </row>
  </sheetData>
  <mergeCells count="5">
    <mergeCell ref="H8:P8"/>
    <mergeCell ref="U36:U37"/>
    <mergeCell ref="U38:U39"/>
    <mergeCell ref="X4:X5"/>
    <mergeCell ref="X6:X7"/>
  </mergeCells>
  <conditionalFormatting sqref="H11:I11">
    <cfRule type="expression" dxfId="207" priority="134">
      <formula>IF(OR($K10="",$K10&lt;&gt;$M10),1,0)</formula>
    </cfRule>
  </conditionalFormatting>
  <conditionalFormatting sqref="H14:I14">
    <cfRule type="expression" dxfId="206" priority="130">
      <formula>IF(OR($K13="",$K13&lt;&gt;$M13),1,0)</formula>
    </cfRule>
  </conditionalFormatting>
  <conditionalFormatting sqref="H17:I17">
    <cfRule type="expression" dxfId="205" priority="126">
      <formula>IF(OR($K16="",$K16&lt;&gt;$M16),1,0)</formula>
    </cfRule>
  </conditionalFormatting>
  <conditionalFormatting sqref="H20:I20">
    <cfRule type="expression" dxfId="204" priority="96">
      <formula>IF(OR($K19="",$K19&lt;&gt;$M19),1,0)</formula>
    </cfRule>
  </conditionalFormatting>
  <conditionalFormatting sqref="H23:I23">
    <cfRule type="expression" dxfId="203" priority="112">
      <formula>IF(OR($K22="",$K22&lt;&gt;$M22),1,0)</formula>
    </cfRule>
  </conditionalFormatting>
  <conditionalFormatting sqref="H26:I26">
    <cfRule type="expression" dxfId="202" priority="108">
      <formula>IF(OR($K25="",$K25&lt;&gt;$M25),1,0)</formula>
    </cfRule>
  </conditionalFormatting>
  <conditionalFormatting sqref="H29:I29">
    <cfRule type="expression" dxfId="201" priority="104">
      <formula>IF(OR($K28="",$K28&lt;&gt;$M28),1,0)</formula>
    </cfRule>
  </conditionalFormatting>
  <conditionalFormatting sqref="H32:I32">
    <cfRule type="expression" dxfId="200" priority="92">
      <formula>IF(OR($K31="",$K31&lt;&gt;$M31),1,0)</formula>
    </cfRule>
  </conditionalFormatting>
  <conditionalFormatting sqref="K10">
    <cfRule type="expression" dxfId="199" priority="84">
      <formula>#REF!="G"</formula>
    </cfRule>
    <cfRule type="expression" dxfId="198" priority="83">
      <formula>#REF!="E"</formula>
    </cfRule>
    <cfRule type="expression" dxfId="197" priority="82">
      <formula>#REF!="P"</formula>
    </cfRule>
  </conditionalFormatting>
  <conditionalFormatting sqref="K11">
    <cfRule type="expression" dxfId="196" priority="137">
      <formula>IF(AND($K10&lt;&gt;"",$K10=$M10),1,0)</formula>
    </cfRule>
  </conditionalFormatting>
  <conditionalFormatting sqref="K13">
    <cfRule type="expression" dxfId="195" priority="78">
      <formula>#REF!="G"</formula>
    </cfRule>
    <cfRule type="expression" dxfId="194" priority="77">
      <formula>#REF!="E"</formula>
    </cfRule>
    <cfRule type="expression" dxfId="193" priority="76">
      <formula>#REF!="P"</formula>
    </cfRule>
  </conditionalFormatting>
  <conditionalFormatting sqref="K14">
    <cfRule type="expression" dxfId="192" priority="36">
      <formula>IF(AND($K13&lt;&gt;"",$K13=$M13),1,0)</formula>
    </cfRule>
  </conditionalFormatting>
  <conditionalFormatting sqref="K16">
    <cfRule type="expression" dxfId="191" priority="72">
      <formula>#REF!="G"</formula>
    </cfRule>
    <cfRule type="expression" dxfId="190" priority="71">
      <formula>#REF!="E"</formula>
    </cfRule>
    <cfRule type="expression" dxfId="189" priority="70">
      <formula>#REF!="P"</formula>
    </cfRule>
  </conditionalFormatting>
  <conditionalFormatting sqref="K17">
    <cfRule type="expression" dxfId="188" priority="33">
      <formula>IF(AND($K16&lt;&gt;"",$K16=$M16),1,0)</formula>
    </cfRule>
  </conditionalFormatting>
  <conditionalFormatting sqref="K19">
    <cfRule type="expression" dxfId="187" priority="64">
      <formula>#REF!="P"</formula>
    </cfRule>
    <cfRule type="expression" dxfId="186" priority="66">
      <formula>#REF!="G"</formula>
    </cfRule>
    <cfRule type="expression" dxfId="185" priority="65">
      <formula>#REF!="E"</formula>
    </cfRule>
  </conditionalFormatting>
  <conditionalFormatting sqref="K20">
    <cfRule type="expression" dxfId="184" priority="30">
      <formula>IF(AND($K19&lt;&gt;"",$K19=$M19),1,0)</formula>
    </cfRule>
  </conditionalFormatting>
  <conditionalFormatting sqref="K22">
    <cfRule type="expression" dxfId="183" priority="60">
      <formula>#REF!="G"</formula>
    </cfRule>
    <cfRule type="expression" dxfId="182" priority="59">
      <formula>#REF!="E"</formula>
    </cfRule>
    <cfRule type="expression" dxfId="181" priority="58">
      <formula>#REF!="P"</formula>
    </cfRule>
  </conditionalFormatting>
  <conditionalFormatting sqref="K23">
    <cfRule type="expression" dxfId="180" priority="27">
      <formula>IF(AND($K22&lt;&gt;"",$K22=$M22),1,0)</formula>
    </cfRule>
  </conditionalFormatting>
  <conditionalFormatting sqref="K25">
    <cfRule type="expression" dxfId="179" priority="53">
      <formula>#REF!="E"</formula>
    </cfRule>
    <cfRule type="expression" dxfId="178" priority="54">
      <formula>#REF!="G"</formula>
    </cfRule>
    <cfRule type="expression" dxfId="177" priority="52">
      <formula>#REF!="P"</formula>
    </cfRule>
  </conditionalFormatting>
  <conditionalFormatting sqref="K26">
    <cfRule type="expression" dxfId="176" priority="24">
      <formula>IF(AND($K25&lt;&gt;"",$K25=$M25),1,0)</formula>
    </cfRule>
  </conditionalFormatting>
  <conditionalFormatting sqref="K28">
    <cfRule type="expression" dxfId="175" priority="46">
      <formula>#REF!="P"</formula>
    </cfRule>
    <cfRule type="expression" dxfId="174" priority="48">
      <formula>#REF!="G"</formula>
    </cfRule>
    <cfRule type="expression" dxfId="173" priority="47">
      <formula>#REF!="E"</formula>
    </cfRule>
  </conditionalFormatting>
  <conditionalFormatting sqref="K29">
    <cfRule type="expression" dxfId="172" priority="21">
      <formula>IF(AND($K28&lt;&gt;"",$K28=$M28),1,0)</formula>
    </cfRule>
  </conditionalFormatting>
  <conditionalFormatting sqref="K31">
    <cfRule type="expression" dxfId="171" priority="42">
      <formula>#REF!="G"</formula>
    </cfRule>
    <cfRule type="expression" dxfId="170" priority="40">
      <formula>#REF!="P"</formula>
    </cfRule>
    <cfRule type="expression" dxfId="169" priority="41">
      <formula>#REF!="E"</formula>
    </cfRule>
  </conditionalFormatting>
  <conditionalFormatting sqref="K32">
    <cfRule type="expression" dxfId="168" priority="18">
      <formula>IF(AND($K31&lt;&gt;"",$K31=$M31),1,0)</formula>
    </cfRule>
  </conditionalFormatting>
  <conditionalFormatting sqref="K11:M11">
    <cfRule type="expression" dxfId="167" priority="135">
      <formula>IF(OR($K10="",$K10&lt;&gt;$M10),1,0)</formula>
    </cfRule>
  </conditionalFormatting>
  <conditionalFormatting sqref="K14:M14">
    <cfRule type="expression" dxfId="166" priority="34">
      <formula>IF(OR($K13="",$K13&lt;&gt;$M13),1,0)</formula>
    </cfRule>
  </conditionalFormatting>
  <conditionalFormatting sqref="K17:M17">
    <cfRule type="expression" dxfId="165" priority="31">
      <formula>IF(OR($K16="",$K16&lt;&gt;$M16),1,0)</formula>
    </cfRule>
  </conditionalFormatting>
  <conditionalFormatting sqref="K20:M20">
    <cfRule type="expression" dxfId="164" priority="28">
      <formula>IF(OR($K19="",$K19&lt;&gt;$M19),1,0)</formula>
    </cfRule>
  </conditionalFormatting>
  <conditionalFormatting sqref="K23:M23">
    <cfRule type="expression" dxfId="163" priority="25">
      <formula>IF(OR($K22="",$K22&lt;&gt;$M22),1,0)</formula>
    </cfRule>
  </conditionalFormatting>
  <conditionalFormatting sqref="K26:M26">
    <cfRule type="expression" dxfId="162" priority="22">
      <formula>IF(OR($K25="",$K25&lt;&gt;$M25),1,0)</formula>
    </cfRule>
  </conditionalFormatting>
  <conditionalFormatting sqref="K29:M29">
    <cfRule type="expression" dxfId="161" priority="19">
      <formula>IF(OR($K28="",$K28&lt;&gt;$M28),1,0)</formula>
    </cfRule>
  </conditionalFormatting>
  <conditionalFormatting sqref="K32:M32">
    <cfRule type="expression" dxfId="160" priority="16">
      <formula>IF(OR($K31="",$K31&lt;&gt;$M31),1,0)</formula>
    </cfRule>
  </conditionalFormatting>
  <conditionalFormatting sqref="M10">
    <cfRule type="expression" dxfId="159" priority="81">
      <formula>#REF!="G"</formula>
    </cfRule>
    <cfRule type="expression" dxfId="158" priority="80">
      <formula>#REF!="E"</formula>
    </cfRule>
    <cfRule type="expression" dxfId="157" priority="79">
      <formula>#REF!="P"</formula>
    </cfRule>
  </conditionalFormatting>
  <conditionalFormatting sqref="M11">
    <cfRule type="expression" dxfId="156" priority="136">
      <formula>IF(AND($K10&lt;&gt;"",$K10=$M10),1,0)</formula>
    </cfRule>
  </conditionalFormatting>
  <conditionalFormatting sqref="M13">
    <cfRule type="expression" dxfId="155" priority="74">
      <formula>#REF!="E"</formula>
    </cfRule>
    <cfRule type="expression" dxfId="154" priority="75">
      <formula>#REF!="G"</formula>
    </cfRule>
    <cfRule type="expression" dxfId="153" priority="73">
      <formula>#REF!="P"</formula>
    </cfRule>
  </conditionalFormatting>
  <conditionalFormatting sqref="M14">
    <cfRule type="expression" dxfId="152" priority="35">
      <formula>IF(AND($K13&lt;&gt;"",$K13=$M13),1,0)</formula>
    </cfRule>
  </conditionalFormatting>
  <conditionalFormatting sqref="M16">
    <cfRule type="expression" dxfId="151" priority="69">
      <formula>#REF!="G"</formula>
    </cfRule>
    <cfRule type="expression" dxfId="150" priority="67">
      <formula>#REF!="P"</formula>
    </cfRule>
    <cfRule type="expression" dxfId="149" priority="68">
      <formula>#REF!="E"</formula>
    </cfRule>
  </conditionalFormatting>
  <conditionalFormatting sqref="M17">
    <cfRule type="expression" dxfId="148" priority="32">
      <formula>IF(AND($K16&lt;&gt;"",$K16=$M16),1,0)</formula>
    </cfRule>
  </conditionalFormatting>
  <conditionalFormatting sqref="M19">
    <cfRule type="expression" dxfId="147" priority="63">
      <formula>#REF!="G"</formula>
    </cfRule>
    <cfRule type="expression" dxfId="146" priority="62">
      <formula>#REF!="E"</formula>
    </cfRule>
    <cfRule type="expression" dxfId="145" priority="61">
      <formula>#REF!="P"</formula>
    </cfRule>
  </conditionalFormatting>
  <conditionalFormatting sqref="M20">
    <cfRule type="expression" dxfId="144" priority="29">
      <formula>IF(AND($K19&lt;&gt;"",$K19=$M19),1,0)</formula>
    </cfRule>
  </conditionalFormatting>
  <conditionalFormatting sqref="M22">
    <cfRule type="expression" dxfId="143" priority="57">
      <formula>#REF!="G"</formula>
    </cfRule>
    <cfRule type="expression" dxfId="142" priority="56">
      <formula>#REF!="E"</formula>
    </cfRule>
    <cfRule type="expression" dxfId="141" priority="55">
      <formula>#REF!="P"</formula>
    </cfRule>
  </conditionalFormatting>
  <conditionalFormatting sqref="M23">
    <cfRule type="expression" dxfId="140" priority="26">
      <formula>IF(AND($K22&lt;&gt;"",$K22=$M22),1,0)</formula>
    </cfRule>
  </conditionalFormatting>
  <conditionalFormatting sqref="M25">
    <cfRule type="expression" dxfId="139" priority="49">
      <formula>#REF!="P"</formula>
    </cfRule>
    <cfRule type="expression" dxfId="138" priority="50">
      <formula>#REF!="E"</formula>
    </cfRule>
    <cfRule type="expression" dxfId="137" priority="51">
      <formula>#REF!="G"</formula>
    </cfRule>
  </conditionalFormatting>
  <conditionalFormatting sqref="M26">
    <cfRule type="expression" dxfId="136" priority="23">
      <formula>IF(AND($K25&lt;&gt;"",$K25=$M25),1,0)</formula>
    </cfRule>
  </conditionalFormatting>
  <conditionalFormatting sqref="M28">
    <cfRule type="expression" dxfId="135" priority="45">
      <formula>#REF!="G"</formula>
    </cfRule>
    <cfRule type="expression" dxfId="134" priority="44">
      <formula>#REF!="E"</formula>
    </cfRule>
    <cfRule type="expression" dxfId="133" priority="43">
      <formula>#REF!="P"</formula>
    </cfRule>
  </conditionalFormatting>
  <conditionalFormatting sqref="M29">
    <cfRule type="expression" dxfId="132" priority="20">
      <formula>IF(AND($K28&lt;&gt;"",$K28=$M28),1,0)</formula>
    </cfRule>
  </conditionalFormatting>
  <conditionalFormatting sqref="M31">
    <cfRule type="expression" dxfId="131" priority="39">
      <formula>#REF!="G"</formula>
    </cfRule>
    <cfRule type="expression" dxfId="130" priority="38">
      <formula>#REF!="E"</formula>
    </cfRule>
    <cfRule type="expression" dxfId="129" priority="37">
      <formula>#REF!="P"</formula>
    </cfRule>
  </conditionalFormatting>
  <conditionalFormatting sqref="M32">
    <cfRule type="expression" dxfId="128" priority="17">
      <formula>IF(AND($K31&lt;&gt;"",$K31=$M31),1,0)</formula>
    </cfRule>
  </conditionalFormatting>
  <conditionalFormatting sqref="U10">
    <cfRule type="cellIs" dxfId="127" priority="121" operator="equal">
      <formula>"Suma los penales"</formula>
    </cfRule>
  </conditionalFormatting>
  <conditionalFormatting sqref="U13">
    <cfRule type="cellIs" dxfId="126" priority="15" operator="equal">
      <formula>"Suma los penales"</formula>
    </cfRule>
  </conditionalFormatting>
  <conditionalFormatting sqref="U16">
    <cfRule type="cellIs" dxfId="125" priority="14" operator="equal">
      <formula>"Suma los penales"</formula>
    </cfRule>
  </conditionalFormatting>
  <conditionalFormatting sqref="U19">
    <cfRule type="cellIs" dxfId="124" priority="13" operator="equal">
      <formula>"Suma los penales"</formula>
    </cfRule>
  </conditionalFormatting>
  <conditionalFormatting sqref="U22">
    <cfRule type="cellIs" dxfId="123" priority="12" operator="equal">
      <formula>"Suma los penales"</formula>
    </cfRule>
  </conditionalFormatting>
  <conditionalFormatting sqref="U25">
    <cfRule type="cellIs" dxfId="122" priority="11" operator="equal">
      <formula>"Suma los penales"</formula>
    </cfRule>
  </conditionalFormatting>
  <conditionalFormatting sqref="U28">
    <cfRule type="cellIs" dxfId="121" priority="10" operator="equal">
      <formula>"Suma los penales"</formula>
    </cfRule>
  </conditionalFormatting>
  <conditionalFormatting sqref="U31:U32">
    <cfRule type="cellIs" dxfId="120" priority="9" operator="equal">
      <formula>"Suma los penales"</formula>
    </cfRule>
  </conditionalFormatting>
  <conditionalFormatting sqref="U35:U40">
    <cfRule type="expression" dxfId="119" priority="117">
      <formula>AND($M35&lt;&gt;"",$M36="")</formula>
    </cfRule>
    <cfRule type="expression" dxfId="118" priority="116">
      <formula>$M35&lt;&gt;""</formula>
    </cfRule>
  </conditionalFormatting>
  <conditionalFormatting sqref="X4:X7">
    <cfRule type="expression" dxfId="117" priority="1">
      <formula>$L7&lt;&gt;""</formula>
    </cfRule>
    <cfRule type="expression" dxfId="116" priority="2">
      <formula>AND($L7&lt;&gt;"",$L8="")</formula>
    </cfRule>
  </conditionalFormatting>
  <hyperlinks>
    <hyperlink ref="U36" r:id="rId1" display="Aprendiz de Excel" xr:uid="{FD8777D4-17C9-406F-A4C9-542253BCDE6F}"/>
    <hyperlink ref="U38" r:id="rId2" display="Aprendiz de Excel" xr:uid="{1AD665CF-691D-408A-9040-EDED17311D97}"/>
    <hyperlink ref="U38:U39" r:id="rId3" display="Vídeo YouTube" xr:uid="{01932661-C44C-410B-9DB0-43CF65DDF958}"/>
    <hyperlink ref="X6:X7" r:id="rId4" display="Vídeo YouTube" xr:uid="{F2B7BEB2-C374-4703-B69E-EA95C65D5484}"/>
    <hyperlink ref="X6" r:id="rId5" display="Aprendiz de Excel" xr:uid="{11815BCF-493B-4CC1-97AE-6C0158CA8AB5}"/>
    <hyperlink ref="X4" r:id="rId6" display="Aprendiz de Excel" xr:uid="{EA4AD18C-F7C4-4521-8D05-29F9C687327A}"/>
  </hyperlinks>
  <pageMargins left="0.7" right="0.7" top="0.75" bottom="0.75" header="0.3" footer="0.3"/>
  <pageSetup paperSize="9" orientation="portrait" r:id="rId7"/>
  <drawing r:id="rId8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3640A-D7F3-4A51-BA3C-075BFD9FC3B1}">
  <dimension ref="A1:X21"/>
  <sheetViews>
    <sheetView showGridLines="0" zoomScaleNormal="100" workbookViewId="0">
      <selection activeCell="P21" sqref="P21"/>
    </sheetView>
  </sheetViews>
  <sheetFormatPr baseColWidth="10" defaultColWidth="14.42578125" defaultRowHeight="15" customHeight="1" x14ac:dyDescent="0.25"/>
  <cols>
    <col min="1" max="2" width="4.28515625" style="48" customWidth="1"/>
    <col min="3" max="3" width="3.7109375" customWidth="1"/>
    <col min="4" max="4" width="7.7109375" customWidth="1"/>
    <col min="5" max="5" width="6.7109375" customWidth="1"/>
    <col min="6" max="6" width="2.7109375" customWidth="1"/>
    <col min="7" max="7" width="3.7109375" customWidth="1"/>
    <col min="8" max="8" width="19.7109375" customWidth="1"/>
    <col min="9" max="9" width="5.7109375" customWidth="1"/>
    <col min="10" max="10" width="1.7109375" customWidth="1"/>
    <col min="11" max="11" width="6.7109375" customWidth="1"/>
    <col min="12" max="12" width="2.7109375" customWidth="1"/>
    <col min="13" max="13" width="6.7109375" customWidth="1"/>
    <col min="14" max="14" width="1.7109375" customWidth="1"/>
    <col min="15" max="15" width="5.7109375" customWidth="1"/>
    <col min="16" max="16" width="19.7109375" customWidth="1"/>
    <col min="17" max="17" width="3.7109375" customWidth="1"/>
    <col min="18" max="18" width="2.7109375" customWidth="1"/>
    <col min="19" max="19" width="20.7109375" customWidth="1"/>
    <col min="20" max="20" width="0.85546875" customWidth="1"/>
    <col min="21" max="21" width="19.5703125" customWidth="1"/>
    <col min="22" max="29" width="12.7109375" customWidth="1"/>
  </cols>
  <sheetData>
    <row r="1" spans="1:24" s="153" customFormat="1" ht="27.75" customHeight="1" x14ac:dyDescent="0.25">
      <c r="A1" s="210" t="s">
        <v>314</v>
      </c>
      <c r="B1" s="211"/>
      <c r="C1" s="211"/>
      <c r="D1" s="211"/>
      <c r="E1" s="211"/>
      <c r="F1" s="211"/>
      <c r="G1" s="211"/>
      <c r="H1" s="211"/>
      <c r="I1" s="211"/>
      <c r="J1" s="211"/>
      <c r="K1" s="211"/>
      <c r="L1" s="211"/>
      <c r="M1" s="211"/>
      <c r="N1" s="211"/>
      <c r="O1" s="211"/>
      <c r="P1" s="211"/>
      <c r="Q1" s="211"/>
      <c r="R1" s="211"/>
      <c r="S1" s="211"/>
    </row>
    <row r="3" spans="1:24" ht="15" customHeight="1" thickBot="1" x14ac:dyDescent="0.3"/>
    <row r="4" spans="1:24" ht="15" customHeight="1" x14ac:dyDescent="0.25">
      <c r="X4" s="294" t="s">
        <v>134</v>
      </c>
    </row>
    <row r="5" spans="1:24" ht="15" customHeight="1" thickBot="1" x14ac:dyDescent="0.3">
      <c r="X5" s="295"/>
    </row>
    <row r="6" spans="1:24" ht="15" customHeight="1" x14ac:dyDescent="0.25">
      <c r="X6" s="296" t="s">
        <v>135</v>
      </c>
    </row>
    <row r="7" spans="1:24" ht="15" customHeight="1" thickBot="1" x14ac:dyDescent="0.3">
      <c r="X7" s="297"/>
    </row>
    <row r="8" spans="1:24" ht="18" customHeight="1" x14ac:dyDescent="0.25">
      <c r="C8" s="168" t="s">
        <v>33</v>
      </c>
      <c r="D8" s="169" t="s">
        <v>34</v>
      </c>
      <c r="E8" s="169" t="s">
        <v>35</v>
      </c>
      <c r="F8" s="170"/>
      <c r="G8" s="170"/>
      <c r="H8" s="300" t="s">
        <v>60</v>
      </c>
      <c r="I8" s="300"/>
      <c r="J8" s="300"/>
      <c r="K8" s="300"/>
      <c r="L8" s="300"/>
      <c r="M8" s="300"/>
      <c r="N8" s="300"/>
      <c r="O8" s="300"/>
      <c r="P8" s="300"/>
      <c r="Q8" s="171"/>
      <c r="R8" s="171"/>
      <c r="S8" s="172" t="s">
        <v>37</v>
      </c>
      <c r="U8" s="173" t="s">
        <v>48</v>
      </c>
    </row>
    <row r="9" spans="1:24" ht="15" customHeight="1" thickBot="1" x14ac:dyDescent="0.3">
      <c r="C9" s="5"/>
      <c r="D9" s="42"/>
      <c r="E9" s="43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5"/>
    </row>
    <row r="10" spans="1:24" ht="22.15" customHeight="1" thickBot="1" x14ac:dyDescent="0.3">
      <c r="B10" s="49"/>
      <c r="C10" s="178">
        <v>57</v>
      </c>
      <c r="D10" s="179">
        <f>VLOOKUP(C10,Aux!M:AH,4,0)</f>
        <v>45842.875</v>
      </c>
      <c r="E10" s="180">
        <f>VLOOKUP(C10,Aux!M:AH,4,0)</f>
        <v>45842.875</v>
      </c>
      <c r="F10" s="181"/>
      <c r="G10" s="181" t="e" vm="15">
        <f ca="1">IFERROR(VLOOKUP(H10,Aux!$A:$X,8,0),"")</f>
        <v>#VALUE!</v>
      </c>
      <c r="H10" s="182" t="str">
        <f ca="1">Octavos!U10</f>
        <v>Atlético de Madrid</v>
      </c>
      <c r="I10" s="183" t="e" vm="14">
        <f ca="1">IFERROR(VLOOKUP(H10,Aux!$A:$C,3,0),"")</f>
        <v>#VALUE!</v>
      </c>
      <c r="J10" s="184"/>
      <c r="K10" s="203">
        <v>1</v>
      </c>
      <c r="L10" s="184" t="s">
        <v>40</v>
      </c>
      <c r="M10" s="203">
        <v>2</v>
      </c>
      <c r="N10" s="185"/>
      <c r="O10" s="184" t="e" vm="19">
        <f ca="1">IFERROR(VLOOKUP(P10,Aux!$A:$C,3,0),"")</f>
        <v>#VALUE!</v>
      </c>
      <c r="P10" s="186" t="str">
        <f ca="1">Octavos!U13</f>
        <v>Bayern Múnich</v>
      </c>
      <c r="Q10" s="181" t="e" vm="18">
        <f ca="1">IFERROR(VLOOKUP(P10,Aux!$A:$X,8,0),"")</f>
        <v>#VALUE!</v>
      </c>
      <c r="R10" s="186"/>
      <c r="S10" s="247" t="str">
        <f>+VLOOKUP(C10,Aux!M:AZ,7,0)</f>
        <v>Camping World Stadium</v>
      </c>
      <c r="U10" s="206" t="str">
        <f ca="1">IF(OR(K10="",M10=""),"",IF(K10&gt;M10,H10,IF(K10&lt;M10,P10,IF(OR(K11="",M11=""),"",IF(K11=M11,"",IF(K11&gt;M11,H10,P10))))))</f>
        <v>Bayern Múnich</v>
      </c>
    </row>
    <row r="11" spans="1:24" ht="15" customHeight="1" x14ac:dyDescent="0.25">
      <c r="C11" s="178"/>
      <c r="D11" s="188"/>
      <c r="E11" s="189"/>
      <c r="F11" s="190"/>
      <c r="G11" s="190"/>
      <c r="H11" s="191" t="s">
        <v>50</v>
      </c>
      <c r="I11" s="191"/>
      <c r="J11" s="185"/>
      <c r="K11" s="192"/>
      <c r="L11" s="192" t="s">
        <v>40</v>
      </c>
      <c r="M11" s="192"/>
      <c r="N11" s="193"/>
      <c r="O11" s="192"/>
      <c r="P11" s="193"/>
      <c r="Q11" s="193"/>
      <c r="R11" s="193"/>
      <c r="S11" s="247"/>
      <c r="U11" s="207"/>
    </row>
    <row r="12" spans="1:24" ht="15" customHeight="1" thickBot="1" x14ac:dyDescent="0.3">
      <c r="C12" s="178"/>
      <c r="D12" s="188"/>
      <c r="E12" s="189"/>
      <c r="F12" s="190"/>
      <c r="G12" s="190"/>
      <c r="H12" s="193"/>
      <c r="I12" s="193"/>
      <c r="J12" s="185"/>
      <c r="K12" s="184"/>
      <c r="L12" s="184"/>
      <c r="M12" s="184"/>
      <c r="N12" s="185"/>
      <c r="O12" s="184"/>
      <c r="P12" s="193"/>
      <c r="Q12" s="193"/>
      <c r="R12" s="193"/>
      <c r="S12" s="247"/>
      <c r="U12" s="207"/>
    </row>
    <row r="13" spans="1:24" ht="22.15" customHeight="1" thickBot="1" x14ac:dyDescent="0.3">
      <c r="A13" s="104"/>
      <c r="B13" s="104"/>
      <c r="C13" s="178">
        <f>C10+1</f>
        <v>58</v>
      </c>
      <c r="D13" s="179">
        <f>VLOOKUP(C13,Aux!M:AH,4,0)</f>
        <v>45843.125</v>
      </c>
      <c r="E13" s="180">
        <f>VLOOKUP(C13,Aux!M:AH,4,0)</f>
        <v>45843.125</v>
      </c>
      <c r="F13" s="181"/>
      <c r="G13" s="181" t="e" vm="22">
        <f ca="1">IFERROR(VLOOKUP(H13,Aux!$A:$X,8,0),"")</f>
        <v>#VALUE!</v>
      </c>
      <c r="H13" s="182" t="str">
        <f ca="1">Octavos!U16</f>
        <v>River Plate</v>
      </c>
      <c r="I13" s="183" t="e" vm="30">
        <f ca="1">IFERROR(VLOOKUP(H13,Aux!$A:$C,3,0),"")</f>
        <v>#VALUE!</v>
      </c>
      <c r="J13" s="194"/>
      <c r="K13" s="203">
        <v>1</v>
      </c>
      <c r="L13" s="184" t="s">
        <v>40</v>
      </c>
      <c r="M13" s="203">
        <v>1</v>
      </c>
      <c r="N13" s="185"/>
      <c r="O13" s="184" t="e" vm="42">
        <f ca="1">IFERROR(VLOOKUP(P13,Aux!$A:$C,3,0),"")</f>
        <v>#VALUE!</v>
      </c>
      <c r="P13" s="186" t="str">
        <f ca="1">Octavos!U19</f>
        <v>Manchester City</v>
      </c>
      <c r="Q13" s="181" t="e" vm="25">
        <f ca="1">IFERROR(VLOOKUP(P13,Aux!$A:$X,8,0),"")</f>
        <v>#VALUE!</v>
      </c>
      <c r="R13" s="186"/>
      <c r="S13" s="247" t="str">
        <f>+VLOOKUP(C13,Aux!M:AZ,7,0)</f>
        <v>Lincoln Financial Field</v>
      </c>
      <c r="U13" s="206" t="str">
        <f ca="1">IF(OR(K13="",M13=""),"",IF(K13&gt;M13,H13,IF(K13&lt;M13,P13,IF(OR(K14="",M14=""),"",IF(K14=M14,"",IF(K14&gt;M14,H13,P13))))))</f>
        <v>River Plate</v>
      </c>
    </row>
    <row r="14" spans="1:24" ht="15" customHeight="1" x14ac:dyDescent="0.25">
      <c r="C14" s="178"/>
      <c r="D14" s="188"/>
      <c r="E14" s="189"/>
      <c r="F14" s="190"/>
      <c r="G14" s="190"/>
      <c r="H14" s="191" t="s">
        <v>50</v>
      </c>
      <c r="I14" s="191"/>
      <c r="J14" s="185"/>
      <c r="K14" s="192">
        <v>4</v>
      </c>
      <c r="L14" s="192" t="s">
        <v>40</v>
      </c>
      <c r="M14" s="192">
        <v>3</v>
      </c>
      <c r="N14" s="193"/>
      <c r="O14" s="192"/>
      <c r="P14" s="193"/>
      <c r="Q14" s="193"/>
      <c r="R14" s="193"/>
      <c r="S14" s="247"/>
      <c r="U14" s="207"/>
    </row>
    <row r="15" spans="1:24" ht="15" customHeight="1" thickBot="1" x14ac:dyDescent="0.3">
      <c r="C15" s="178"/>
      <c r="D15" s="188"/>
      <c r="E15" s="189"/>
      <c r="F15" s="190"/>
      <c r="G15" s="190"/>
      <c r="H15" s="193"/>
      <c r="I15" s="193"/>
      <c r="J15" s="185"/>
      <c r="K15" s="184"/>
      <c r="L15" s="184"/>
      <c r="M15" s="184"/>
      <c r="N15" s="185"/>
      <c r="O15" s="184"/>
      <c r="P15" s="193"/>
      <c r="Q15" s="193"/>
      <c r="R15" s="193"/>
      <c r="S15" s="247"/>
      <c r="U15" s="207"/>
    </row>
    <row r="16" spans="1:24" ht="22.15" customHeight="1" thickBot="1" x14ac:dyDescent="0.3">
      <c r="A16" s="104"/>
      <c r="B16" s="104"/>
      <c r="C16" s="178">
        <f>+C13+1</f>
        <v>59</v>
      </c>
      <c r="D16" s="179">
        <f>VLOOKUP(C16,Aux!M:AH,4,0)</f>
        <v>45843.75</v>
      </c>
      <c r="E16" s="180">
        <f>VLOOKUP(C16,Aux!M:AH,4,0)</f>
        <v>45843.75</v>
      </c>
      <c r="F16" s="181"/>
      <c r="G16" s="181" t="e" vm="12">
        <f ca="1">IFERROR(VLOOKUP(H16,Aux!$A:$X,8,0),"")</f>
        <v>#VALUE!</v>
      </c>
      <c r="H16" s="182" t="str">
        <f ca="1">Octavos!U22</f>
        <v>Paris Saint-Germain</v>
      </c>
      <c r="I16" s="183" t="e" vm="13">
        <f ca="1">IFERROR(VLOOKUP(H16,Aux!$A:$C,3,0),"")</f>
        <v>#VALUE!</v>
      </c>
      <c r="J16" s="194"/>
      <c r="K16" s="203">
        <v>2</v>
      </c>
      <c r="L16" s="184" t="s">
        <v>40</v>
      </c>
      <c r="M16" s="203">
        <v>3</v>
      </c>
      <c r="N16" s="185"/>
      <c r="O16" s="184" t="e" vm="26">
        <f ca="1">IFERROR(VLOOKUP(P16,Aux!$A:$C,3,0),"")</f>
        <v>#VALUE!</v>
      </c>
      <c r="P16" s="186" t="str">
        <f ca="1">Octavos!U25</f>
        <v>Chelsea</v>
      </c>
      <c r="Q16" s="181" t="e" vm="25">
        <f ca="1">IFERROR(VLOOKUP(P16,Aux!$A:$X,8,0),"")</f>
        <v>#VALUE!</v>
      </c>
      <c r="R16" s="186"/>
      <c r="S16" s="247" t="str">
        <f>+VLOOKUP(C16,Aux!M:AZ,7,0)</f>
        <v>Mercedes-Benz Stadium</v>
      </c>
      <c r="U16" s="206" t="str">
        <f ca="1">IF(OR(K16="",M16=""),"",IF(K16&gt;M16,H16,IF(K16&lt;M16,P16,IF(OR(K17="",M17=""),"",IF(K17=M17,"",IF(K17&gt;M17,H16,P16))))))</f>
        <v>Chelsea</v>
      </c>
    </row>
    <row r="17" spans="1:21" ht="15" customHeight="1" x14ac:dyDescent="0.25">
      <c r="C17" s="178"/>
      <c r="D17" s="188"/>
      <c r="E17" s="189"/>
      <c r="F17" s="190"/>
      <c r="G17" s="190"/>
      <c r="H17" s="191" t="s">
        <v>50</v>
      </c>
      <c r="I17" s="191"/>
      <c r="J17" s="185"/>
      <c r="K17" s="192"/>
      <c r="L17" s="192" t="s">
        <v>40</v>
      </c>
      <c r="M17" s="192"/>
      <c r="N17" s="193"/>
      <c r="O17" s="192"/>
      <c r="P17" s="193"/>
      <c r="Q17" s="193"/>
      <c r="R17" s="193"/>
      <c r="S17" s="247"/>
      <c r="U17" s="207"/>
    </row>
    <row r="18" spans="1:21" ht="15" customHeight="1" thickBot="1" x14ac:dyDescent="0.3">
      <c r="C18" s="178"/>
      <c r="D18" s="188"/>
      <c r="E18" s="189"/>
      <c r="F18" s="190"/>
      <c r="G18" s="190"/>
      <c r="H18" s="193"/>
      <c r="I18" s="193"/>
      <c r="J18" s="185"/>
      <c r="K18" s="184"/>
      <c r="L18" s="184"/>
      <c r="M18" s="184"/>
      <c r="N18" s="185"/>
      <c r="O18" s="184"/>
      <c r="P18" s="193"/>
      <c r="Q18" s="193"/>
      <c r="R18" s="193"/>
      <c r="S18" s="247"/>
      <c r="U18" s="207"/>
    </row>
    <row r="19" spans="1:21" ht="22.15" customHeight="1" thickBot="1" x14ac:dyDescent="0.3">
      <c r="A19" s="104"/>
      <c r="B19" s="104"/>
      <c r="C19" s="178">
        <f>+C16+1</f>
        <v>60</v>
      </c>
      <c r="D19" s="179">
        <f>VLOOKUP(C19,Aux!M:AH,4,0)</f>
        <v>45843.916666666664</v>
      </c>
      <c r="E19" s="180">
        <f>VLOOKUP(C19,Aux!M:AH,4,0)</f>
        <v>45843.916666666664</v>
      </c>
      <c r="F19" s="181"/>
      <c r="G19" s="181" t="e" vm="35">
        <f ca="1">IFERROR(VLOOKUP(H19,Aux!$A:$X,8,0),"")</f>
        <v>#VALUE!</v>
      </c>
      <c r="H19" s="182" t="str">
        <f ca="1">Octavos!U28</f>
        <v>Inter de Milán</v>
      </c>
      <c r="I19" s="183" t="e" vm="34">
        <f ca="1">IFERROR(VLOOKUP(H19,Aux!$A:$C,3,0),"")</f>
        <v>#VALUE!</v>
      </c>
      <c r="J19" s="194"/>
      <c r="K19" s="203">
        <v>1</v>
      </c>
      <c r="L19" s="184" t="s">
        <v>40</v>
      </c>
      <c r="M19" s="203">
        <v>3</v>
      </c>
      <c r="N19" s="185"/>
      <c r="O19" s="184" t="e" vm="48">
        <f ca="1">IFERROR(VLOOKUP(P19,Aux!$A:$C,3,0),"")</f>
        <v>#VALUE!</v>
      </c>
      <c r="P19" s="186" t="str">
        <f ca="1">Octavos!U31</f>
        <v>Real Madrid</v>
      </c>
      <c r="Q19" s="181" t="e" vm="15">
        <f ca="1">IFERROR(VLOOKUP(P19,Aux!$A:$X,8,0),"")</f>
        <v>#VALUE!</v>
      </c>
      <c r="R19" s="186"/>
      <c r="S19" s="247" t="str">
        <f>+VLOOKUP(C19,Aux!M:AZ,7,0)</f>
        <v>MetLife Stadium</v>
      </c>
      <c r="U19" s="206" t="str">
        <f ca="1">IF(OR(K19="",M19=""),"",IF(K19&gt;M19,H19,IF(K19&lt;M19,P19,IF(OR(K20="",M20=""),"",IF(K20=M20,"",IF(K20&gt;M20,H19,P19))))))</f>
        <v>Real Madrid</v>
      </c>
    </row>
    <row r="20" spans="1:21" ht="15" customHeight="1" x14ac:dyDescent="0.25">
      <c r="C20" s="195"/>
      <c r="D20" s="188"/>
      <c r="E20" s="189"/>
      <c r="F20" s="185"/>
      <c r="G20" s="185"/>
      <c r="H20" s="191" t="s">
        <v>50</v>
      </c>
      <c r="I20" s="191"/>
      <c r="J20" s="185"/>
      <c r="K20" s="192"/>
      <c r="L20" s="192" t="s">
        <v>40</v>
      </c>
      <c r="M20" s="192"/>
      <c r="N20" s="193"/>
      <c r="O20" s="192"/>
      <c r="P20" s="193"/>
      <c r="Q20" s="185"/>
      <c r="R20" s="185"/>
      <c r="S20" s="205"/>
      <c r="U20" s="208"/>
    </row>
    <row r="21" spans="1:21" ht="15" customHeight="1" x14ac:dyDescent="0.25">
      <c r="C21" s="198"/>
      <c r="D21" s="199"/>
      <c r="E21" s="200"/>
      <c r="F21" s="201"/>
      <c r="G21" s="201"/>
      <c r="H21" s="201"/>
      <c r="I21" s="201"/>
      <c r="J21" s="201"/>
      <c r="K21" s="202"/>
      <c r="L21" s="202"/>
      <c r="M21" s="202"/>
      <c r="N21" s="201"/>
      <c r="O21" s="202"/>
      <c r="P21" s="201"/>
      <c r="Q21" s="201"/>
      <c r="R21" s="201"/>
      <c r="S21" s="198"/>
    </row>
  </sheetData>
  <mergeCells count="3">
    <mergeCell ref="H8:P8"/>
    <mergeCell ref="X4:X5"/>
    <mergeCell ref="X6:X7"/>
  </mergeCells>
  <conditionalFormatting sqref="H11:I11">
    <cfRule type="expression" dxfId="115" priority="96">
      <formula>IF(OR($K10="",$K10&lt;&gt;$M10),1,0)</formula>
    </cfRule>
  </conditionalFormatting>
  <conditionalFormatting sqref="H14:I14">
    <cfRule type="expression" dxfId="114" priority="95">
      <formula>IF(OR($K13="",$K13&lt;&gt;$M13),1,0)</formula>
    </cfRule>
  </conditionalFormatting>
  <conditionalFormatting sqref="H17:I17">
    <cfRule type="expression" dxfId="113" priority="94">
      <formula>IF(OR($K16="",$K16&lt;&gt;$M16),1,0)</formula>
    </cfRule>
  </conditionalFormatting>
  <conditionalFormatting sqref="H20:I20">
    <cfRule type="expression" dxfId="112" priority="86">
      <formula>IF(OR($K19="",$K19&lt;&gt;$M19),1,0)</formula>
    </cfRule>
  </conditionalFormatting>
  <conditionalFormatting sqref="K10">
    <cfRule type="expression" dxfId="111" priority="77">
      <formula>#REF!="G"</formula>
    </cfRule>
    <cfRule type="expression" dxfId="110" priority="76">
      <formula>#REF!="E"</formula>
    </cfRule>
    <cfRule type="expression" dxfId="109" priority="75">
      <formula>#REF!="P"</formula>
    </cfRule>
  </conditionalFormatting>
  <conditionalFormatting sqref="K11">
    <cfRule type="expression" dxfId="108" priority="99">
      <formula>IF(AND($K10&lt;&gt;"",$K10=$M10),1,0)</formula>
    </cfRule>
  </conditionalFormatting>
  <conditionalFormatting sqref="K13">
    <cfRule type="expression" dxfId="107" priority="71">
      <formula>#REF!="G"</formula>
    </cfRule>
    <cfRule type="expression" dxfId="106" priority="70">
      <formula>#REF!="E"</formula>
    </cfRule>
    <cfRule type="expression" dxfId="105" priority="69">
      <formula>#REF!="P"</formula>
    </cfRule>
  </conditionalFormatting>
  <conditionalFormatting sqref="K14">
    <cfRule type="expression" dxfId="104" priority="29">
      <formula>IF(AND($K13&lt;&gt;"",$K13=$M13),1,0)</formula>
    </cfRule>
  </conditionalFormatting>
  <conditionalFormatting sqref="K16">
    <cfRule type="expression" dxfId="103" priority="65">
      <formula>#REF!="G"</formula>
    </cfRule>
    <cfRule type="expression" dxfId="102" priority="64">
      <formula>#REF!="E"</formula>
    </cfRule>
    <cfRule type="expression" dxfId="101" priority="63">
      <formula>#REF!="P"</formula>
    </cfRule>
  </conditionalFormatting>
  <conditionalFormatting sqref="K17">
    <cfRule type="expression" dxfId="100" priority="26">
      <formula>IF(AND($K16&lt;&gt;"",$K16=$M16),1,0)</formula>
    </cfRule>
  </conditionalFormatting>
  <conditionalFormatting sqref="K19">
    <cfRule type="expression" dxfId="99" priority="57">
      <formula>#REF!="P"</formula>
    </cfRule>
    <cfRule type="expression" dxfId="98" priority="58">
      <formula>#REF!="E"</formula>
    </cfRule>
    <cfRule type="expression" dxfId="97" priority="59">
      <formula>#REF!="G"</formula>
    </cfRule>
  </conditionalFormatting>
  <conditionalFormatting sqref="K20">
    <cfRule type="expression" dxfId="96" priority="23">
      <formula>IF(AND($K19&lt;&gt;"",$K19=$M19),1,0)</formula>
    </cfRule>
  </conditionalFormatting>
  <conditionalFormatting sqref="K11:M11">
    <cfRule type="expression" dxfId="95" priority="97">
      <formula>IF(OR($K10="",$K10&lt;&gt;$M10),1,0)</formula>
    </cfRule>
  </conditionalFormatting>
  <conditionalFormatting sqref="K14:M14">
    <cfRule type="expression" dxfId="94" priority="27">
      <formula>IF(OR($K13="",$K13&lt;&gt;$M13),1,0)</formula>
    </cfRule>
  </conditionalFormatting>
  <conditionalFormatting sqref="K17:M17">
    <cfRule type="expression" dxfId="93" priority="24">
      <formula>IF(OR($K16="",$K16&lt;&gt;$M16),1,0)</formula>
    </cfRule>
  </conditionalFormatting>
  <conditionalFormatting sqref="K20:M20">
    <cfRule type="expression" dxfId="92" priority="21">
      <formula>IF(OR($K19="",$K19&lt;&gt;$M19),1,0)</formula>
    </cfRule>
  </conditionalFormatting>
  <conditionalFormatting sqref="M10">
    <cfRule type="expression" dxfId="91" priority="73">
      <formula>#REF!="E"</formula>
    </cfRule>
    <cfRule type="expression" dxfId="90" priority="72">
      <formula>#REF!="P"</formula>
    </cfRule>
    <cfRule type="expression" dxfId="89" priority="74">
      <formula>#REF!="G"</formula>
    </cfRule>
  </conditionalFormatting>
  <conditionalFormatting sqref="M11">
    <cfRule type="expression" dxfId="88" priority="98">
      <formula>IF(AND($K10&lt;&gt;"",$K10=$M10),1,0)</formula>
    </cfRule>
  </conditionalFormatting>
  <conditionalFormatting sqref="M13">
    <cfRule type="expression" dxfId="87" priority="68">
      <formula>#REF!="G"</formula>
    </cfRule>
    <cfRule type="expression" dxfId="86" priority="67">
      <formula>#REF!="E"</formula>
    </cfRule>
    <cfRule type="expression" dxfId="85" priority="66">
      <formula>#REF!="P"</formula>
    </cfRule>
  </conditionalFormatting>
  <conditionalFormatting sqref="M14">
    <cfRule type="expression" dxfId="84" priority="28">
      <formula>IF(AND($K13&lt;&gt;"",$K13=$M13),1,0)</formula>
    </cfRule>
  </conditionalFormatting>
  <conditionalFormatting sqref="M16">
    <cfRule type="expression" dxfId="83" priority="61">
      <formula>#REF!="E"</formula>
    </cfRule>
    <cfRule type="expression" dxfId="82" priority="62">
      <formula>#REF!="G"</formula>
    </cfRule>
    <cfRule type="expression" dxfId="81" priority="60">
      <formula>#REF!="P"</formula>
    </cfRule>
  </conditionalFormatting>
  <conditionalFormatting sqref="M17">
    <cfRule type="expression" dxfId="80" priority="25">
      <formula>IF(AND($K16&lt;&gt;"",$K16=$M16),1,0)</formula>
    </cfRule>
  </conditionalFormatting>
  <conditionalFormatting sqref="M19">
    <cfRule type="expression" dxfId="79" priority="54">
      <formula>#REF!="P"</formula>
    </cfRule>
    <cfRule type="expression" dxfId="78" priority="56">
      <formula>#REF!="G"</formula>
    </cfRule>
    <cfRule type="expression" dxfId="77" priority="55">
      <formula>#REF!="E"</formula>
    </cfRule>
  </conditionalFormatting>
  <conditionalFormatting sqref="M20">
    <cfRule type="expression" dxfId="76" priority="22">
      <formula>IF(AND($K19&lt;&gt;"",$K19=$M19),1,0)</formula>
    </cfRule>
  </conditionalFormatting>
  <conditionalFormatting sqref="U10">
    <cfRule type="cellIs" dxfId="75" priority="8" operator="equal">
      <formula>"Suma los penales"</formula>
    </cfRule>
  </conditionalFormatting>
  <conditionalFormatting sqref="U13">
    <cfRule type="cellIs" dxfId="74" priority="7" operator="equal">
      <formula>"Suma los penales"</formula>
    </cfRule>
  </conditionalFormatting>
  <conditionalFormatting sqref="U16">
    <cfRule type="cellIs" dxfId="73" priority="6" operator="equal">
      <formula>"Suma los penales"</formula>
    </cfRule>
  </conditionalFormatting>
  <conditionalFormatting sqref="U19">
    <cfRule type="cellIs" dxfId="72" priority="5" operator="equal">
      <formula>"Suma los penales"</formula>
    </cfRule>
  </conditionalFormatting>
  <conditionalFormatting sqref="X4:X7">
    <cfRule type="expression" dxfId="71" priority="1">
      <formula>$L7&lt;&gt;""</formula>
    </cfRule>
    <cfRule type="expression" dxfId="70" priority="2">
      <formula>AND($L7&lt;&gt;"",$L8="")</formula>
    </cfRule>
  </conditionalFormatting>
  <hyperlinks>
    <hyperlink ref="X6:X7" r:id="rId1" display="Vídeo YouTube" xr:uid="{6411EE27-7F26-4D0D-A5EA-0EE0123D22D2}"/>
    <hyperlink ref="X6" r:id="rId2" display="Aprendiz de Excel" xr:uid="{F3EA351D-1E6B-46A0-AD1A-34F1AF0C13A6}"/>
    <hyperlink ref="X4" r:id="rId3" display="Aprendiz de Excel" xr:uid="{09E912B3-0743-40FB-A6C3-542C9067F734}"/>
  </hyperlinks>
  <pageMargins left="0.7" right="0.7" top="0.75" bottom="0.75" header="0.3" footer="0.3"/>
  <pageSetup paperSize="9" orientation="portrait" r:id="rId4"/>
  <drawing r:id="rId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77E7A-E73D-46C1-AC33-803F1FDF9255}">
  <dimension ref="A1:X15"/>
  <sheetViews>
    <sheetView showGridLines="0" tabSelected="1" zoomScaleNormal="100" workbookViewId="0">
      <selection activeCell="M13" sqref="M13"/>
    </sheetView>
  </sheetViews>
  <sheetFormatPr baseColWidth="10" defaultColWidth="14.42578125" defaultRowHeight="15" customHeight="1" x14ac:dyDescent="0.25"/>
  <cols>
    <col min="1" max="2" width="4.28515625" style="48" customWidth="1"/>
    <col min="3" max="3" width="3.7109375" customWidth="1"/>
    <col min="4" max="4" width="7.7109375" customWidth="1"/>
    <col min="5" max="5" width="6.7109375" customWidth="1"/>
    <col min="6" max="6" width="2.7109375" customWidth="1"/>
    <col min="7" max="7" width="3.7109375" customWidth="1"/>
    <col min="8" max="8" width="19.7109375" customWidth="1"/>
    <col min="9" max="9" width="5.7109375" customWidth="1"/>
    <col min="10" max="10" width="1.7109375" customWidth="1"/>
    <col min="11" max="11" width="6.7109375" customWidth="1"/>
    <col min="12" max="12" width="2.7109375" customWidth="1"/>
    <col min="13" max="13" width="6.7109375" customWidth="1"/>
    <col min="14" max="14" width="1.7109375" customWidth="1"/>
    <col min="15" max="15" width="5.7109375" customWidth="1"/>
    <col min="16" max="16" width="19.7109375" customWidth="1"/>
    <col min="17" max="17" width="3.7109375" customWidth="1"/>
    <col min="18" max="18" width="2.7109375" customWidth="1"/>
    <col min="19" max="19" width="20.7109375" customWidth="1"/>
    <col min="20" max="20" width="0.85546875" customWidth="1"/>
    <col min="21" max="21" width="19.5703125" customWidth="1"/>
    <col min="22" max="29" width="12.7109375" customWidth="1"/>
  </cols>
  <sheetData>
    <row r="1" spans="1:24" s="153" customFormat="1" ht="27.75" customHeight="1" x14ac:dyDescent="0.25">
      <c r="A1" s="210" t="s">
        <v>314</v>
      </c>
      <c r="B1" s="211"/>
      <c r="C1" s="211"/>
      <c r="D1" s="211"/>
      <c r="E1" s="211"/>
      <c r="F1" s="211"/>
      <c r="G1" s="211"/>
      <c r="H1" s="211"/>
      <c r="I1" s="211"/>
      <c r="J1" s="211"/>
      <c r="K1" s="211"/>
      <c r="L1" s="211"/>
      <c r="M1" s="211"/>
      <c r="N1" s="211"/>
      <c r="O1" s="211"/>
      <c r="P1" s="211"/>
      <c r="Q1" s="211"/>
      <c r="R1" s="211"/>
      <c r="S1" s="211"/>
    </row>
    <row r="3" spans="1:24" ht="15" customHeight="1" thickBot="1" x14ac:dyDescent="0.3"/>
    <row r="4" spans="1:24" ht="15" customHeight="1" x14ac:dyDescent="0.25">
      <c r="X4" s="294" t="s">
        <v>134</v>
      </c>
    </row>
    <row r="5" spans="1:24" ht="15" customHeight="1" thickBot="1" x14ac:dyDescent="0.3">
      <c r="X5" s="295"/>
    </row>
    <row r="6" spans="1:24" ht="15" customHeight="1" x14ac:dyDescent="0.25">
      <c r="X6" s="296" t="s">
        <v>135</v>
      </c>
    </row>
    <row r="7" spans="1:24" ht="15" customHeight="1" thickBot="1" x14ac:dyDescent="0.3">
      <c r="X7" s="297"/>
    </row>
    <row r="8" spans="1:24" ht="18" customHeight="1" x14ac:dyDescent="0.25">
      <c r="C8" s="168" t="s">
        <v>33</v>
      </c>
      <c r="D8" s="169" t="s">
        <v>34</v>
      </c>
      <c r="E8" s="169" t="s">
        <v>35</v>
      </c>
      <c r="F8" s="170"/>
      <c r="G8" s="170"/>
      <c r="H8" s="300" t="s">
        <v>60</v>
      </c>
      <c r="I8" s="300"/>
      <c r="J8" s="300"/>
      <c r="K8" s="300"/>
      <c r="L8" s="300"/>
      <c r="M8" s="300"/>
      <c r="N8" s="300"/>
      <c r="O8" s="300"/>
      <c r="P8" s="300"/>
      <c r="Q8" s="171"/>
      <c r="R8" s="171"/>
      <c r="S8" s="172" t="s">
        <v>37</v>
      </c>
      <c r="U8" s="173" t="s">
        <v>48</v>
      </c>
    </row>
    <row r="9" spans="1:24" ht="15" customHeight="1" thickBot="1" x14ac:dyDescent="0.3">
      <c r="C9" s="5"/>
      <c r="D9" s="42"/>
      <c r="E9" s="43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5"/>
    </row>
    <row r="10" spans="1:24" ht="22.15" customHeight="1" thickBot="1" x14ac:dyDescent="0.3">
      <c r="B10" s="49"/>
      <c r="C10" s="178">
        <v>61</v>
      </c>
      <c r="D10" s="179">
        <f>VLOOKUP(C10,Aux!M:AH,4,0)</f>
        <v>45846.875</v>
      </c>
      <c r="E10" s="180">
        <f>VLOOKUP(C10,Aux!M:AH,4,0)</f>
        <v>45846.875</v>
      </c>
      <c r="F10" s="181"/>
      <c r="G10" s="181" t="e" vm="18">
        <f ca="1">IFERROR(VLOOKUP(H10,Aux!$A:$X,8,0),"")</f>
        <v>#VALUE!</v>
      </c>
      <c r="H10" s="182" t="str">
        <f ca="1">Cuartos!U10</f>
        <v>Bayern Múnich</v>
      </c>
      <c r="I10" s="183" t="e" vm="19">
        <f ca="1">IFERROR(VLOOKUP(H10,Aux!$A:$C,3,0),"")</f>
        <v>#VALUE!</v>
      </c>
      <c r="J10" s="184"/>
      <c r="K10" s="203">
        <v>2</v>
      </c>
      <c r="L10" s="184" t="s">
        <v>40</v>
      </c>
      <c r="M10" s="203">
        <v>1</v>
      </c>
      <c r="N10" s="185"/>
      <c r="O10" s="184" t="e" vm="30">
        <f ca="1">IFERROR(VLOOKUP(P10,Aux!$A:$C,3,0),"")</f>
        <v>#VALUE!</v>
      </c>
      <c r="P10" s="186" t="str">
        <f ca="1">Cuartos!U13</f>
        <v>River Plate</v>
      </c>
      <c r="Q10" s="181" t="e" vm="22">
        <f ca="1">IFERROR(VLOOKUP(P10,Aux!$A:$X,8,0),"")</f>
        <v>#VALUE!</v>
      </c>
      <c r="R10" s="186"/>
      <c r="S10" s="247" t="str">
        <f>+VLOOKUP(C10,Aux!M:AZ,7,0)</f>
        <v>MetLife Stadium</v>
      </c>
      <c r="U10" s="206" t="str">
        <f ca="1">IF(OR(K10="",M10=""),"",IF(K10&gt;M10,H10,IF(K10&lt;M10,P10,IF(OR(K11="",M11=""),"",IF(K11=M11,"",IF(K11&gt;M11,H10,P10))))))</f>
        <v>Bayern Múnich</v>
      </c>
    </row>
    <row r="11" spans="1:24" ht="15" customHeight="1" x14ac:dyDescent="0.25">
      <c r="C11" s="178"/>
      <c r="D11" s="188"/>
      <c r="E11" s="189"/>
      <c r="F11" s="190"/>
      <c r="G11" s="190"/>
      <c r="H11" s="191" t="s">
        <v>50</v>
      </c>
      <c r="I11" s="191"/>
      <c r="J11" s="185"/>
      <c r="K11" s="192"/>
      <c r="L11" s="192" t="s">
        <v>40</v>
      </c>
      <c r="M11" s="192"/>
      <c r="N11" s="193"/>
      <c r="O11" s="192"/>
      <c r="P11" s="193"/>
      <c r="Q11" s="193"/>
      <c r="R11" s="193"/>
      <c r="S11" s="247"/>
      <c r="U11" s="207"/>
    </row>
    <row r="12" spans="1:24" ht="15" customHeight="1" thickBot="1" x14ac:dyDescent="0.3">
      <c r="C12" s="178"/>
      <c r="D12" s="188"/>
      <c r="E12" s="189"/>
      <c r="F12" s="190"/>
      <c r="G12" s="190"/>
      <c r="H12" s="193"/>
      <c r="I12" s="193"/>
      <c r="J12" s="185"/>
      <c r="K12" s="184"/>
      <c r="L12" s="184"/>
      <c r="M12" s="184"/>
      <c r="N12" s="185"/>
      <c r="O12" s="184"/>
      <c r="P12" s="193"/>
      <c r="Q12" s="193"/>
      <c r="R12" s="193"/>
      <c r="S12" s="247"/>
      <c r="U12" s="207"/>
    </row>
    <row r="13" spans="1:24" ht="22.15" customHeight="1" thickBot="1" x14ac:dyDescent="0.3">
      <c r="A13" s="104"/>
      <c r="B13" s="104"/>
      <c r="C13" s="178">
        <f>C10+1</f>
        <v>62</v>
      </c>
      <c r="D13" s="179">
        <f>VLOOKUP(C13,Aux!M:AH,4,0)</f>
        <v>45847.875</v>
      </c>
      <c r="E13" s="180">
        <f>VLOOKUP(C13,Aux!M:AH,4,0)</f>
        <v>45847.875</v>
      </c>
      <c r="F13" s="181"/>
      <c r="G13" s="181" t="e" vm="25">
        <f ca="1">IFERROR(VLOOKUP(H13,Aux!$A:$X,8,0),"")</f>
        <v>#VALUE!</v>
      </c>
      <c r="H13" s="182" t="str">
        <f ca="1">Cuartos!U16</f>
        <v>Chelsea</v>
      </c>
      <c r="I13" s="183" t="e" vm="26">
        <f ca="1">IFERROR(VLOOKUP(H13,Aux!$A:$C,3,0),"")</f>
        <v>#VALUE!</v>
      </c>
      <c r="J13" s="194"/>
      <c r="K13" s="203">
        <v>1</v>
      </c>
      <c r="L13" s="184" t="s">
        <v>40</v>
      </c>
      <c r="M13" s="203">
        <v>2</v>
      </c>
      <c r="N13" s="185"/>
      <c r="O13" s="184" t="e" vm="48">
        <f ca="1">IFERROR(VLOOKUP(P13,Aux!$A:$C,3,0),"")</f>
        <v>#VALUE!</v>
      </c>
      <c r="P13" s="186" t="str">
        <f ca="1">Cuartos!U19</f>
        <v>Real Madrid</v>
      </c>
      <c r="Q13" s="181" t="e" vm="15">
        <f ca="1">IFERROR(VLOOKUP(P13,Aux!$A:$X,8,0),"")</f>
        <v>#VALUE!</v>
      </c>
      <c r="R13" s="186"/>
      <c r="S13" s="247" t="str">
        <f>+VLOOKUP(C13,Aux!M:AZ,7,0)</f>
        <v>MetLife Stadium</v>
      </c>
      <c r="U13" s="206" t="str">
        <f ca="1">IF(OR(K13="",M13=""),"",IF(K13&gt;M13,H13,IF(K13&lt;M13,P13,IF(OR(K14="",M14=""),"",IF(K14=M14,"",IF(K14&gt;M14,H13,P13))))))</f>
        <v>Real Madrid</v>
      </c>
    </row>
    <row r="14" spans="1:24" ht="15" customHeight="1" x14ac:dyDescent="0.25">
      <c r="C14" s="178"/>
      <c r="D14" s="188"/>
      <c r="E14" s="189"/>
      <c r="F14" s="190"/>
      <c r="G14" s="190"/>
      <c r="H14" s="191" t="s">
        <v>50</v>
      </c>
      <c r="I14" s="191"/>
      <c r="J14" s="185"/>
      <c r="K14" s="192"/>
      <c r="L14" s="192" t="s">
        <v>40</v>
      </c>
      <c r="M14" s="192"/>
      <c r="N14" s="193"/>
      <c r="O14" s="192"/>
      <c r="P14" s="193"/>
      <c r="Q14" s="193"/>
      <c r="R14" s="193"/>
      <c r="S14" s="204"/>
      <c r="U14" s="207"/>
    </row>
    <row r="15" spans="1:24" ht="15" customHeight="1" x14ac:dyDescent="0.25">
      <c r="C15" s="198"/>
      <c r="D15" s="199"/>
      <c r="E15" s="200"/>
      <c r="F15" s="201"/>
      <c r="G15" s="201"/>
      <c r="H15" s="201"/>
      <c r="I15" s="201"/>
      <c r="J15" s="201"/>
      <c r="K15" s="202"/>
      <c r="L15" s="202"/>
      <c r="M15" s="202"/>
      <c r="N15" s="201"/>
      <c r="O15" s="202"/>
      <c r="P15" s="201"/>
      <c r="Q15" s="201"/>
      <c r="R15" s="201"/>
      <c r="S15" s="198"/>
    </row>
  </sheetData>
  <mergeCells count="3">
    <mergeCell ref="H8:P8"/>
    <mergeCell ref="X4:X5"/>
    <mergeCell ref="X6:X7"/>
  </mergeCells>
  <conditionalFormatting sqref="H11:I11">
    <cfRule type="expression" dxfId="69" priority="47">
      <formula>IF(OR($K10="",$K10&lt;&gt;$M10),1,0)</formula>
    </cfRule>
  </conditionalFormatting>
  <conditionalFormatting sqref="H14:I14">
    <cfRule type="expression" dxfId="68" priority="46">
      <formula>IF(OR($K13="",$K13&lt;&gt;$M13),1,0)</formula>
    </cfRule>
  </conditionalFormatting>
  <conditionalFormatting sqref="K10">
    <cfRule type="expression" dxfId="67" priority="37">
      <formula>#REF!="P"</formula>
    </cfRule>
    <cfRule type="expression" dxfId="66" priority="38">
      <formula>#REF!="E"</formula>
    </cfRule>
    <cfRule type="expression" dxfId="65" priority="39">
      <formula>#REF!="G"</formula>
    </cfRule>
  </conditionalFormatting>
  <conditionalFormatting sqref="K11">
    <cfRule type="expression" dxfId="64" priority="50">
      <formula>IF(AND($K10&lt;&gt;"",$K10=$M10),1,0)</formula>
    </cfRule>
  </conditionalFormatting>
  <conditionalFormatting sqref="K13">
    <cfRule type="expression" dxfId="63" priority="31">
      <formula>#REF!="P"</formula>
    </cfRule>
    <cfRule type="expression" dxfId="62" priority="32">
      <formula>#REF!="E"</formula>
    </cfRule>
    <cfRule type="expression" dxfId="61" priority="33">
      <formula>#REF!="G"</formula>
    </cfRule>
  </conditionalFormatting>
  <conditionalFormatting sqref="K14">
    <cfRule type="expression" dxfId="60" priority="15">
      <formula>IF(AND($K13&lt;&gt;"",$K13=$M13),1,0)</formula>
    </cfRule>
  </conditionalFormatting>
  <conditionalFormatting sqref="K11:M11">
    <cfRule type="expression" dxfId="59" priority="48">
      <formula>IF(OR($K10="",$K10&lt;&gt;$M10),1,0)</formula>
    </cfRule>
  </conditionalFormatting>
  <conditionalFormatting sqref="K14:M14">
    <cfRule type="expression" dxfId="58" priority="13">
      <formula>IF(OR($K13="",$K13&lt;&gt;$M13),1,0)</formula>
    </cfRule>
  </conditionalFormatting>
  <conditionalFormatting sqref="M10">
    <cfRule type="expression" dxfId="57" priority="34">
      <formula>#REF!="P"</formula>
    </cfRule>
    <cfRule type="expression" dxfId="56" priority="35">
      <formula>#REF!="E"</formula>
    </cfRule>
    <cfRule type="expression" dxfId="55" priority="36">
      <formula>#REF!="G"</formula>
    </cfRule>
  </conditionalFormatting>
  <conditionalFormatting sqref="M11">
    <cfRule type="expression" dxfId="54" priority="49">
      <formula>IF(AND($K10&lt;&gt;"",$K10=$M10),1,0)</formula>
    </cfRule>
  </conditionalFormatting>
  <conditionalFormatting sqref="M13">
    <cfRule type="expression" dxfId="53" priority="28">
      <formula>#REF!="P"</formula>
    </cfRule>
    <cfRule type="expression" dxfId="52" priority="29">
      <formula>#REF!="E"</formula>
    </cfRule>
    <cfRule type="expression" dxfId="51" priority="30">
      <formula>#REF!="G"</formula>
    </cfRule>
  </conditionalFormatting>
  <conditionalFormatting sqref="M14">
    <cfRule type="expression" dxfId="50" priority="14">
      <formula>IF(AND($K13&lt;&gt;"",$K13=$M13),1,0)</formula>
    </cfRule>
  </conditionalFormatting>
  <conditionalFormatting sqref="U10">
    <cfRule type="cellIs" dxfId="49" priority="6" operator="equal">
      <formula>"Suma los penales"</formula>
    </cfRule>
  </conditionalFormatting>
  <conditionalFormatting sqref="U13">
    <cfRule type="cellIs" dxfId="48" priority="5" operator="equal">
      <formula>"Suma los penales"</formula>
    </cfRule>
  </conditionalFormatting>
  <conditionalFormatting sqref="X4:X7">
    <cfRule type="expression" dxfId="47" priority="1">
      <formula>$L7&lt;&gt;""</formula>
    </cfRule>
    <cfRule type="expression" dxfId="46" priority="2">
      <formula>AND($L7&lt;&gt;"",$L8="")</formula>
    </cfRule>
  </conditionalFormatting>
  <hyperlinks>
    <hyperlink ref="X6:X7" r:id="rId1" display="Vídeo YouTube" xr:uid="{0F9834E4-05D1-4D6F-B85B-43F35A22C46F}"/>
    <hyperlink ref="X6" r:id="rId2" display="Aprendiz de Excel" xr:uid="{748ABADB-6A25-43A3-B077-C0F89B668042}"/>
    <hyperlink ref="X4" r:id="rId3" display="Aprendiz de Excel" xr:uid="{5128FDD5-88A7-4977-8F2B-D25178E1867D}"/>
  </hyperlinks>
  <pageMargins left="0.7" right="0.7" top="0.75" bottom="0.75" header="0.3" footer="0.3"/>
  <pageSetup paperSize="9" orientation="portrait" r:id="rId4"/>
  <drawing r:id="rId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48F9D-BDAF-46FC-9E32-E3F14EE2085D}">
  <dimension ref="A1:X18"/>
  <sheetViews>
    <sheetView showGridLines="0" zoomScaleNormal="100" workbookViewId="0">
      <selection activeCell="M12" sqref="M12"/>
    </sheetView>
  </sheetViews>
  <sheetFormatPr baseColWidth="10" defaultColWidth="14.42578125" defaultRowHeight="15" customHeight="1" x14ac:dyDescent="0.25"/>
  <cols>
    <col min="1" max="2" width="4.28515625" style="48" customWidth="1"/>
    <col min="3" max="3" width="3.7109375" customWidth="1"/>
    <col min="4" max="4" width="7.7109375" customWidth="1"/>
    <col min="5" max="5" width="6.7109375" customWidth="1"/>
    <col min="6" max="6" width="2.7109375" customWidth="1"/>
    <col min="7" max="7" width="3.7109375" customWidth="1"/>
    <col min="8" max="8" width="19.7109375" customWidth="1"/>
    <col min="9" max="9" width="5.7109375" customWidth="1"/>
    <col min="10" max="10" width="1.7109375" customWidth="1"/>
    <col min="11" max="11" width="6.7109375" customWidth="1"/>
    <col min="12" max="12" width="2.7109375" customWidth="1"/>
    <col min="13" max="13" width="6.7109375" customWidth="1"/>
    <col min="14" max="14" width="1.7109375" customWidth="1"/>
    <col min="15" max="15" width="5.7109375" customWidth="1"/>
    <col min="16" max="16" width="19.7109375" customWidth="1"/>
    <col min="17" max="17" width="3.7109375" customWidth="1"/>
    <col min="18" max="18" width="2.7109375" customWidth="1"/>
    <col min="19" max="19" width="20.7109375" customWidth="1"/>
    <col min="20" max="20" width="0.85546875" customWidth="1"/>
    <col min="21" max="21" width="19.5703125" customWidth="1"/>
    <col min="22" max="29" width="12.7109375" customWidth="1"/>
  </cols>
  <sheetData>
    <row r="1" spans="1:24" s="153" customFormat="1" ht="27.75" customHeight="1" x14ac:dyDescent="0.25">
      <c r="A1" s="210" t="s">
        <v>314</v>
      </c>
      <c r="B1" s="211"/>
      <c r="C1" s="211"/>
      <c r="D1" s="211"/>
      <c r="E1" s="211"/>
      <c r="F1" s="211"/>
      <c r="G1" s="211"/>
      <c r="H1" s="211"/>
      <c r="I1" s="211"/>
      <c r="J1" s="211"/>
      <c r="K1" s="211"/>
      <c r="L1" s="211"/>
      <c r="M1" s="211"/>
      <c r="N1" s="211"/>
      <c r="O1" s="211"/>
      <c r="P1" s="211"/>
      <c r="Q1" s="211"/>
      <c r="R1" s="211"/>
      <c r="S1" s="211"/>
    </row>
    <row r="3" spans="1:24" ht="15" customHeight="1" thickBot="1" x14ac:dyDescent="0.3"/>
    <row r="4" spans="1:24" ht="15" customHeight="1" x14ac:dyDescent="0.25">
      <c r="X4" s="294" t="s">
        <v>134</v>
      </c>
    </row>
    <row r="5" spans="1:24" ht="15" customHeight="1" thickBot="1" x14ac:dyDescent="0.3">
      <c r="X5" s="295"/>
    </row>
    <row r="6" spans="1:24" ht="15" customHeight="1" x14ac:dyDescent="0.25">
      <c r="X6" s="296" t="s">
        <v>135</v>
      </c>
    </row>
    <row r="7" spans="1:24" ht="15" customHeight="1" thickBot="1" x14ac:dyDescent="0.3">
      <c r="X7" s="297"/>
    </row>
    <row r="8" spans="1:24" ht="18" customHeight="1" x14ac:dyDescent="0.25">
      <c r="C8" s="168" t="s">
        <v>33</v>
      </c>
      <c r="D8" s="169" t="s">
        <v>34</v>
      </c>
      <c r="E8" s="169" t="s">
        <v>35</v>
      </c>
      <c r="F8" s="170"/>
      <c r="G8" s="170"/>
      <c r="H8" s="300" t="s">
        <v>340</v>
      </c>
      <c r="I8" s="300"/>
      <c r="J8" s="300"/>
      <c r="K8" s="300"/>
      <c r="L8" s="300"/>
      <c r="M8" s="300"/>
      <c r="N8" s="300"/>
      <c r="O8" s="300"/>
      <c r="P8" s="300"/>
      <c r="Q8" s="171"/>
      <c r="R8" s="171"/>
      <c r="S8" s="172" t="s">
        <v>37</v>
      </c>
    </row>
    <row r="9" spans="1:24" ht="15" customHeight="1" x14ac:dyDescent="0.25">
      <c r="C9" s="5"/>
      <c r="D9" s="42"/>
      <c r="E9" s="43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5"/>
    </row>
    <row r="10" spans="1:24" ht="22.15" customHeight="1" x14ac:dyDescent="0.25">
      <c r="B10" s="49"/>
      <c r="C10" s="178">
        <v>63</v>
      </c>
      <c r="D10" s="179">
        <f>VLOOKUP(C10,Aux!M:AH,4,0)</f>
        <v>45851.875</v>
      </c>
      <c r="E10" s="180">
        <f>VLOOKUP(C10,Aux!M:AH,4,0)</f>
        <v>45851.875</v>
      </c>
      <c r="F10" s="181"/>
      <c r="G10" s="181" t="e" vm="18">
        <f ca="1">IFERROR(VLOOKUP(H10,Aux!$A:$X,8,0),"")</f>
        <v>#VALUE!</v>
      </c>
      <c r="H10" s="182" t="str">
        <f ca="1">Semis!U10</f>
        <v>Bayern Múnich</v>
      </c>
      <c r="I10" s="183" t="e" vm="19">
        <f ca="1">IFERROR(VLOOKUP(H10,Aux!$A:$C,3,0),"")</f>
        <v>#VALUE!</v>
      </c>
      <c r="J10" s="184"/>
      <c r="K10" s="203">
        <v>1</v>
      </c>
      <c r="L10" s="184" t="s">
        <v>40</v>
      </c>
      <c r="M10" s="203">
        <v>2</v>
      </c>
      <c r="N10" s="185"/>
      <c r="O10" s="184" t="e" vm="48">
        <f ca="1">IFERROR(VLOOKUP(P10,Aux!$A:$C,3,0),"")</f>
        <v>#VALUE!</v>
      </c>
      <c r="P10" s="186" t="str">
        <f ca="1">Semis!U13</f>
        <v>Real Madrid</v>
      </c>
      <c r="Q10" s="181" t="e" vm="15">
        <f ca="1">IFERROR(VLOOKUP(P10,Aux!$A:$X,8,0),"")</f>
        <v>#VALUE!</v>
      </c>
      <c r="R10" s="186"/>
      <c r="S10" s="247" t="str">
        <f>+VLOOKUP(C10,Aux!M:AZ,7,0)</f>
        <v>MetLife Stadium</v>
      </c>
      <c r="U10" s="209" t="str">
        <f ca="1">IF(OR(K10="",M10=""),"",IF(K10&gt;M10,H10,IF(K10&lt;M10,P10,IF(OR(K11="",M11=""),"",IF(K11=M11,"",IF(K11&gt;M11,H10,P10))))))</f>
        <v>Real Madrid</v>
      </c>
    </row>
    <row r="11" spans="1:24" ht="15" customHeight="1" x14ac:dyDescent="0.25">
      <c r="C11" s="178"/>
      <c r="D11" s="188"/>
      <c r="E11" s="189"/>
      <c r="F11" s="190"/>
      <c r="G11" s="190"/>
      <c r="H11" s="191" t="s">
        <v>50</v>
      </c>
      <c r="I11" s="191"/>
      <c r="J11" s="185"/>
      <c r="K11" s="192"/>
      <c r="L11" s="192" t="s">
        <v>40</v>
      </c>
      <c r="M11" s="192"/>
      <c r="N11" s="193"/>
      <c r="O11" s="192"/>
      <c r="P11" s="193"/>
      <c r="Q11" s="193"/>
      <c r="R11" s="193"/>
      <c r="S11" s="204"/>
      <c r="U11" s="207"/>
    </row>
    <row r="12" spans="1:24" ht="15" customHeight="1" x14ac:dyDescent="0.25">
      <c r="C12" s="198"/>
      <c r="D12" s="199"/>
      <c r="E12" s="200"/>
      <c r="F12" s="201"/>
      <c r="G12" s="201"/>
      <c r="H12" s="201"/>
      <c r="I12" s="201"/>
      <c r="J12" s="201"/>
      <c r="K12" s="202"/>
      <c r="L12" s="202"/>
      <c r="M12" s="202"/>
      <c r="N12" s="201"/>
      <c r="O12" s="202"/>
      <c r="P12" s="201"/>
      <c r="Q12" s="201"/>
      <c r="R12" s="201"/>
      <c r="S12" s="198"/>
    </row>
    <row r="13" spans="1:24" ht="15" customHeight="1" x14ac:dyDescent="0.25">
      <c r="S13" s="248"/>
    </row>
    <row r="14" spans="1:24" ht="15" customHeight="1" x14ac:dyDescent="0.25">
      <c r="H14" s="314" t="s">
        <v>316</v>
      </c>
      <c r="I14" s="314"/>
      <c r="J14" s="314"/>
      <c r="K14" s="314"/>
      <c r="L14" s="314"/>
      <c r="M14" s="314"/>
      <c r="N14" s="314"/>
      <c r="O14" s="314"/>
      <c r="P14" s="314"/>
    </row>
    <row r="15" spans="1:24" ht="15" customHeight="1" x14ac:dyDescent="0.25">
      <c r="H15" s="314"/>
      <c r="I15" s="314"/>
      <c r="J15" s="314"/>
      <c r="K15" s="314"/>
      <c r="L15" s="314"/>
      <c r="M15" s="314"/>
      <c r="N15" s="314"/>
      <c r="O15" s="314"/>
      <c r="P15" s="314"/>
    </row>
    <row r="16" spans="1:24" x14ac:dyDescent="0.25"/>
    <row r="17" spans="8:16" ht="15" customHeight="1" x14ac:dyDescent="0.25">
      <c r="H17" s="315" t="e" vm="15">
        <f ca="1">IFERROR(VLOOKUP(I17,Aux!$A:$X,8,0),"")</f>
        <v>#VALUE!</v>
      </c>
      <c r="I17" s="313" t="str">
        <f ca="1">U10</f>
        <v>Real Madrid</v>
      </c>
      <c r="J17" s="313"/>
      <c r="K17" s="313"/>
      <c r="L17" s="313"/>
      <c r="M17" s="313"/>
      <c r="N17" s="313"/>
      <c r="O17" s="313"/>
      <c r="P17" s="315" t="e" vm="48">
        <f ca="1">IFERROR(VLOOKUP(I17,Aux!$A:$C,3,0),"")</f>
        <v>#VALUE!</v>
      </c>
    </row>
    <row r="18" spans="8:16" ht="15" customHeight="1" x14ac:dyDescent="0.25">
      <c r="H18" s="315"/>
      <c r="I18" s="313"/>
      <c r="J18" s="313"/>
      <c r="K18" s="313"/>
      <c r="L18" s="313"/>
      <c r="M18" s="313"/>
      <c r="N18" s="313"/>
      <c r="O18" s="313"/>
      <c r="P18" s="315"/>
    </row>
  </sheetData>
  <mergeCells count="7">
    <mergeCell ref="X4:X5"/>
    <mergeCell ref="X6:X7"/>
    <mergeCell ref="H8:P8"/>
    <mergeCell ref="I17:O18"/>
    <mergeCell ref="H14:P15"/>
    <mergeCell ref="H17:H18"/>
    <mergeCell ref="P17:P18"/>
  </mergeCells>
  <conditionalFormatting sqref="H14">
    <cfRule type="expression" dxfId="45" priority="7">
      <formula>IF($U$10="",1,0)</formula>
    </cfRule>
  </conditionalFormatting>
  <conditionalFormatting sqref="H11:I11">
    <cfRule type="expression" dxfId="44" priority="26">
      <formula>IF(OR($K10="",$K10&lt;&gt;$M10),1,0)</formula>
    </cfRule>
  </conditionalFormatting>
  <conditionalFormatting sqref="K10">
    <cfRule type="expression" dxfId="43" priority="20">
      <formula>#REF!="P"</formula>
    </cfRule>
    <cfRule type="expression" dxfId="42" priority="21">
      <formula>#REF!="E"</formula>
    </cfRule>
    <cfRule type="expression" dxfId="41" priority="22">
      <formula>#REF!="G"</formula>
    </cfRule>
  </conditionalFormatting>
  <conditionalFormatting sqref="K11">
    <cfRule type="expression" dxfId="40" priority="29">
      <formula>IF(AND($K10&lt;&gt;"",$K10=$M10),1,0)</formula>
    </cfRule>
  </conditionalFormatting>
  <conditionalFormatting sqref="K11:M11">
    <cfRule type="expression" dxfId="39" priority="27">
      <formula>IF(OR($K10="",$K10&lt;&gt;$M10),1,0)</formula>
    </cfRule>
  </conditionalFormatting>
  <conditionalFormatting sqref="M10">
    <cfRule type="expression" dxfId="38" priority="17">
      <formula>#REF!="P"</formula>
    </cfRule>
    <cfRule type="expression" dxfId="37" priority="18">
      <formula>#REF!="E"</formula>
    </cfRule>
    <cfRule type="expression" dxfId="36" priority="19">
      <formula>#REF!="G"</formula>
    </cfRule>
  </conditionalFormatting>
  <conditionalFormatting sqref="M11">
    <cfRule type="expression" dxfId="35" priority="28">
      <formula>IF(AND($K10&lt;&gt;"",$K10=$M10),1,0)</formula>
    </cfRule>
  </conditionalFormatting>
  <conditionalFormatting sqref="U10">
    <cfRule type="cellIs" dxfId="34" priority="5" operator="equal">
      <formula>"Suma los penales"</formula>
    </cfRule>
  </conditionalFormatting>
  <conditionalFormatting sqref="X4:X7">
    <cfRule type="expression" dxfId="33" priority="1">
      <formula>$L7&lt;&gt;""</formula>
    </cfRule>
    <cfRule type="expression" dxfId="32" priority="2">
      <formula>AND($L7&lt;&gt;"",$L8="")</formula>
    </cfRule>
  </conditionalFormatting>
  <hyperlinks>
    <hyperlink ref="X6:X7" r:id="rId1" display="Vídeo YouTube" xr:uid="{2C03FD7F-19B6-4F8E-AA62-F98FD36A6A33}"/>
    <hyperlink ref="X6" r:id="rId2" display="Aprendiz de Excel" xr:uid="{960035F5-B1EE-41CC-9901-086612C823BB}"/>
    <hyperlink ref="X4" r:id="rId3" display="Aprendiz de Excel" xr:uid="{FC3E4A7D-51F3-4CDE-BDCA-C9589FAA29B1}"/>
  </hyperlinks>
  <pageMargins left="0.7" right="0.7" top="0.75" bottom="0.75" header="0.3" footer="0.3"/>
  <pageSetup paperSize="9" orientation="portrait" r:id="rId4"/>
  <drawing r:id="rId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B011E-B077-4AB3-A1A0-17DAD78EA483}">
  <sheetPr codeName="Hoja8"/>
  <dimension ref="A1:AH78"/>
  <sheetViews>
    <sheetView showGridLines="0" topLeftCell="P1" zoomScaleNormal="100" workbookViewId="0">
      <selection activeCell="V13" sqref="V13"/>
    </sheetView>
  </sheetViews>
  <sheetFormatPr baseColWidth="10" defaultRowHeight="15" x14ac:dyDescent="0.25"/>
  <cols>
    <col min="1" max="1" width="24.5703125" style="151" customWidth="1"/>
    <col min="3" max="3" width="15" customWidth="1"/>
    <col min="5" max="5" width="19.42578125" style="151" customWidth="1"/>
    <col min="7" max="7" width="15" customWidth="1"/>
    <col min="9" max="9" width="19" style="151" customWidth="1"/>
    <col min="11" max="11" width="23.42578125" customWidth="1"/>
    <col min="12" max="12" width="14.28515625" customWidth="1"/>
    <col min="13" max="14" width="13" customWidth="1"/>
    <col min="15" max="15" width="18.42578125" customWidth="1"/>
    <col min="16" max="16" width="21" customWidth="1"/>
    <col min="17" max="18" width="21.7109375" customWidth="1"/>
    <col min="19" max="19" width="21.7109375" style="41" customWidth="1"/>
    <col min="20" max="21" width="10.7109375" style="41"/>
    <col min="25" max="25" width="13" bestFit="1" customWidth="1"/>
    <col min="30" max="30" width="17.28515625" customWidth="1"/>
    <col min="33" max="33" width="11.85546875" bestFit="1" customWidth="1"/>
  </cols>
  <sheetData>
    <row r="1" spans="1:34" x14ac:dyDescent="0.25">
      <c r="A1" s="4" t="s">
        <v>7</v>
      </c>
      <c r="B1" s="4" t="s">
        <v>288</v>
      </c>
      <c r="C1" s="4" t="s">
        <v>0</v>
      </c>
      <c r="D1" s="4" t="s">
        <v>0</v>
      </c>
      <c r="E1" s="4" t="s">
        <v>8</v>
      </c>
      <c r="F1" s="4" t="s">
        <v>288</v>
      </c>
      <c r="G1" s="4" t="s">
        <v>0</v>
      </c>
      <c r="H1" s="4" t="s">
        <v>0</v>
      </c>
      <c r="I1" s="4" t="s">
        <v>143</v>
      </c>
      <c r="L1" s="4" t="s">
        <v>103</v>
      </c>
      <c r="M1" s="4" t="s">
        <v>1</v>
      </c>
      <c r="N1" s="4" t="s">
        <v>104</v>
      </c>
      <c r="O1" s="4" t="s">
        <v>105</v>
      </c>
      <c r="P1" s="4" t="s">
        <v>2</v>
      </c>
      <c r="Q1" s="4" t="s">
        <v>3</v>
      </c>
      <c r="R1" s="4" t="s">
        <v>4</v>
      </c>
      <c r="S1" s="4" t="s">
        <v>5</v>
      </c>
      <c r="T1" s="4" t="s">
        <v>56</v>
      </c>
      <c r="U1" s="4" t="s">
        <v>57</v>
      </c>
      <c r="V1" s="4" t="s">
        <v>58</v>
      </c>
      <c r="Y1" s="4" t="s">
        <v>6</v>
      </c>
      <c r="Z1" s="4" t="s">
        <v>7</v>
      </c>
      <c r="AA1" s="4" t="s">
        <v>8</v>
      </c>
      <c r="AD1" s="4" t="s">
        <v>120</v>
      </c>
    </row>
    <row r="2" spans="1:34" ht="25.15" customHeight="1" x14ac:dyDescent="0.25">
      <c r="A2" s="149" t="s">
        <v>254</v>
      </c>
      <c r="B2" s="147" t="s">
        <v>144</v>
      </c>
      <c r="C2" s="147" t="e" vm="6">
        <f t="shared" ref="C2:C34" si="0">+_xlfn.IMAGE(B2)</f>
        <v>#VALUE!</v>
      </c>
      <c r="D2" s="148" t="e" vm="54">
        <v>#VALUE!</v>
      </c>
      <c r="E2" s="149" t="s">
        <v>274</v>
      </c>
      <c r="F2" s="147" t="s">
        <v>289</v>
      </c>
      <c r="G2" s="147" t="e" vm="55">
        <f t="shared" ref="G2:G28" si="1">+_xlfn.IMAGE(F2)</f>
        <v>#VALUE!</v>
      </c>
      <c r="H2" s="148" t="e" vm="5">
        <v>#VALUE!</v>
      </c>
      <c r="I2" s="149" t="s">
        <v>136</v>
      </c>
      <c r="L2" s="106">
        <f>+Normas!G32</f>
        <v>2</v>
      </c>
      <c r="M2" s="220">
        <v>0</v>
      </c>
      <c r="N2" s="220">
        <v>-7</v>
      </c>
      <c r="O2" s="152">
        <v>45808.8125</v>
      </c>
      <c r="P2" s="152">
        <f>+O2-N2/24+$L$2/24</f>
        <v>45809.1875</v>
      </c>
      <c r="Q2" s="149" t="s">
        <v>263</v>
      </c>
      <c r="R2" s="149" t="s">
        <v>216</v>
      </c>
      <c r="S2" s="149" t="s">
        <v>300</v>
      </c>
      <c r="T2" s="220" t="s">
        <v>319</v>
      </c>
      <c r="U2" s="220">
        <f t="shared" ref="U2" ca="1" si="2">IF(VLOOKUP(M2,INDIRECT(T2&amp;"!C:AZ"),9,0)="","",VLOOKUP(M2,INDIRECT(T2&amp;"!C:AZ"),9,0))</f>
        <v>2</v>
      </c>
      <c r="V2" s="220">
        <f ca="1">IF(VLOOKUP(M2,INDIRECT(T2&amp;"!C:AZ"),9,0)="","",VLOOKUP(M2,INDIRECT(T2&amp;"!C:AZ"),11,0))</f>
        <v>1</v>
      </c>
      <c r="Y2" s="1" t="s">
        <v>12</v>
      </c>
      <c r="Z2" s="2" t="s">
        <v>17</v>
      </c>
      <c r="AA2" s="3" t="s">
        <v>254</v>
      </c>
      <c r="AD2" t="s">
        <v>121</v>
      </c>
      <c r="AE2">
        <f>+Normas!C7</f>
        <v>0</v>
      </c>
    </row>
    <row r="3" spans="1:34" ht="25.15" customHeight="1" x14ac:dyDescent="0.25">
      <c r="A3" s="149" t="s">
        <v>255</v>
      </c>
      <c r="B3" s="147" t="s">
        <v>145</v>
      </c>
      <c r="C3" s="147" t="e" vm="43">
        <f t="shared" si="0"/>
        <v>#VALUE!</v>
      </c>
      <c r="D3" s="148" t="e" vm="56">
        <v>#VALUE!</v>
      </c>
      <c r="E3" s="149" t="s">
        <v>275</v>
      </c>
      <c r="F3" s="147" t="s">
        <v>290</v>
      </c>
      <c r="G3" s="147" t="e" vm="57">
        <f t="shared" si="1"/>
        <v>#VALUE!</v>
      </c>
      <c r="H3" s="148" t="e" vm="44">
        <v>#VALUE!</v>
      </c>
      <c r="I3" s="149" t="s">
        <v>136</v>
      </c>
      <c r="L3" s="111" t="str">
        <f>IF(Previa!U10="","Los Angeles/America",Previa!U10)</f>
        <v>Los Angeles</v>
      </c>
      <c r="M3" s="220">
        <v>1</v>
      </c>
      <c r="N3" s="220">
        <v>-4</v>
      </c>
      <c r="O3" s="152">
        <v>45822.833333333336</v>
      </c>
      <c r="P3" s="152">
        <f>+O3-N3/24+$L$2/24</f>
        <v>45823.083333333336</v>
      </c>
      <c r="Q3" s="149" t="s">
        <v>254</v>
      </c>
      <c r="R3" s="149" t="s">
        <v>262</v>
      </c>
      <c r="S3" s="149" t="s">
        <v>301</v>
      </c>
      <c r="T3" s="220" t="s">
        <v>12</v>
      </c>
      <c r="U3" s="220">
        <f ca="1">IF(VLOOKUP(M3,INDIRECT(T3&amp;"!B:AZ"),9,0)="","",VLOOKUP(M3,INDIRECT(T3&amp;"!B:AZ"),9,0))</f>
        <v>0</v>
      </c>
      <c r="V3" s="220">
        <f ca="1">IF(VLOOKUP(M3,INDIRECT(T3&amp;"!B:AZ"),11,0)="","",VLOOKUP(M3,INDIRECT(T3&amp;"!B:AZ"),11,0))</f>
        <v>2</v>
      </c>
      <c r="Y3" s="1" t="s">
        <v>12</v>
      </c>
      <c r="Z3" s="2" t="s">
        <v>18</v>
      </c>
      <c r="AA3" s="3" t="s">
        <v>262</v>
      </c>
      <c r="AD3" t="s">
        <v>122</v>
      </c>
      <c r="AE3">
        <f>+Normas!C6</f>
        <v>3</v>
      </c>
      <c r="AG3" s="3"/>
      <c r="AH3" s="3"/>
    </row>
    <row r="4" spans="1:34" ht="25.15" customHeight="1" x14ac:dyDescent="0.25">
      <c r="A4" s="149" t="s">
        <v>219</v>
      </c>
      <c r="B4" s="147" t="s">
        <v>146</v>
      </c>
      <c r="C4" s="147" t="e" vm="28">
        <f t="shared" si="0"/>
        <v>#VALUE!</v>
      </c>
      <c r="D4" s="148" t="e" vm="58">
        <v>#VALUE!</v>
      </c>
      <c r="E4" s="149" t="s">
        <v>276</v>
      </c>
      <c r="F4" s="147" t="s">
        <v>291</v>
      </c>
      <c r="G4" s="147" t="e" vm="59">
        <f t="shared" si="1"/>
        <v>#VALUE!</v>
      </c>
      <c r="H4" s="148" t="e" vm="29">
        <v>#VALUE!</v>
      </c>
      <c r="I4" s="149" t="s">
        <v>136</v>
      </c>
      <c r="M4" s="220">
        <v>4</v>
      </c>
      <c r="N4" s="220">
        <v>-4</v>
      </c>
      <c r="O4" s="152">
        <v>45823.75</v>
      </c>
      <c r="P4" s="152">
        <f t="shared" ref="P4:P65" si="3">+O4-N4/24+$L$2/24</f>
        <v>45824</v>
      </c>
      <c r="Q4" s="149" t="s">
        <v>194</v>
      </c>
      <c r="R4" s="149" t="s">
        <v>195</v>
      </c>
      <c r="S4" s="149" t="s">
        <v>302</v>
      </c>
      <c r="T4" s="220" t="s">
        <v>12</v>
      </c>
      <c r="U4" s="220">
        <f t="shared" ref="U4:U9" ca="1" si="4">IF(VLOOKUP(M4,INDIRECT(T4&amp;"!B:AZ"),9,0)="","",VLOOKUP(M4,INDIRECT(T4&amp;"!B:AZ"),9,0))</f>
        <v>1</v>
      </c>
      <c r="V4" s="220">
        <f t="shared" ref="V4:V50" ca="1" si="5">IF(VLOOKUP(M4,INDIRECT(T4&amp;"!B:AZ"),11,0)="","",VLOOKUP(M4,INDIRECT(T4&amp;"!B:AZ"),11,0))</f>
        <v>1</v>
      </c>
      <c r="W4" s="3"/>
      <c r="Y4" s="1" t="s">
        <v>12</v>
      </c>
      <c r="Z4" s="2" t="s">
        <v>19</v>
      </c>
      <c r="AA4" s="3" t="s">
        <v>194</v>
      </c>
      <c r="AD4" t="s">
        <v>123</v>
      </c>
      <c r="AE4">
        <f>+Normas!C8</f>
        <v>5</v>
      </c>
      <c r="AG4" s="3"/>
      <c r="AH4" s="3"/>
    </row>
    <row r="5" spans="1:34" ht="25.15" customHeight="1" x14ac:dyDescent="0.25">
      <c r="A5" s="149" t="s">
        <v>204</v>
      </c>
      <c r="B5" s="147" t="s">
        <v>147</v>
      </c>
      <c r="C5" s="147" t="e" vm="40">
        <f t="shared" si="0"/>
        <v>#VALUE!</v>
      </c>
      <c r="D5" s="148" t="e" vm="60">
        <v>#VALUE!</v>
      </c>
      <c r="E5" s="149" t="s">
        <v>277</v>
      </c>
      <c r="F5" s="147" t="s">
        <v>292</v>
      </c>
      <c r="G5" s="147" t="e" vm="61">
        <f t="shared" si="1"/>
        <v>#VALUE!</v>
      </c>
      <c r="H5" s="148" t="e" vm="41">
        <v>#VALUE!</v>
      </c>
      <c r="I5" s="149" t="s">
        <v>136</v>
      </c>
      <c r="M5" s="220">
        <v>17</v>
      </c>
      <c r="N5" s="220">
        <v>-4</v>
      </c>
      <c r="O5" s="152">
        <v>45827.5</v>
      </c>
      <c r="P5" s="152">
        <f t="shared" si="3"/>
        <v>45827.75</v>
      </c>
      <c r="Q5" s="149" t="s">
        <v>194</v>
      </c>
      <c r="R5" s="149" t="s">
        <v>254</v>
      </c>
      <c r="S5" s="149" t="s">
        <v>302</v>
      </c>
      <c r="T5" s="220" t="s">
        <v>12</v>
      </c>
      <c r="U5" s="220">
        <f t="shared" ca="1" si="4"/>
        <v>2</v>
      </c>
      <c r="V5" s="220">
        <f t="shared" ca="1" si="5"/>
        <v>0</v>
      </c>
      <c r="W5" s="3"/>
      <c r="Y5" s="1" t="s">
        <v>12</v>
      </c>
      <c r="Z5" s="2" t="s">
        <v>20</v>
      </c>
      <c r="AA5" s="3" t="s">
        <v>195</v>
      </c>
      <c r="AD5" t="s">
        <v>321</v>
      </c>
      <c r="AE5">
        <f>+Normas!C10</f>
        <v>0</v>
      </c>
      <c r="AG5" s="3"/>
      <c r="AH5" s="3"/>
    </row>
    <row r="6" spans="1:34" ht="25.15" customHeight="1" x14ac:dyDescent="0.25">
      <c r="A6" s="149" t="s">
        <v>194</v>
      </c>
      <c r="B6" s="147" t="s">
        <v>148</v>
      </c>
      <c r="C6" s="147" t="e" vm="8">
        <f t="shared" si="0"/>
        <v>#VALUE!</v>
      </c>
      <c r="D6" s="148" t="e" vm="62">
        <v>#VALUE!</v>
      </c>
      <c r="E6" s="149" t="s">
        <v>102</v>
      </c>
      <c r="F6" s="147" t="s">
        <v>109</v>
      </c>
      <c r="G6" s="147" t="e" vm="63">
        <f t="shared" si="1"/>
        <v>#VALUE!</v>
      </c>
      <c r="H6" s="148" t="e" vm="9">
        <v>#VALUE!</v>
      </c>
      <c r="I6" s="149" t="s">
        <v>137</v>
      </c>
      <c r="M6" s="220">
        <v>18</v>
      </c>
      <c r="N6" s="220">
        <v>-4</v>
      </c>
      <c r="O6" s="152">
        <v>45827.625</v>
      </c>
      <c r="P6" s="152">
        <f t="shared" si="3"/>
        <v>45827.875</v>
      </c>
      <c r="Q6" s="149" t="s">
        <v>262</v>
      </c>
      <c r="R6" s="149" t="s">
        <v>195</v>
      </c>
      <c r="S6" s="149" t="s">
        <v>303</v>
      </c>
      <c r="T6" s="220" t="s">
        <v>12</v>
      </c>
      <c r="U6" s="220">
        <f t="shared" ca="1" si="4"/>
        <v>1</v>
      </c>
      <c r="V6" s="220">
        <f t="shared" ca="1" si="5"/>
        <v>2</v>
      </c>
      <c r="W6" s="3"/>
      <c r="Y6" s="1" t="s">
        <v>11</v>
      </c>
      <c r="Z6" s="2" t="s">
        <v>21</v>
      </c>
      <c r="AA6" s="3" t="s">
        <v>217</v>
      </c>
      <c r="AD6" t="s">
        <v>322</v>
      </c>
      <c r="AE6">
        <f>+Normas!C9</f>
        <v>9</v>
      </c>
      <c r="AG6" s="3"/>
      <c r="AH6" s="3"/>
    </row>
    <row r="7" spans="1:34" ht="25.15" customHeight="1" x14ac:dyDescent="0.25">
      <c r="A7" s="149" t="s">
        <v>200</v>
      </c>
      <c r="B7" s="147" t="s">
        <v>149</v>
      </c>
      <c r="C7" s="147" t="e" vm="27">
        <f t="shared" si="0"/>
        <v>#VALUE!</v>
      </c>
      <c r="D7" s="148" t="e" vm="64">
        <v>#VALUE!</v>
      </c>
      <c r="E7" s="149" t="s">
        <v>102</v>
      </c>
      <c r="F7" s="147" t="s">
        <v>109</v>
      </c>
      <c r="G7" s="147" t="e" vm="63">
        <f t="shared" si="1"/>
        <v>#VALUE!</v>
      </c>
      <c r="H7" s="148" t="e" vm="9">
        <v>#VALUE!</v>
      </c>
      <c r="I7" s="149" t="s">
        <v>137</v>
      </c>
      <c r="M7" s="220">
        <v>35</v>
      </c>
      <c r="N7" s="220">
        <v>-4</v>
      </c>
      <c r="O7" s="152">
        <v>45831.875</v>
      </c>
      <c r="P7" s="152">
        <f t="shared" si="3"/>
        <v>45832.125</v>
      </c>
      <c r="Q7" s="149" t="s">
        <v>262</v>
      </c>
      <c r="R7" s="149" t="s">
        <v>194</v>
      </c>
      <c r="S7" s="149" t="s">
        <v>301</v>
      </c>
      <c r="T7" s="220" t="s">
        <v>12</v>
      </c>
      <c r="U7" s="220">
        <f t="shared" ca="1" si="4"/>
        <v>2</v>
      </c>
      <c r="V7" s="220">
        <f t="shared" ca="1" si="5"/>
        <v>3</v>
      </c>
      <c r="W7" s="3"/>
      <c r="Y7" s="1" t="s">
        <v>11</v>
      </c>
      <c r="Z7" s="2" t="s">
        <v>22</v>
      </c>
      <c r="AA7" s="3" t="s">
        <v>193</v>
      </c>
      <c r="AD7" t="s">
        <v>323</v>
      </c>
      <c r="AE7">
        <f>+Normas!C11</f>
        <v>15</v>
      </c>
      <c r="AG7" s="3"/>
      <c r="AH7" s="3"/>
    </row>
    <row r="8" spans="1:34" ht="25.15" customHeight="1" x14ac:dyDescent="0.25">
      <c r="A8" s="149" t="s">
        <v>220</v>
      </c>
      <c r="B8" s="147" t="s">
        <v>150</v>
      </c>
      <c r="C8" s="147" t="e" vm="36">
        <f t="shared" si="0"/>
        <v>#VALUE!</v>
      </c>
      <c r="D8" s="148" t="e" vm="65">
        <v>#VALUE!</v>
      </c>
      <c r="E8" s="149" t="s">
        <v>102</v>
      </c>
      <c r="F8" s="147" t="s">
        <v>109</v>
      </c>
      <c r="G8" s="147" t="e" vm="63">
        <f t="shared" si="1"/>
        <v>#VALUE!</v>
      </c>
      <c r="H8" s="148" t="e" vm="9">
        <v>#VALUE!</v>
      </c>
      <c r="I8" s="149" t="s">
        <v>137</v>
      </c>
      <c r="M8" s="220">
        <v>36</v>
      </c>
      <c r="N8" s="220">
        <v>-4</v>
      </c>
      <c r="O8" s="152">
        <v>45831.875</v>
      </c>
      <c r="P8" s="152">
        <f t="shared" si="3"/>
        <v>45832.125</v>
      </c>
      <c r="Q8" s="149" t="s">
        <v>195</v>
      </c>
      <c r="R8" s="149" t="s">
        <v>254</v>
      </c>
      <c r="S8" s="149" t="s">
        <v>302</v>
      </c>
      <c r="T8" s="220" t="s">
        <v>12</v>
      </c>
      <c r="U8" s="220">
        <f t="shared" ca="1" si="4"/>
        <v>2</v>
      </c>
      <c r="V8" s="220">
        <f t="shared" ca="1" si="5"/>
        <v>0</v>
      </c>
      <c r="W8" s="3"/>
      <c r="Y8" s="1" t="s">
        <v>11</v>
      </c>
      <c r="Z8" s="2" t="s">
        <v>23</v>
      </c>
      <c r="AA8" s="3" t="s">
        <v>196</v>
      </c>
      <c r="AD8" t="s">
        <v>124</v>
      </c>
      <c r="AE8">
        <f>+Normas!C13</f>
        <v>0</v>
      </c>
      <c r="AG8" s="3"/>
      <c r="AH8" s="3"/>
    </row>
    <row r="9" spans="1:34" ht="25.15" customHeight="1" x14ac:dyDescent="0.25">
      <c r="A9" s="150" t="s">
        <v>196</v>
      </c>
      <c r="B9" s="147" t="s">
        <v>151</v>
      </c>
      <c r="C9" s="147" t="e" vm="16">
        <f t="shared" si="0"/>
        <v>#VALUE!</v>
      </c>
      <c r="D9" s="148" t="e" vm="66">
        <v>#VALUE!</v>
      </c>
      <c r="E9" s="150" t="s">
        <v>102</v>
      </c>
      <c r="F9" s="147" t="s">
        <v>109</v>
      </c>
      <c r="G9" s="147" t="e" vm="63">
        <f t="shared" si="1"/>
        <v>#VALUE!</v>
      </c>
      <c r="H9" s="148" t="e" vm="9">
        <v>#VALUE!</v>
      </c>
      <c r="I9" s="150" t="s">
        <v>137</v>
      </c>
      <c r="M9" s="220">
        <v>3</v>
      </c>
      <c r="N9" s="220">
        <v>-7</v>
      </c>
      <c r="O9" s="152">
        <v>45823.5</v>
      </c>
      <c r="P9" s="152">
        <f t="shared" si="3"/>
        <v>45823.875</v>
      </c>
      <c r="Q9" s="149" t="s">
        <v>217</v>
      </c>
      <c r="R9" s="149" t="s">
        <v>193</v>
      </c>
      <c r="S9" s="149" t="s">
        <v>304</v>
      </c>
      <c r="T9" s="220" t="s">
        <v>11</v>
      </c>
      <c r="U9" s="220">
        <f t="shared" ca="1" si="4"/>
        <v>1</v>
      </c>
      <c r="V9" s="220">
        <f t="shared" ca="1" si="5"/>
        <v>1</v>
      </c>
      <c r="W9" s="3"/>
      <c r="Y9" s="1" t="s">
        <v>11</v>
      </c>
      <c r="Z9" s="2" t="s">
        <v>24</v>
      </c>
      <c r="AA9" s="3" t="s">
        <v>261</v>
      </c>
      <c r="AD9" t="s">
        <v>125</v>
      </c>
      <c r="AE9">
        <f>+Normas!C12</f>
        <v>9</v>
      </c>
      <c r="AG9" s="3"/>
      <c r="AH9" s="3"/>
    </row>
    <row r="10" spans="1:34" ht="25.15" customHeight="1" x14ac:dyDescent="0.25">
      <c r="A10" s="149" t="s">
        <v>202</v>
      </c>
      <c r="B10" s="147" t="s">
        <v>152</v>
      </c>
      <c r="C10" s="147" t="e" vm="30">
        <f t="shared" si="0"/>
        <v>#VALUE!</v>
      </c>
      <c r="D10" s="148" t="e" vm="67">
        <v>#VALUE!</v>
      </c>
      <c r="E10" s="149" t="s">
        <v>99</v>
      </c>
      <c r="F10" s="147" t="s">
        <v>106</v>
      </c>
      <c r="G10" s="147" t="e" vm="68">
        <f t="shared" si="1"/>
        <v>#VALUE!</v>
      </c>
      <c r="H10" s="148" t="e" vm="22">
        <v>#VALUE!</v>
      </c>
      <c r="I10" s="149" t="s">
        <v>137</v>
      </c>
      <c r="M10" s="220">
        <v>5</v>
      </c>
      <c r="N10" s="220">
        <v>-7</v>
      </c>
      <c r="O10" s="152">
        <v>45823.791666666664</v>
      </c>
      <c r="P10" s="152">
        <f t="shared" si="3"/>
        <v>45824.166666666664</v>
      </c>
      <c r="Q10" s="149" t="s">
        <v>196</v>
      </c>
      <c r="R10" s="149" t="s">
        <v>261</v>
      </c>
      <c r="S10" s="149" t="s">
        <v>305</v>
      </c>
      <c r="T10" s="220" t="s">
        <v>11</v>
      </c>
      <c r="U10" s="220">
        <f t="shared" ref="U10:U50" ca="1" si="6">IF(VLOOKUP(M10,INDIRECT(T10&amp;"!B:AZ"),9,0)="","",VLOOKUP(M10,INDIRECT(T10&amp;"!B:AZ"),9,0))</f>
        <v>2</v>
      </c>
      <c r="V10" s="220">
        <f t="shared" ca="1" si="5"/>
        <v>0</v>
      </c>
      <c r="W10" s="3"/>
      <c r="Y10" s="1" t="s">
        <v>14</v>
      </c>
      <c r="Z10" s="2" t="s">
        <v>25</v>
      </c>
      <c r="AA10" s="3" t="s">
        <v>258</v>
      </c>
      <c r="AD10" t="s">
        <v>126</v>
      </c>
      <c r="AE10">
        <f>+Normas!C14</f>
        <v>15</v>
      </c>
      <c r="AG10" s="2"/>
      <c r="AH10" s="2"/>
    </row>
    <row r="11" spans="1:34" ht="25.15" customHeight="1" x14ac:dyDescent="0.25">
      <c r="A11" s="150" t="s">
        <v>198</v>
      </c>
      <c r="B11" s="147" t="s">
        <v>153</v>
      </c>
      <c r="C11" s="147" t="e" vm="23">
        <f t="shared" si="0"/>
        <v>#VALUE!</v>
      </c>
      <c r="D11" s="148" t="e" vm="69">
        <v>#VALUE!</v>
      </c>
      <c r="E11" s="150" t="s">
        <v>99</v>
      </c>
      <c r="F11" s="147" t="s">
        <v>106</v>
      </c>
      <c r="G11" s="147" t="e" vm="68">
        <f t="shared" si="1"/>
        <v>#VALUE!</v>
      </c>
      <c r="H11" s="148" t="e" vm="22">
        <v>#VALUE!</v>
      </c>
      <c r="I11" s="150" t="s">
        <v>137</v>
      </c>
      <c r="M11" s="220">
        <v>19</v>
      </c>
      <c r="N11" s="220">
        <v>-7</v>
      </c>
      <c r="O11" s="152">
        <v>45827.625</v>
      </c>
      <c r="P11" s="152">
        <f t="shared" si="3"/>
        <v>45828</v>
      </c>
      <c r="Q11" s="149" t="s">
        <v>261</v>
      </c>
      <c r="R11" s="149" t="s">
        <v>193</v>
      </c>
      <c r="S11" s="149" t="s">
        <v>305</v>
      </c>
      <c r="T11" s="220" t="s">
        <v>11</v>
      </c>
      <c r="U11" s="220">
        <f t="shared" ca="1" si="6"/>
        <v>1</v>
      </c>
      <c r="V11" s="220">
        <f t="shared" ca="1" si="5"/>
        <v>2</v>
      </c>
      <c r="W11" s="2"/>
      <c r="Y11" s="1" t="s">
        <v>14</v>
      </c>
      <c r="Z11" s="2" t="s">
        <v>26</v>
      </c>
      <c r="AA11" s="3" t="s">
        <v>218</v>
      </c>
      <c r="AD11" t="s">
        <v>127</v>
      </c>
      <c r="AE11">
        <f>+Normas!C16</f>
        <v>0</v>
      </c>
      <c r="AG11" s="3"/>
      <c r="AH11" s="3"/>
    </row>
    <row r="12" spans="1:34" ht="25.15" customHeight="1" x14ac:dyDescent="0.25">
      <c r="A12" s="150" t="s">
        <v>256</v>
      </c>
      <c r="B12" s="147" t="s">
        <v>155</v>
      </c>
      <c r="C12" s="147" t="e" vm="49">
        <f t="shared" si="0"/>
        <v>#VALUE!</v>
      </c>
      <c r="D12" s="148" t="e" vm="70">
        <v>#VALUE!</v>
      </c>
      <c r="E12" s="150" t="s">
        <v>278</v>
      </c>
      <c r="F12" s="147" t="s">
        <v>293</v>
      </c>
      <c r="G12" s="147" t="e" vm="71">
        <f t="shared" si="1"/>
        <v>#VALUE!</v>
      </c>
      <c r="H12" s="148" t="e" vm="50">
        <v>#VALUE!</v>
      </c>
      <c r="I12" s="150" t="s">
        <v>138</v>
      </c>
      <c r="M12" s="220">
        <v>20</v>
      </c>
      <c r="N12" s="220">
        <v>-7</v>
      </c>
      <c r="O12" s="152">
        <v>45827.75</v>
      </c>
      <c r="P12" s="152">
        <f t="shared" si="3"/>
        <v>45828.125</v>
      </c>
      <c r="Q12" s="149" t="s">
        <v>217</v>
      </c>
      <c r="R12" s="149" t="s">
        <v>196</v>
      </c>
      <c r="S12" s="149" t="s">
        <v>304</v>
      </c>
      <c r="T12" s="220" t="s">
        <v>11</v>
      </c>
      <c r="U12" s="220">
        <f t="shared" ca="1" si="6"/>
        <v>2</v>
      </c>
      <c r="V12" s="220">
        <f t="shared" ca="1" si="5"/>
        <v>0</v>
      </c>
      <c r="W12" s="3"/>
      <c r="Y12" s="1" t="s">
        <v>14</v>
      </c>
      <c r="Z12" s="2" t="s">
        <v>27</v>
      </c>
      <c r="AA12" s="3" t="s">
        <v>198</v>
      </c>
      <c r="AD12" t="s">
        <v>128</v>
      </c>
      <c r="AE12">
        <f>+Normas!C15</f>
        <v>9</v>
      </c>
      <c r="AG12" s="2"/>
      <c r="AH12" s="2"/>
    </row>
    <row r="13" spans="1:34" ht="25.15" customHeight="1" x14ac:dyDescent="0.25">
      <c r="A13" s="150" t="s">
        <v>203</v>
      </c>
      <c r="B13" s="147" t="s">
        <v>154</v>
      </c>
      <c r="C13" s="147" t="e" vm="31">
        <f t="shared" si="0"/>
        <v>#VALUE!</v>
      </c>
      <c r="D13" s="148" t="e" vm="72">
        <v>#VALUE!</v>
      </c>
      <c r="E13" s="150" t="s">
        <v>279</v>
      </c>
      <c r="F13" s="147" t="s">
        <v>296</v>
      </c>
      <c r="G13" s="147" t="e" vm="73">
        <f>+_xlfn.IMAGE(F13)</f>
        <v>#VALUE!</v>
      </c>
      <c r="H13" s="148" t="e" vm="32">
        <v>#VALUE!</v>
      </c>
      <c r="I13" s="150" t="s">
        <v>138</v>
      </c>
      <c r="M13" s="220">
        <v>33</v>
      </c>
      <c r="N13" s="220">
        <v>-7</v>
      </c>
      <c r="O13" s="152">
        <v>45831.5</v>
      </c>
      <c r="P13" s="152">
        <f t="shared" si="3"/>
        <v>45831.875</v>
      </c>
      <c r="Q13" s="149" t="s">
        <v>261</v>
      </c>
      <c r="R13" s="149" t="s">
        <v>217</v>
      </c>
      <c r="S13" s="149" t="s">
        <v>305</v>
      </c>
      <c r="T13" s="220" t="s">
        <v>11</v>
      </c>
      <c r="U13" s="220">
        <f t="shared" ca="1" si="6"/>
        <v>0</v>
      </c>
      <c r="V13" s="220">
        <f t="shared" ca="1" si="5"/>
        <v>4</v>
      </c>
      <c r="W13" s="2"/>
      <c r="Y13" s="1" t="s">
        <v>14</v>
      </c>
      <c r="Z13" s="2" t="s">
        <v>28</v>
      </c>
      <c r="AA13" s="3" t="s">
        <v>199</v>
      </c>
      <c r="AD13" t="s">
        <v>129</v>
      </c>
      <c r="AE13">
        <f>+Normas!C17</f>
        <v>15</v>
      </c>
      <c r="AG13" s="2"/>
      <c r="AH13" s="2"/>
    </row>
    <row r="14" spans="1:34" ht="25.15" customHeight="1" x14ac:dyDescent="0.25">
      <c r="A14" s="150" t="s">
        <v>257</v>
      </c>
      <c r="B14" s="147" t="s">
        <v>156</v>
      </c>
      <c r="C14" s="147" t="e" vm="46">
        <f t="shared" si="0"/>
        <v>#VALUE!</v>
      </c>
      <c r="D14" s="148" t="e" vm="74">
        <v>#VALUE!</v>
      </c>
      <c r="E14" s="150" t="s">
        <v>280</v>
      </c>
      <c r="F14" s="147" t="s">
        <v>297</v>
      </c>
      <c r="G14" s="147" t="e" vm="75">
        <f t="shared" si="1"/>
        <v>#VALUE!</v>
      </c>
      <c r="H14" s="148" t="e" vm="45">
        <v>#VALUE!</v>
      </c>
      <c r="I14" s="150" t="s">
        <v>138</v>
      </c>
      <c r="M14" s="220">
        <v>34</v>
      </c>
      <c r="N14" s="220">
        <v>-7</v>
      </c>
      <c r="O14" s="152">
        <v>45831.5</v>
      </c>
      <c r="P14" s="152">
        <f t="shared" si="3"/>
        <v>45831.875</v>
      </c>
      <c r="Q14" s="149" t="s">
        <v>193</v>
      </c>
      <c r="R14" s="149" t="s">
        <v>196</v>
      </c>
      <c r="S14" s="149" t="s">
        <v>304</v>
      </c>
      <c r="T14" s="220" t="s">
        <v>11</v>
      </c>
      <c r="U14" s="220">
        <f t="shared" ca="1" si="6"/>
        <v>1</v>
      </c>
      <c r="V14" s="220">
        <f t="shared" ca="1" si="5"/>
        <v>0</v>
      </c>
      <c r="W14" s="2"/>
      <c r="Y14" s="1" t="s">
        <v>16</v>
      </c>
      <c r="Z14" s="2" t="s">
        <v>29</v>
      </c>
      <c r="AA14" s="3" t="s">
        <v>200</v>
      </c>
      <c r="AD14" t="s">
        <v>130</v>
      </c>
      <c r="AE14">
        <f>+Normas!C19</f>
        <v>0</v>
      </c>
      <c r="AG14" s="2"/>
      <c r="AH14" s="2"/>
    </row>
    <row r="15" spans="1:34" ht="25.15" customHeight="1" x14ac:dyDescent="0.25">
      <c r="A15" s="150" t="s">
        <v>221</v>
      </c>
      <c r="B15" s="147" t="s">
        <v>157</v>
      </c>
      <c r="C15" s="147" t="e" vm="39">
        <f t="shared" si="0"/>
        <v>#VALUE!</v>
      </c>
      <c r="D15" s="148" t="e" vm="76">
        <v>#VALUE!</v>
      </c>
      <c r="E15" s="150" t="s">
        <v>281</v>
      </c>
      <c r="F15" s="147" t="s">
        <v>294</v>
      </c>
      <c r="G15" s="147" t="e" vm="77">
        <f t="shared" si="1"/>
        <v>#VALUE!</v>
      </c>
      <c r="H15" s="148" t="e" vm="38">
        <v>#VALUE!</v>
      </c>
      <c r="I15" s="150" t="s">
        <v>138</v>
      </c>
      <c r="M15" s="220">
        <v>2</v>
      </c>
      <c r="N15" s="220">
        <v>-4</v>
      </c>
      <c r="O15" s="152">
        <v>45823.5</v>
      </c>
      <c r="P15" s="152">
        <f t="shared" si="3"/>
        <v>45823.75</v>
      </c>
      <c r="Q15" s="149" t="s">
        <v>258</v>
      </c>
      <c r="R15" s="149" t="s">
        <v>218</v>
      </c>
      <c r="S15" s="149" t="s">
        <v>306</v>
      </c>
      <c r="T15" s="220" t="s">
        <v>14</v>
      </c>
      <c r="U15" s="220">
        <f ca="1">IF(VLOOKUP(M15,INDIRECT(T15&amp;"!B:AZ"),9,0)="","",VLOOKUP(M15,INDIRECT(T15&amp;"!B:AZ"),9,0))</f>
        <v>5</v>
      </c>
      <c r="V15" s="220">
        <f t="shared" ca="1" si="5"/>
        <v>0</v>
      </c>
      <c r="W15" s="2"/>
      <c r="Y15" s="1" t="s">
        <v>16</v>
      </c>
      <c r="Z15" s="2" t="s">
        <v>30</v>
      </c>
      <c r="AA15" s="3" t="s">
        <v>219</v>
      </c>
      <c r="AD15" t="s">
        <v>131</v>
      </c>
      <c r="AE15">
        <f>+Normas!C18</f>
        <v>9</v>
      </c>
      <c r="AG15" s="2"/>
      <c r="AH15" s="2"/>
    </row>
    <row r="16" spans="1:34" ht="25.15" customHeight="1" x14ac:dyDescent="0.25">
      <c r="A16" s="150" t="s">
        <v>197</v>
      </c>
      <c r="B16" s="147" t="s">
        <v>158</v>
      </c>
      <c r="C16" s="147" t="e" vm="26">
        <f t="shared" si="0"/>
        <v>#VALUE!</v>
      </c>
      <c r="D16" s="148" t="e" vm="78">
        <v>#VALUE!</v>
      </c>
      <c r="E16" s="150" t="s">
        <v>282</v>
      </c>
      <c r="F16" s="147" t="s">
        <v>271</v>
      </c>
      <c r="G16" s="147" t="e" vm="79">
        <f t="shared" si="1"/>
        <v>#VALUE!</v>
      </c>
      <c r="H16" s="148" t="e" vm="25">
        <v>#VALUE!</v>
      </c>
      <c r="I16" s="150" t="s">
        <v>139</v>
      </c>
      <c r="M16" s="220">
        <v>7</v>
      </c>
      <c r="N16" s="220">
        <v>-4</v>
      </c>
      <c r="O16" s="152">
        <v>45824.75</v>
      </c>
      <c r="P16" s="152">
        <f t="shared" si="3"/>
        <v>45825</v>
      </c>
      <c r="Q16" s="149" t="s">
        <v>198</v>
      </c>
      <c r="R16" s="149" t="s">
        <v>199</v>
      </c>
      <c r="S16" s="149" t="s">
        <v>301</v>
      </c>
      <c r="T16" s="220" t="s">
        <v>14</v>
      </c>
      <c r="U16" s="220">
        <f t="shared" ca="1" si="6"/>
        <v>1</v>
      </c>
      <c r="V16" s="220">
        <f t="shared" ca="1" si="5"/>
        <v>1</v>
      </c>
      <c r="W16" s="2"/>
      <c r="Y16" s="1" t="s">
        <v>16</v>
      </c>
      <c r="Z16" s="2" t="s">
        <v>31</v>
      </c>
      <c r="AA16" s="3" t="s">
        <v>197</v>
      </c>
      <c r="AD16" t="s">
        <v>132</v>
      </c>
      <c r="AE16">
        <f>+Normas!C20</f>
        <v>15</v>
      </c>
      <c r="AG16" s="2"/>
      <c r="AH16" s="2"/>
    </row>
    <row r="17" spans="1:34" ht="25.15" customHeight="1" x14ac:dyDescent="0.25">
      <c r="A17" s="150" t="s">
        <v>223</v>
      </c>
      <c r="B17" s="147" t="s">
        <v>159</v>
      </c>
      <c r="C17" s="147" t="e" vm="48">
        <f t="shared" si="0"/>
        <v>#VALUE!</v>
      </c>
      <c r="D17" s="148" t="e" vm="80">
        <v>#VALUE!</v>
      </c>
      <c r="E17" s="150" t="s">
        <v>283</v>
      </c>
      <c r="F17" s="147" t="s">
        <v>270</v>
      </c>
      <c r="G17" s="147" t="e" vm="81">
        <f t="shared" si="1"/>
        <v>#VALUE!</v>
      </c>
      <c r="H17" s="148" t="e" vm="15">
        <v>#VALUE!</v>
      </c>
      <c r="I17" s="150" t="s">
        <v>139</v>
      </c>
      <c r="M17" s="220">
        <v>21</v>
      </c>
      <c r="N17" s="220">
        <v>-4</v>
      </c>
      <c r="O17" s="152">
        <v>45828.5</v>
      </c>
      <c r="P17" s="152">
        <f t="shared" si="3"/>
        <v>45828.75</v>
      </c>
      <c r="Q17" s="149" t="s">
        <v>199</v>
      </c>
      <c r="R17" s="149" t="s">
        <v>218</v>
      </c>
      <c r="S17" s="149" t="s">
        <v>307</v>
      </c>
      <c r="T17" s="220" t="s">
        <v>14</v>
      </c>
      <c r="U17" s="220">
        <f t="shared" ca="1" si="6"/>
        <v>1</v>
      </c>
      <c r="V17" s="220">
        <f t="shared" ca="1" si="5"/>
        <v>0</v>
      </c>
      <c r="W17" s="2"/>
      <c r="Y17" s="1" t="s">
        <v>16</v>
      </c>
      <c r="Z17" s="2" t="s">
        <v>32</v>
      </c>
      <c r="AA17" s="3" t="str">
        <f>+L3</f>
        <v>Los Angeles</v>
      </c>
      <c r="AD17" t="s">
        <v>113</v>
      </c>
      <c r="AE17">
        <f>+Normas!C21</f>
        <v>15</v>
      </c>
      <c r="AG17" s="2"/>
      <c r="AH17" s="2"/>
    </row>
    <row r="18" spans="1:34" ht="25.15" customHeight="1" x14ac:dyDescent="0.25">
      <c r="A18" s="150" t="s">
        <v>206</v>
      </c>
      <c r="B18" s="147" t="s">
        <v>160</v>
      </c>
      <c r="C18" s="147" t="e" vm="42">
        <f t="shared" si="0"/>
        <v>#VALUE!</v>
      </c>
      <c r="D18" s="148" t="e" vm="82">
        <v>#VALUE!</v>
      </c>
      <c r="E18" s="150" t="s">
        <v>282</v>
      </c>
      <c r="F18" s="147" t="s">
        <v>271</v>
      </c>
      <c r="G18" s="147" t="e" vm="79">
        <f t="shared" si="1"/>
        <v>#VALUE!</v>
      </c>
      <c r="H18" s="148" t="e" vm="25">
        <v>#VALUE!</v>
      </c>
      <c r="I18" s="150" t="s">
        <v>139</v>
      </c>
      <c r="M18" s="220">
        <v>24</v>
      </c>
      <c r="N18" s="220">
        <v>-4</v>
      </c>
      <c r="O18" s="152">
        <v>45828.875</v>
      </c>
      <c r="P18" s="152">
        <f t="shared" si="3"/>
        <v>45829.125</v>
      </c>
      <c r="Q18" s="149" t="s">
        <v>258</v>
      </c>
      <c r="R18" s="149" t="s">
        <v>198</v>
      </c>
      <c r="S18" s="149" t="s">
        <v>301</v>
      </c>
      <c r="T18" s="220" t="s">
        <v>14</v>
      </c>
      <c r="U18" s="220">
        <f t="shared" ca="1" si="6"/>
        <v>4</v>
      </c>
      <c r="V18" s="220">
        <f t="shared" ca="1" si="5"/>
        <v>0</v>
      </c>
      <c r="W18" s="2"/>
      <c r="Y18" s="1" t="s">
        <v>175</v>
      </c>
      <c r="Z18" s="2" t="s">
        <v>177</v>
      </c>
      <c r="AA18" s="3" t="s">
        <v>202</v>
      </c>
      <c r="AD18" t="s">
        <v>320</v>
      </c>
      <c r="AE18">
        <f>+Normas!C22</f>
        <v>20</v>
      </c>
      <c r="AG18" s="2"/>
      <c r="AH18" s="2"/>
    </row>
    <row r="19" spans="1:34" ht="25.15" customHeight="1" x14ac:dyDescent="0.25">
      <c r="A19" s="150" t="s">
        <v>258</v>
      </c>
      <c r="B19" s="147" t="s">
        <v>161</v>
      </c>
      <c r="C19" s="147" t="e" vm="19">
        <f t="shared" si="0"/>
        <v>#VALUE!</v>
      </c>
      <c r="D19" s="148" t="e" vm="83">
        <v>#VALUE!</v>
      </c>
      <c r="E19" s="150" t="s">
        <v>284</v>
      </c>
      <c r="F19" s="147" t="s">
        <v>268</v>
      </c>
      <c r="G19" s="147" t="e" vm="84">
        <f t="shared" si="1"/>
        <v>#VALUE!</v>
      </c>
      <c r="H19" s="148" t="e" vm="18">
        <v>#VALUE!</v>
      </c>
      <c r="I19" s="150" t="s">
        <v>139</v>
      </c>
      <c r="M19" s="220">
        <v>37</v>
      </c>
      <c r="N19" s="220">
        <v>-5</v>
      </c>
      <c r="O19" s="152">
        <v>45832.583333333336</v>
      </c>
      <c r="P19" s="152">
        <f t="shared" si="3"/>
        <v>45832.875000000007</v>
      </c>
      <c r="Q19" s="149" t="s">
        <v>218</v>
      </c>
      <c r="R19" s="149" t="s">
        <v>198</v>
      </c>
      <c r="S19" s="149" t="s">
        <v>308</v>
      </c>
      <c r="T19" s="220" t="s">
        <v>14</v>
      </c>
      <c r="U19" s="220">
        <f t="shared" ca="1" si="6"/>
        <v>0</v>
      </c>
      <c r="V19" s="220">
        <f t="shared" ca="1" si="5"/>
        <v>2</v>
      </c>
      <c r="W19" s="2"/>
      <c r="Y19" s="1" t="s">
        <v>175</v>
      </c>
      <c r="Z19" s="2" t="s">
        <v>178</v>
      </c>
      <c r="AA19" s="3" t="s">
        <v>203</v>
      </c>
      <c r="AD19" t="s">
        <v>114</v>
      </c>
      <c r="AE19">
        <f>+Normas!C23</f>
        <v>25</v>
      </c>
      <c r="AG19" s="2"/>
      <c r="AH19" s="2"/>
    </row>
    <row r="20" spans="1:34" ht="25.15" customHeight="1" x14ac:dyDescent="0.25">
      <c r="A20" s="150" t="s">
        <v>217</v>
      </c>
      <c r="B20" s="147" t="s">
        <v>162</v>
      </c>
      <c r="C20" s="147" t="e" vm="13">
        <f t="shared" si="0"/>
        <v>#VALUE!</v>
      </c>
      <c r="D20" s="148" t="e" vm="85">
        <v>#VALUE!</v>
      </c>
      <c r="E20" s="150" t="s">
        <v>285</v>
      </c>
      <c r="F20" s="147" t="s">
        <v>295</v>
      </c>
      <c r="G20" s="147" t="e" vm="86">
        <f t="shared" si="1"/>
        <v>#VALUE!</v>
      </c>
      <c r="H20" s="148" t="e" vm="12">
        <v>#VALUE!</v>
      </c>
      <c r="I20" s="150" t="s">
        <v>139</v>
      </c>
      <c r="M20" s="220">
        <v>38</v>
      </c>
      <c r="N20" s="220">
        <v>-4</v>
      </c>
      <c r="O20" s="152">
        <v>45832.625</v>
      </c>
      <c r="P20" s="152">
        <f t="shared" si="3"/>
        <v>45832.875</v>
      </c>
      <c r="Q20" s="149" t="s">
        <v>199</v>
      </c>
      <c r="R20" s="149" t="s">
        <v>258</v>
      </c>
      <c r="S20" s="149" t="s">
        <v>309</v>
      </c>
      <c r="T20" s="220" t="s">
        <v>14</v>
      </c>
      <c r="U20" s="220">
        <f t="shared" ca="1" si="6"/>
        <v>1</v>
      </c>
      <c r="V20" s="220">
        <f t="shared" ca="1" si="5"/>
        <v>4</v>
      </c>
      <c r="W20" s="2"/>
      <c r="Y20" s="1" t="s">
        <v>175</v>
      </c>
      <c r="Z20" s="2" t="s">
        <v>179</v>
      </c>
      <c r="AA20" s="3" t="s">
        <v>205</v>
      </c>
      <c r="AD20" t="s">
        <v>115</v>
      </c>
      <c r="AE20">
        <f>+Normas!C24</f>
        <v>30</v>
      </c>
      <c r="AG20" s="2"/>
      <c r="AH20" s="2"/>
    </row>
    <row r="21" spans="1:34" ht="25.15" customHeight="1" x14ac:dyDescent="0.25">
      <c r="A21" s="150" t="s">
        <v>201</v>
      </c>
      <c r="B21" s="147" t="s">
        <v>163</v>
      </c>
      <c r="C21" s="147" t="e" vm="37">
        <f t="shared" si="0"/>
        <v>#VALUE!</v>
      </c>
      <c r="D21" s="148" t="e" vm="87">
        <v>#VALUE!</v>
      </c>
      <c r="E21" s="150" t="s">
        <v>284</v>
      </c>
      <c r="F21" s="147" t="s">
        <v>268</v>
      </c>
      <c r="G21" s="147" t="e" vm="84">
        <f t="shared" si="1"/>
        <v>#VALUE!</v>
      </c>
      <c r="H21" s="148" t="e" vm="18">
        <v>#VALUE!</v>
      </c>
      <c r="I21" s="150" t="s">
        <v>139</v>
      </c>
      <c r="M21" s="220">
        <v>6</v>
      </c>
      <c r="N21" s="220">
        <v>-4</v>
      </c>
      <c r="O21" s="152">
        <v>45824.625</v>
      </c>
      <c r="P21" s="152">
        <f t="shared" si="3"/>
        <v>45824.875</v>
      </c>
      <c r="Q21" s="149" t="s">
        <v>197</v>
      </c>
      <c r="R21" s="149" t="str">
        <f>+L3</f>
        <v>Los Angeles</v>
      </c>
      <c r="S21" s="149" t="s">
        <v>303</v>
      </c>
      <c r="T21" s="220" t="s">
        <v>16</v>
      </c>
      <c r="U21" s="220">
        <f t="shared" ca="1" si="6"/>
        <v>2</v>
      </c>
      <c r="V21" s="220">
        <f t="shared" ca="1" si="5"/>
        <v>1</v>
      </c>
      <c r="W21" s="2"/>
      <c r="Y21" s="1" t="s">
        <v>175</v>
      </c>
      <c r="Z21" s="2" t="s">
        <v>180</v>
      </c>
      <c r="AA21" s="3" t="s">
        <v>259</v>
      </c>
      <c r="AD21" t="s">
        <v>116</v>
      </c>
      <c r="AE21">
        <f>+Normas!C25</f>
        <v>35</v>
      </c>
      <c r="AG21" s="2"/>
      <c r="AH21" s="2"/>
    </row>
    <row r="22" spans="1:34" ht="25.15" customHeight="1" x14ac:dyDescent="0.25">
      <c r="A22" s="150" t="s">
        <v>259</v>
      </c>
      <c r="B22" s="147" t="s">
        <v>164</v>
      </c>
      <c r="C22" s="147" t="e" vm="34">
        <f t="shared" si="0"/>
        <v>#VALUE!</v>
      </c>
      <c r="D22" s="148" t="e" vm="88">
        <v>#VALUE!</v>
      </c>
      <c r="E22" s="150" t="s">
        <v>286</v>
      </c>
      <c r="F22" s="147" t="s">
        <v>272</v>
      </c>
      <c r="G22" s="147" t="e" vm="89">
        <f t="shared" si="1"/>
        <v>#VALUE!</v>
      </c>
      <c r="H22" s="148" t="e" vm="35">
        <v>#VALUE!</v>
      </c>
      <c r="I22" s="150" t="s">
        <v>139</v>
      </c>
      <c r="M22" s="220">
        <v>8</v>
      </c>
      <c r="N22" s="220">
        <v>-4</v>
      </c>
      <c r="O22" s="152">
        <v>45824.875</v>
      </c>
      <c r="P22" s="152">
        <f t="shared" si="3"/>
        <v>45825.125</v>
      </c>
      <c r="Q22" s="149" t="s">
        <v>200</v>
      </c>
      <c r="R22" s="149" t="s">
        <v>219</v>
      </c>
      <c r="S22" s="149" t="s">
        <v>310</v>
      </c>
      <c r="T22" s="220" t="s">
        <v>16</v>
      </c>
      <c r="U22" s="220">
        <f t="shared" ca="1" si="6"/>
        <v>3</v>
      </c>
      <c r="V22" s="220">
        <f t="shared" ca="1" si="5"/>
        <v>0</v>
      </c>
      <c r="W22" s="2"/>
      <c r="Y22" s="1" t="s">
        <v>15</v>
      </c>
      <c r="Z22" s="2" t="s">
        <v>181</v>
      </c>
      <c r="AA22" s="3" t="s">
        <v>220</v>
      </c>
      <c r="AD22" t="s">
        <v>87</v>
      </c>
      <c r="AE22">
        <f>+Normas!C26</f>
        <v>50</v>
      </c>
      <c r="AG22" s="2"/>
      <c r="AH22" s="2"/>
    </row>
    <row r="23" spans="1:34" ht="25.15" customHeight="1" x14ac:dyDescent="0.25">
      <c r="A23" s="150" t="s">
        <v>195</v>
      </c>
      <c r="B23" s="147" t="s">
        <v>165</v>
      </c>
      <c r="C23" s="147" t="e" vm="10">
        <f t="shared" si="0"/>
        <v>#VALUE!</v>
      </c>
      <c r="D23" s="148" t="e" vm="90">
        <v>#VALUE!</v>
      </c>
      <c r="E23" s="150" t="s">
        <v>266</v>
      </c>
      <c r="F23" s="147" t="s">
        <v>273</v>
      </c>
      <c r="G23" s="147" t="e" vm="91">
        <f t="shared" si="1"/>
        <v>#VALUE!</v>
      </c>
      <c r="H23" s="148" t="e" vm="11">
        <v>#VALUE!</v>
      </c>
      <c r="I23" s="150" t="s">
        <v>139</v>
      </c>
      <c r="M23" s="220">
        <v>22</v>
      </c>
      <c r="N23" s="220">
        <v>-4</v>
      </c>
      <c r="O23" s="152">
        <v>45828.583333333336</v>
      </c>
      <c r="P23" s="152">
        <f t="shared" si="3"/>
        <v>45828.833333333336</v>
      </c>
      <c r="Q23" s="149" t="s">
        <v>200</v>
      </c>
      <c r="R23" s="149" t="s">
        <v>197</v>
      </c>
      <c r="S23" s="149" t="s">
        <v>310</v>
      </c>
      <c r="T23" s="220" t="s">
        <v>16</v>
      </c>
      <c r="U23" s="220">
        <f t="shared" ca="1" si="6"/>
        <v>1</v>
      </c>
      <c r="V23" s="220">
        <f t="shared" ca="1" si="5"/>
        <v>2</v>
      </c>
      <c r="W23" s="2"/>
      <c r="Y23" s="1" t="s">
        <v>15</v>
      </c>
      <c r="Z23" s="2" t="s">
        <v>182</v>
      </c>
      <c r="AA23" s="3" t="s">
        <v>201</v>
      </c>
      <c r="AG23" s="2"/>
      <c r="AH23" s="2"/>
    </row>
    <row r="24" spans="1:34" ht="25.15" customHeight="1" x14ac:dyDescent="0.25">
      <c r="A24" s="150" t="s">
        <v>193</v>
      </c>
      <c r="B24" s="147" t="s">
        <v>166</v>
      </c>
      <c r="C24" s="147" t="e" vm="14">
        <f t="shared" si="0"/>
        <v>#VALUE!</v>
      </c>
      <c r="D24" s="148" t="e" vm="92">
        <v>#VALUE!</v>
      </c>
      <c r="E24" s="150" t="s">
        <v>283</v>
      </c>
      <c r="F24" s="147" t="s">
        <v>270</v>
      </c>
      <c r="G24" s="147" t="e" vm="81">
        <f t="shared" si="1"/>
        <v>#VALUE!</v>
      </c>
      <c r="H24" s="148" t="e" vm="15">
        <v>#VALUE!</v>
      </c>
      <c r="I24" s="150" t="s">
        <v>139</v>
      </c>
      <c r="M24" s="220">
        <v>23</v>
      </c>
      <c r="N24" s="220">
        <v>-5</v>
      </c>
      <c r="O24" s="152">
        <v>45828.708333333336</v>
      </c>
      <c r="P24" s="152">
        <f t="shared" si="3"/>
        <v>45829.000000000007</v>
      </c>
      <c r="Q24" s="149" t="str">
        <f>+L3</f>
        <v>Los Angeles</v>
      </c>
      <c r="R24" s="149" t="s">
        <v>219</v>
      </c>
      <c r="S24" s="149" t="s">
        <v>308</v>
      </c>
      <c r="T24" s="220" t="s">
        <v>16</v>
      </c>
      <c r="U24" s="220">
        <f t="shared" ca="1" si="6"/>
        <v>2</v>
      </c>
      <c r="V24" s="220">
        <f t="shared" ca="1" si="5"/>
        <v>1</v>
      </c>
      <c r="W24" s="2"/>
      <c r="Y24" s="1" t="s">
        <v>15</v>
      </c>
      <c r="Z24" s="2" t="s">
        <v>183</v>
      </c>
      <c r="AA24" s="3" t="s">
        <v>221</v>
      </c>
      <c r="AG24" s="2"/>
      <c r="AH24" s="2"/>
    </row>
    <row r="25" spans="1:34" ht="25.15" customHeight="1" x14ac:dyDescent="0.25">
      <c r="A25" s="150" t="s">
        <v>199</v>
      </c>
      <c r="B25" s="147" t="s">
        <v>167</v>
      </c>
      <c r="C25" s="147" t="e" vm="24">
        <f t="shared" si="0"/>
        <v>#VALUE!</v>
      </c>
      <c r="D25" s="148" t="e" vm="93">
        <v>#VALUE!</v>
      </c>
      <c r="E25" s="150" t="s">
        <v>266</v>
      </c>
      <c r="F25" s="147" t="s">
        <v>273</v>
      </c>
      <c r="G25" s="147" t="e" vm="91">
        <f t="shared" si="1"/>
        <v>#VALUE!</v>
      </c>
      <c r="H25" s="148" t="e" vm="11">
        <v>#VALUE!</v>
      </c>
      <c r="I25" s="150" t="s">
        <v>139</v>
      </c>
      <c r="M25" s="220">
        <v>39</v>
      </c>
      <c r="N25" s="220">
        <v>-4</v>
      </c>
      <c r="O25" s="152">
        <v>45832.875</v>
      </c>
      <c r="P25" s="152">
        <f t="shared" si="3"/>
        <v>45833.125</v>
      </c>
      <c r="Q25" s="149" t="str">
        <f>+L3</f>
        <v>Los Angeles</v>
      </c>
      <c r="R25" s="149" t="s">
        <v>200</v>
      </c>
      <c r="S25" s="149" t="s">
        <v>311</v>
      </c>
      <c r="T25" s="220" t="s">
        <v>16</v>
      </c>
      <c r="U25" s="220">
        <f t="shared" ca="1" si="6"/>
        <v>1</v>
      </c>
      <c r="V25" s="220">
        <f t="shared" ca="1" si="5"/>
        <v>2</v>
      </c>
      <c r="W25" s="2"/>
      <c r="Y25" s="1" t="s">
        <v>15</v>
      </c>
      <c r="Z25" s="2" t="s">
        <v>184</v>
      </c>
      <c r="AA25" s="3" t="s">
        <v>204</v>
      </c>
      <c r="AG25" s="2"/>
      <c r="AH25" s="2"/>
    </row>
    <row r="26" spans="1:34" ht="25.15" customHeight="1" x14ac:dyDescent="0.25">
      <c r="A26" s="150" t="s">
        <v>222</v>
      </c>
      <c r="B26" s="147" t="s">
        <v>168</v>
      </c>
      <c r="C26" s="147" t="e" vm="47">
        <f t="shared" si="0"/>
        <v>#VALUE!</v>
      </c>
      <c r="D26" s="148" t="e" vm="94">
        <v>#VALUE!</v>
      </c>
      <c r="E26" s="150" t="s">
        <v>286</v>
      </c>
      <c r="F26" s="147" t="s">
        <v>272</v>
      </c>
      <c r="G26" s="147" t="e" vm="89">
        <f t="shared" si="1"/>
        <v>#VALUE!</v>
      </c>
      <c r="H26" s="148" t="e" vm="35">
        <v>#VALUE!</v>
      </c>
      <c r="I26" s="150" t="s">
        <v>139</v>
      </c>
      <c r="M26" s="220">
        <v>40</v>
      </c>
      <c r="N26" s="220">
        <v>-4</v>
      </c>
      <c r="O26" s="152">
        <v>45832.875</v>
      </c>
      <c r="P26" s="152">
        <f t="shared" si="3"/>
        <v>45833.125</v>
      </c>
      <c r="Q26" s="149" t="s">
        <v>219</v>
      </c>
      <c r="R26" s="149" t="s">
        <v>197</v>
      </c>
      <c r="S26" s="149" t="s">
        <v>310</v>
      </c>
      <c r="T26" s="220" t="s">
        <v>16</v>
      </c>
      <c r="U26" s="220">
        <f t="shared" ca="1" si="6"/>
        <v>0</v>
      </c>
      <c r="V26" s="220">
        <f t="shared" ca="1" si="5"/>
        <v>3</v>
      </c>
      <c r="W26" s="2"/>
      <c r="Y26" s="1" t="s">
        <v>112</v>
      </c>
      <c r="Z26" s="2" t="s">
        <v>185</v>
      </c>
      <c r="AA26" s="3" t="s">
        <v>206</v>
      </c>
      <c r="AG26" s="2"/>
      <c r="AH26" s="2"/>
    </row>
    <row r="27" spans="1:34" ht="25.15" customHeight="1" x14ac:dyDescent="0.25">
      <c r="A27" s="150" t="s">
        <v>260</v>
      </c>
      <c r="B27" s="147" t="s">
        <v>174</v>
      </c>
      <c r="C27" s="147" t="e" vm="52">
        <f t="shared" si="0"/>
        <v>#VALUE!</v>
      </c>
      <c r="D27" s="148" t="e" vm="95">
        <v>#VALUE!</v>
      </c>
      <c r="E27" s="150" t="s">
        <v>267</v>
      </c>
      <c r="F27" s="147" t="s">
        <v>269</v>
      </c>
      <c r="G27" s="147" t="e" vm="96">
        <f t="shared" si="1"/>
        <v>#VALUE!</v>
      </c>
      <c r="H27" s="148" t="e" vm="53">
        <v>#VALUE!</v>
      </c>
      <c r="I27" s="150" t="s">
        <v>139</v>
      </c>
      <c r="M27" s="220">
        <v>10</v>
      </c>
      <c r="N27" s="220">
        <v>-7</v>
      </c>
      <c r="O27" s="152">
        <v>45825.5</v>
      </c>
      <c r="P27" s="152">
        <f t="shared" si="3"/>
        <v>45825.875</v>
      </c>
      <c r="Q27" s="149" t="s">
        <v>202</v>
      </c>
      <c r="R27" s="149" t="s">
        <v>203</v>
      </c>
      <c r="S27" s="149" t="s">
        <v>305</v>
      </c>
      <c r="T27" s="220" t="s">
        <v>175</v>
      </c>
      <c r="U27" s="220">
        <f t="shared" ca="1" si="6"/>
        <v>3</v>
      </c>
      <c r="V27" s="220">
        <f t="shared" ca="1" si="5"/>
        <v>0</v>
      </c>
      <c r="W27" s="2"/>
      <c r="Y27" s="1" t="s">
        <v>112</v>
      </c>
      <c r="Z27" s="2" t="s">
        <v>186</v>
      </c>
      <c r="AA27" s="3" t="s">
        <v>255</v>
      </c>
      <c r="AG27" s="2"/>
      <c r="AH27" s="2"/>
    </row>
    <row r="28" spans="1:34" ht="25.15" customHeight="1" x14ac:dyDescent="0.25">
      <c r="A28" s="150" t="s">
        <v>205</v>
      </c>
      <c r="B28" s="147" t="s">
        <v>169</v>
      </c>
      <c r="C28" s="147" t="e" vm="33">
        <f t="shared" si="0"/>
        <v>#VALUE!</v>
      </c>
      <c r="D28" s="148" t="e" vm="97">
        <v>#VALUE!</v>
      </c>
      <c r="E28" s="150" t="s">
        <v>100</v>
      </c>
      <c r="F28" s="147" t="s">
        <v>107</v>
      </c>
      <c r="G28" s="147" t="e" vm="98">
        <f t="shared" si="1"/>
        <v>#VALUE!</v>
      </c>
      <c r="H28" s="148" t="e" vm="4">
        <v>#VALUE!</v>
      </c>
      <c r="I28" s="150" t="s">
        <v>140</v>
      </c>
      <c r="M28" s="220">
        <v>12</v>
      </c>
      <c r="N28" s="220">
        <v>-7</v>
      </c>
      <c r="O28" s="152">
        <v>45825.75</v>
      </c>
      <c r="P28" s="152">
        <f t="shared" si="3"/>
        <v>45826.125</v>
      </c>
      <c r="Q28" s="149" t="s">
        <v>205</v>
      </c>
      <c r="R28" s="149" t="s">
        <v>259</v>
      </c>
      <c r="S28" s="149" t="s">
        <v>304</v>
      </c>
      <c r="T28" s="220" t="s">
        <v>175</v>
      </c>
      <c r="U28" s="220">
        <f t="shared" ca="1" si="6"/>
        <v>1</v>
      </c>
      <c r="V28" s="220">
        <f t="shared" ca="1" si="5"/>
        <v>1</v>
      </c>
      <c r="W28" s="2"/>
      <c r="Y28" s="1" t="s">
        <v>112</v>
      </c>
      <c r="Z28" s="2" t="s">
        <v>187</v>
      </c>
      <c r="AA28" s="3" t="s">
        <v>257</v>
      </c>
      <c r="AG28" s="2"/>
      <c r="AH28" s="2"/>
    </row>
    <row r="29" spans="1:34" ht="25.15" customHeight="1" x14ac:dyDescent="0.25">
      <c r="A29" s="150" t="s">
        <v>261</v>
      </c>
      <c r="B29" s="147" t="s">
        <v>173</v>
      </c>
      <c r="C29" s="147" t="e" vm="17">
        <f>+_xlfn.IMAGE(B29)</f>
        <v>#VALUE!</v>
      </c>
      <c r="D29" s="148" t="e" vm="99">
        <v>#VALUE!</v>
      </c>
      <c r="E29" s="150" t="s">
        <v>101</v>
      </c>
      <c r="F29" s="147" t="s">
        <v>108</v>
      </c>
      <c r="G29" s="147" t="e" vm="100">
        <f>+_xlfn.IMAGE(F29)</f>
        <v>#VALUE!</v>
      </c>
      <c r="H29" s="148" t="e" vm="1">
        <v>#VALUE!</v>
      </c>
      <c r="I29" s="150" t="s">
        <v>140</v>
      </c>
      <c r="M29" s="220">
        <v>26</v>
      </c>
      <c r="N29" s="220">
        <v>-7</v>
      </c>
      <c r="O29" s="152">
        <v>45829.5</v>
      </c>
      <c r="P29" s="152">
        <f t="shared" si="3"/>
        <v>45829.875</v>
      </c>
      <c r="Q29" s="149" t="s">
        <v>259</v>
      </c>
      <c r="R29" s="149" t="s">
        <v>203</v>
      </c>
      <c r="S29" s="149" t="s">
        <v>305</v>
      </c>
      <c r="T29" s="220" t="s">
        <v>175</v>
      </c>
      <c r="U29" s="220">
        <f t="shared" ca="1" si="6"/>
        <v>2</v>
      </c>
      <c r="V29" s="220">
        <f t="shared" ca="1" si="5"/>
        <v>0</v>
      </c>
      <c r="W29" s="2"/>
      <c r="Y29" s="1" t="s">
        <v>112</v>
      </c>
      <c r="Z29" s="2" t="s">
        <v>188</v>
      </c>
      <c r="AA29" s="3" t="s">
        <v>222</v>
      </c>
      <c r="AG29" s="2"/>
      <c r="AH29" s="2"/>
    </row>
    <row r="30" spans="1:34" ht="25.15" customHeight="1" x14ac:dyDescent="0.25">
      <c r="A30" s="150" t="s">
        <v>207</v>
      </c>
      <c r="B30" s="147" t="s">
        <v>170</v>
      </c>
      <c r="C30" s="147" t="e" vm="51">
        <f t="shared" si="0"/>
        <v>#VALUE!</v>
      </c>
      <c r="D30" s="148" t="e" vm="101">
        <v>#VALUE!</v>
      </c>
      <c r="E30" s="150" t="s">
        <v>100</v>
      </c>
      <c r="F30" s="147" t="s">
        <v>107</v>
      </c>
      <c r="G30" s="147" t="e" vm="98">
        <f t="shared" ref="G30:G34" si="7">+_xlfn.IMAGE(F30)</f>
        <v>#VALUE!</v>
      </c>
      <c r="H30" s="148" t="e" vm="4">
        <v>#VALUE!</v>
      </c>
      <c r="I30" s="150" t="s">
        <v>140</v>
      </c>
      <c r="M30" s="220">
        <v>28</v>
      </c>
      <c r="N30" s="220">
        <v>-7</v>
      </c>
      <c r="O30" s="152">
        <v>45829.75</v>
      </c>
      <c r="P30" s="152">
        <f t="shared" si="3"/>
        <v>45830.125</v>
      </c>
      <c r="Q30" s="149" t="s">
        <v>202</v>
      </c>
      <c r="R30" s="149" t="s">
        <v>205</v>
      </c>
      <c r="S30" s="149" t="s">
        <v>304</v>
      </c>
      <c r="T30" s="220" t="s">
        <v>175</v>
      </c>
      <c r="U30" s="220">
        <f t="shared" ca="1" si="6"/>
        <v>1</v>
      </c>
      <c r="V30" s="220">
        <f t="shared" ca="1" si="5"/>
        <v>0</v>
      </c>
      <c r="W30" s="2"/>
      <c r="Y30" s="1" t="s">
        <v>176</v>
      </c>
      <c r="Z30" s="2" t="s">
        <v>189</v>
      </c>
      <c r="AA30" s="3" t="s">
        <v>223</v>
      </c>
      <c r="AG30" s="2"/>
      <c r="AH30" s="2"/>
    </row>
    <row r="31" spans="1:34" ht="25.15" customHeight="1" x14ac:dyDescent="0.25">
      <c r="A31" s="150" t="s">
        <v>218</v>
      </c>
      <c r="B31" s="147" t="s">
        <v>171</v>
      </c>
      <c r="C31" s="147" t="e" vm="20">
        <f t="shared" si="0"/>
        <v>#VALUE!</v>
      </c>
      <c r="D31" s="148" t="e" vm="102">
        <v>#VALUE!</v>
      </c>
      <c r="E31" s="150" t="s">
        <v>287</v>
      </c>
      <c r="F31" s="147" t="s">
        <v>298</v>
      </c>
      <c r="G31" s="147" t="e" vm="103">
        <f t="shared" si="7"/>
        <v>#VALUE!</v>
      </c>
      <c r="H31" s="148" t="e" vm="21">
        <v>#VALUE!</v>
      </c>
      <c r="I31" s="150" t="s">
        <v>141</v>
      </c>
      <c r="M31" s="220">
        <v>43</v>
      </c>
      <c r="N31" s="220">
        <v>-7</v>
      </c>
      <c r="O31" s="152">
        <v>45833.75</v>
      </c>
      <c r="P31" s="152">
        <f t="shared" si="3"/>
        <v>45834.125</v>
      </c>
      <c r="Q31" s="149" t="s">
        <v>259</v>
      </c>
      <c r="R31" s="149" t="s">
        <v>202</v>
      </c>
      <c r="S31" s="149" t="s">
        <v>305</v>
      </c>
      <c r="T31" s="220" t="s">
        <v>175</v>
      </c>
      <c r="U31" s="220">
        <f t="shared" ca="1" si="6"/>
        <v>1</v>
      </c>
      <c r="V31" s="220">
        <f t="shared" ca="1" si="5"/>
        <v>1</v>
      </c>
      <c r="W31" s="2"/>
      <c r="Y31" s="1" t="s">
        <v>176</v>
      </c>
      <c r="Z31" s="2" t="s">
        <v>190</v>
      </c>
      <c r="AA31" s="3" t="s">
        <v>256</v>
      </c>
      <c r="AG31" s="2"/>
      <c r="AH31" s="2"/>
    </row>
    <row r="32" spans="1:34" ht="25.15" customHeight="1" x14ac:dyDescent="0.25">
      <c r="A32" s="150" t="s">
        <v>262</v>
      </c>
      <c r="B32" s="147" t="s">
        <v>172</v>
      </c>
      <c r="C32" s="147" t="e" vm="7">
        <f t="shared" si="0"/>
        <v>#VALUE!</v>
      </c>
      <c r="D32" s="148" t="e" vm="104">
        <v>#VALUE!</v>
      </c>
      <c r="E32" s="150" t="s">
        <v>101</v>
      </c>
      <c r="F32" s="147" t="s">
        <v>108</v>
      </c>
      <c r="G32" s="147" t="e" vm="100">
        <f t="shared" si="7"/>
        <v>#VALUE!</v>
      </c>
      <c r="H32" s="148" t="e" vm="1">
        <v>#VALUE!</v>
      </c>
      <c r="I32" s="150" t="s">
        <v>142</v>
      </c>
      <c r="M32" s="220">
        <v>44</v>
      </c>
      <c r="N32" s="220">
        <v>-7</v>
      </c>
      <c r="O32" s="152">
        <v>45833.75</v>
      </c>
      <c r="P32" s="152">
        <f t="shared" si="3"/>
        <v>45834.125</v>
      </c>
      <c r="Q32" s="149" t="s">
        <v>203</v>
      </c>
      <c r="R32" s="149" t="s">
        <v>205</v>
      </c>
      <c r="S32" s="149" t="s">
        <v>304</v>
      </c>
      <c r="T32" s="220" t="s">
        <v>175</v>
      </c>
      <c r="U32" s="220">
        <f t="shared" ca="1" si="6"/>
        <v>0</v>
      </c>
      <c r="V32" s="220">
        <f t="shared" ca="1" si="5"/>
        <v>1</v>
      </c>
      <c r="W32" s="2"/>
      <c r="Y32" s="1" t="s">
        <v>176</v>
      </c>
      <c r="Z32" s="2" t="s">
        <v>191</v>
      </c>
      <c r="AA32" s="3" t="s">
        <v>207</v>
      </c>
      <c r="AG32" s="2"/>
      <c r="AH32" s="2"/>
    </row>
    <row r="33" spans="1:34" ht="25.15" customHeight="1" x14ac:dyDescent="0.25">
      <c r="A33" s="150" t="s">
        <v>263</v>
      </c>
      <c r="B33" s="147" t="s">
        <v>264</v>
      </c>
      <c r="C33" s="147" t="e" vm="2">
        <f t="shared" si="0"/>
        <v>#VALUE!</v>
      </c>
      <c r="D33" s="148" t="e" vm="105">
        <v>#VALUE!</v>
      </c>
      <c r="E33" s="150" t="s">
        <v>101</v>
      </c>
      <c r="F33" s="147" t="s">
        <v>108</v>
      </c>
      <c r="G33" s="147" t="e" vm="100">
        <f t="shared" si="7"/>
        <v>#VALUE!</v>
      </c>
      <c r="H33" s="148" t="e" vm="1">
        <v>#VALUE!</v>
      </c>
      <c r="I33" s="150" t="s">
        <v>140</v>
      </c>
      <c r="M33" s="220">
        <v>9</v>
      </c>
      <c r="N33" s="220">
        <v>-4</v>
      </c>
      <c r="O33" s="152">
        <v>45825.5</v>
      </c>
      <c r="P33" s="152">
        <f t="shared" si="3"/>
        <v>45825.75</v>
      </c>
      <c r="Q33" s="149" t="s">
        <v>220</v>
      </c>
      <c r="R33" s="149" t="s">
        <v>201</v>
      </c>
      <c r="S33" s="149" t="s">
        <v>302</v>
      </c>
      <c r="T33" s="220" t="s">
        <v>15</v>
      </c>
      <c r="U33" s="220">
        <f t="shared" ca="1" si="6"/>
        <v>1</v>
      </c>
      <c r="V33" s="220">
        <f t="shared" ca="1" si="5"/>
        <v>2</v>
      </c>
      <c r="W33" s="2"/>
      <c r="Y33" s="1" t="s">
        <v>176</v>
      </c>
      <c r="Z33" s="2" t="s">
        <v>192</v>
      </c>
      <c r="AA33" s="3" t="s">
        <v>260</v>
      </c>
      <c r="AG33" s="2"/>
      <c r="AH33" s="2"/>
    </row>
    <row r="34" spans="1:34" ht="25.15" customHeight="1" x14ac:dyDescent="0.25">
      <c r="A34" s="150" t="s">
        <v>216</v>
      </c>
      <c r="B34" s="147" t="s">
        <v>265</v>
      </c>
      <c r="C34" s="147" t="e" vm="3">
        <f t="shared" si="0"/>
        <v>#VALUE!</v>
      </c>
      <c r="D34" s="148" t="e" vm="106">
        <v>#VALUE!</v>
      </c>
      <c r="E34" s="150" t="s">
        <v>100</v>
      </c>
      <c r="F34" s="147" t="s">
        <v>107</v>
      </c>
      <c r="G34" s="147" t="e" vm="98">
        <f t="shared" si="7"/>
        <v>#VALUE!</v>
      </c>
      <c r="H34" s="148" t="e" vm="4">
        <v>#VALUE!</v>
      </c>
      <c r="I34" s="150" t="s">
        <v>140</v>
      </c>
      <c r="M34" s="220">
        <v>11</v>
      </c>
      <c r="N34" s="220">
        <v>-4</v>
      </c>
      <c r="O34" s="152">
        <v>45825.75</v>
      </c>
      <c r="P34" s="152">
        <f>+O34-N34/24+$L$2/24</f>
        <v>45826</v>
      </c>
      <c r="Q34" s="149" t="s">
        <v>221</v>
      </c>
      <c r="R34" s="149" t="s">
        <v>204</v>
      </c>
      <c r="S34" s="149" t="s">
        <v>307</v>
      </c>
      <c r="T34" s="220" t="s">
        <v>15</v>
      </c>
      <c r="U34" s="220">
        <f t="shared" ca="1" si="6"/>
        <v>1</v>
      </c>
      <c r="V34" s="220">
        <f t="shared" ca="1" si="5"/>
        <v>2</v>
      </c>
      <c r="W34" s="2"/>
      <c r="AG34" s="2"/>
    </row>
    <row r="35" spans="1:34" ht="25.15" customHeight="1" x14ac:dyDescent="0.25">
      <c r="A35" s="150" t="s">
        <v>299</v>
      </c>
      <c r="B35" s="147"/>
      <c r="C35" s="147"/>
      <c r="D35" s="148"/>
      <c r="E35" s="150"/>
      <c r="F35" s="147"/>
      <c r="G35" s="147"/>
      <c r="H35" s="148"/>
      <c r="I35" s="150"/>
      <c r="M35" s="220">
        <v>25</v>
      </c>
      <c r="N35" s="220">
        <v>-4</v>
      </c>
      <c r="O35" s="152">
        <v>45829.5</v>
      </c>
      <c r="P35" s="152">
        <f t="shared" si="3"/>
        <v>45829.75</v>
      </c>
      <c r="Q35" s="149" t="s">
        <v>204</v>
      </c>
      <c r="R35" s="149" t="s">
        <v>201</v>
      </c>
      <c r="S35" s="149" t="s">
        <v>306</v>
      </c>
      <c r="T35" s="220" t="s">
        <v>15</v>
      </c>
      <c r="U35" s="220">
        <f t="shared" ca="1" si="6"/>
        <v>0</v>
      </c>
      <c r="V35" s="220">
        <f t="shared" ca="1" si="5"/>
        <v>4</v>
      </c>
      <c r="W35" s="2"/>
      <c r="AG35" s="2"/>
    </row>
    <row r="36" spans="1:34" ht="25.15" customHeight="1" x14ac:dyDescent="0.25">
      <c r="A36" s="150"/>
      <c r="B36" s="147"/>
      <c r="C36" s="147"/>
      <c r="D36" s="148"/>
      <c r="E36" s="150"/>
      <c r="F36" s="147"/>
      <c r="G36" s="147"/>
      <c r="H36" s="148"/>
      <c r="I36" s="150"/>
      <c r="M36" s="220">
        <v>27</v>
      </c>
      <c r="N36" s="220">
        <v>-4</v>
      </c>
      <c r="O36" s="152">
        <v>45829.75</v>
      </c>
      <c r="P36" s="152">
        <f t="shared" si="3"/>
        <v>45830</v>
      </c>
      <c r="Q36" s="149" t="s">
        <v>220</v>
      </c>
      <c r="R36" s="149" t="s">
        <v>221</v>
      </c>
      <c r="S36" s="149" t="s">
        <v>302</v>
      </c>
      <c r="T36" s="220" t="s">
        <v>15</v>
      </c>
      <c r="U36" s="220">
        <f t="shared" ca="1" si="6"/>
        <v>3</v>
      </c>
      <c r="V36" s="220">
        <f t="shared" ca="1" si="5"/>
        <v>0</v>
      </c>
      <c r="W36" s="2"/>
      <c r="AG36" s="2"/>
    </row>
    <row r="37" spans="1:34" ht="25.15" customHeight="1" x14ac:dyDescent="0.25">
      <c r="A37" s="150"/>
      <c r="B37" s="147"/>
      <c r="C37" s="147"/>
      <c r="D37" s="148"/>
      <c r="E37" s="150"/>
      <c r="F37" s="147"/>
      <c r="G37" s="147"/>
      <c r="H37" s="148"/>
      <c r="I37" s="150"/>
      <c r="M37" s="220">
        <v>41</v>
      </c>
      <c r="N37" s="220">
        <v>-4</v>
      </c>
      <c r="O37" s="152">
        <v>45833.625</v>
      </c>
      <c r="P37" s="152">
        <f>+O37-N37/24+$L$2/24</f>
        <v>45833.875</v>
      </c>
      <c r="Q37" s="149" t="s">
        <v>201</v>
      </c>
      <c r="R37" s="149" t="s">
        <v>221</v>
      </c>
      <c r="S37" s="149" t="s">
        <v>306</v>
      </c>
      <c r="T37" s="220" t="s">
        <v>15</v>
      </c>
      <c r="U37" s="220">
        <f t="shared" ca="1" si="6"/>
        <v>3</v>
      </c>
      <c r="V37" s="220">
        <f t="shared" ca="1" si="5"/>
        <v>0</v>
      </c>
      <c r="W37" s="2"/>
      <c r="AG37" s="2"/>
    </row>
    <row r="38" spans="1:34" ht="25.15" customHeight="1" x14ac:dyDescent="0.25">
      <c r="A38" s="150"/>
      <c r="B38" s="147"/>
      <c r="C38" s="147"/>
      <c r="D38" s="148"/>
      <c r="E38" s="150"/>
      <c r="F38" s="147"/>
      <c r="G38" s="147"/>
      <c r="H38" s="148"/>
      <c r="I38" s="150"/>
      <c r="M38" s="220">
        <v>42</v>
      </c>
      <c r="N38" s="220">
        <v>-4</v>
      </c>
      <c r="O38" s="152">
        <v>45833.625</v>
      </c>
      <c r="P38" s="152">
        <f t="shared" si="3"/>
        <v>45833.875</v>
      </c>
      <c r="Q38" s="149" t="s">
        <v>204</v>
      </c>
      <c r="R38" s="149" t="s">
        <v>220</v>
      </c>
      <c r="S38" s="149" t="s">
        <v>301</v>
      </c>
      <c r="T38" s="220" t="s">
        <v>15</v>
      </c>
      <c r="U38" s="220">
        <f t="shared" ca="1" si="6"/>
        <v>1</v>
      </c>
      <c r="V38" s="220">
        <f t="shared" ca="1" si="5"/>
        <v>4</v>
      </c>
      <c r="W38" s="2"/>
      <c r="AG38" s="2"/>
    </row>
    <row r="39" spans="1:34" ht="25.15" customHeight="1" x14ac:dyDescent="0.25">
      <c r="A39" s="150"/>
      <c r="B39" s="147"/>
      <c r="C39" s="147"/>
      <c r="D39" s="148"/>
      <c r="E39" s="150"/>
      <c r="F39" s="147"/>
      <c r="G39" s="147"/>
      <c r="H39" s="148"/>
      <c r="I39" s="150"/>
      <c r="M39" s="220">
        <v>13</v>
      </c>
      <c r="N39" s="220">
        <v>-4</v>
      </c>
      <c r="O39" s="152">
        <v>45826.5</v>
      </c>
      <c r="P39" s="152">
        <f t="shared" si="3"/>
        <v>45826.75</v>
      </c>
      <c r="Q39" s="149" t="s">
        <v>206</v>
      </c>
      <c r="R39" s="149" t="s">
        <v>255</v>
      </c>
      <c r="S39" s="149" t="s">
        <v>310</v>
      </c>
      <c r="T39" s="220" t="s">
        <v>112</v>
      </c>
      <c r="U39" s="220">
        <f t="shared" ca="1" si="6"/>
        <v>5</v>
      </c>
      <c r="V39" s="220">
        <f t="shared" ca="1" si="5"/>
        <v>0</v>
      </c>
      <c r="W39" s="2"/>
      <c r="AG39" s="2"/>
    </row>
    <row r="40" spans="1:34" ht="25.15" customHeight="1" x14ac:dyDescent="0.25">
      <c r="A40" s="150"/>
      <c r="B40" s="147"/>
      <c r="C40" s="147"/>
      <c r="D40" s="148"/>
      <c r="E40" s="150"/>
      <c r="F40" s="147"/>
      <c r="G40" s="147"/>
      <c r="H40" s="148"/>
      <c r="I40" s="150"/>
      <c r="M40" s="220">
        <v>16</v>
      </c>
      <c r="N40" s="220">
        <v>-4</v>
      </c>
      <c r="O40" s="152">
        <v>45826.875</v>
      </c>
      <c r="P40" s="152">
        <f t="shared" si="3"/>
        <v>45827.125</v>
      </c>
      <c r="Q40" s="149" t="s">
        <v>257</v>
      </c>
      <c r="R40" s="149" t="s">
        <v>222</v>
      </c>
      <c r="S40" s="149" t="s">
        <v>312</v>
      </c>
      <c r="T40" s="220" t="s">
        <v>112</v>
      </c>
      <c r="U40" s="220">
        <f t="shared" ca="1" si="6"/>
        <v>1</v>
      </c>
      <c r="V40" s="220">
        <f t="shared" ca="1" si="5"/>
        <v>2</v>
      </c>
      <c r="W40" s="2"/>
      <c r="AG40" s="2"/>
    </row>
    <row r="41" spans="1:34" ht="25.15" customHeight="1" x14ac:dyDescent="0.25">
      <c r="A41" s="150"/>
      <c r="B41" s="147"/>
      <c r="C41" s="147"/>
      <c r="D41" s="148"/>
      <c r="E41" s="150"/>
      <c r="F41" s="147"/>
      <c r="G41" s="147"/>
      <c r="H41" s="148"/>
      <c r="I41" s="150"/>
      <c r="M41" s="220">
        <v>29</v>
      </c>
      <c r="N41" s="220">
        <v>-4</v>
      </c>
      <c r="O41" s="152">
        <v>45830.5</v>
      </c>
      <c r="P41" s="152">
        <f t="shared" si="3"/>
        <v>45830.75</v>
      </c>
      <c r="Q41" s="149" t="s">
        <v>222</v>
      </c>
      <c r="R41" s="149" t="s">
        <v>255</v>
      </c>
      <c r="S41" s="149" t="s">
        <v>310</v>
      </c>
      <c r="T41" s="220" t="s">
        <v>112</v>
      </c>
      <c r="U41" s="220">
        <f t="shared" ca="1" si="6"/>
        <v>2</v>
      </c>
      <c r="V41" s="220">
        <f t="shared" ca="1" si="5"/>
        <v>1</v>
      </c>
      <c r="W41" s="2"/>
      <c r="AG41" s="2"/>
    </row>
    <row r="42" spans="1:34" ht="25.15" customHeight="1" x14ac:dyDescent="0.25">
      <c r="A42" s="150"/>
      <c r="B42" s="147"/>
      <c r="C42" s="147"/>
      <c r="D42" s="148"/>
      <c r="E42" s="150"/>
      <c r="F42" s="147"/>
      <c r="G42" s="147"/>
      <c r="H42" s="148"/>
      <c r="I42" s="150"/>
      <c r="M42" s="220">
        <v>32</v>
      </c>
      <c r="N42" s="220">
        <v>-4</v>
      </c>
      <c r="O42" s="152">
        <v>45830.875</v>
      </c>
      <c r="P42" s="152">
        <f t="shared" si="3"/>
        <v>45831.125</v>
      </c>
      <c r="Q42" s="149" t="s">
        <v>206</v>
      </c>
      <c r="R42" s="149" t="s">
        <v>257</v>
      </c>
      <c r="S42" s="149" t="s">
        <v>303</v>
      </c>
      <c r="T42" s="220" t="s">
        <v>112</v>
      </c>
      <c r="U42" s="220">
        <f t="shared" ca="1" si="6"/>
        <v>3</v>
      </c>
      <c r="V42" s="220">
        <f t="shared" ca="1" si="5"/>
        <v>0</v>
      </c>
      <c r="W42" s="2"/>
      <c r="AG42" s="2"/>
    </row>
    <row r="43" spans="1:34" ht="25.15" customHeight="1" x14ac:dyDescent="0.25">
      <c r="A43" s="150"/>
      <c r="B43" s="147"/>
      <c r="C43" s="147"/>
      <c r="D43" s="148"/>
      <c r="E43" s="150"/>
      <c r="F43" s="147"/>
      <c r="G43" s="147"/>
      <c r="H43" s="148"/>
      <c r="I43" s="150"/>
      <c r="M43" s="220">
        <v>45</v>
      </c>
      <c r="N43" s="220">
        <v>-4</v>
      </c>
      <c r="O43" s="152">
        <v>45834.625</v>
      </c>
      <c r="P43" s="152">
        <f t="shared" si="3"/>
        <v>45834.875</v>
      </c>
      <c r="Q43" s="149" t="s">
        <v>222</v>
      </c>
      <c r="R43" s="149" t="s">
        <v>206</v>
      </c>
      <c r="S43" s="149" t="s">
        <v>311</v>
      </c>
      <c r="T43" s="220" t="s">
        <v>112</v>
      </c>
      <c r="U43" s="220">
        <f t="shared" ca="1" si="6"/>
        <v>1</v>
      </c>
      <c r="V43" s="220">
        <f t="shared" ca="1" si="5"/>
        <v>1</v>
      </c>
      <c r="W43" s="2"/>
      <c r="AG43" s="2"/>
    </row>
    <row r="44" spans="1:34" ht="25.15" customHeight="1" x14ac:dyDescent="0.25">
      <c r="A44" s="150"/>
      <c r="B44" s="147"/>
      <c r="C44" s="147"/>
      <c r="D44" s="148"/>
      <c r="E44" s="150"/>
      <c r="F44" s="147"/>
      <c r="G44" s="147"/>
      <c r="H44" s="148"/>
      <c r="I44" s="150"/>
      <c r="M44" s="220">
        <v>46</v>
      </c>
      <c r="N44" s="220">
        <v>-4</v>
      </c>
      <c r="O44" s="152">
        <v>45834.625</v>
      </c>
      <c r="P44" s="152">
        <f t="shared" si="3"/>
        <v>45834.875</v>
      </c>
      <c r="Q44" s="149" t="s">
        <v>255</v>
      </c>
      <c r="R44" s="149" t="s">
        <v>257</v>
      </c>
      <c r="S44" s="149" t="s">
        <v>312</v>
      </c>
      <c r="T44" s="220" t="s">
        <v>112</v>
      </c>
      <c r="U44" s="220">
        <f t="shared" ca="1" si="6"/>
        <v>0</v>
      </c>
      <c r="V44" s="220">
        <f t="shared" ca="1" si="5"/>
        <v>1</v>
      </c>
      <c r="W44" s="2"/>
      <c r="AG44" s="2"/>
    </row>
    <row r="45" spans="1:34" ht="25.15" customHeight="1" x14ac:dyDescent="0.25">
      <c r="A45" s="150"/>
      <c r="B45" s="147"/>
      <c r="C45" s="147"/>
      <c r="D45" s="148"/>
      <c r="E45" s="150"/>
      <c r="F45" s="147"/>
      <c r="G45" s="147"/>
      <c r="H45" s="148"/>
      <c r="I45" s="150"/>
      <c r="M45" s="220">
        <v>14</v>
      </c>
      <c r="N45" s="220">
        <v>-4</v>
      </c>
      <c r="O45" s="152">
        <v>45826.625</v>
      </c>
      <c r="P45" s="152">
        <f t="shared" si="3"/>
        <v>45826.875</v>
      </c>
      <c r="Q45" s="149" t="s">
        <v>223</v>
      </c>
      <c r="R45" s="149" t="s">
        <v>256</v>
      </c>
      <c r="S45" s="149" t="s">
        <v>301</v>
      </c>
      <c r="T45" s="220" t="s">
        <v>176</v>
      </c>
      <c r="U45" s="220">
        <f t="shared" ca="1" si="6"/>
        <v>3</v>
      </c>
      <c r="V45" s="220">
        <f t="shared" ca="1" si="5"/>
        <v>0</v>
      </c>
      <c r="W45" s="2"/>
      <c r="AG45" s="2"/>
    </row>
    <row r="46" spans="1:34" ht="25.15" customHeight="1" x14ac:dyDescent="0.25">
      <c r="A46" s="150"/>
      <c r="B46" s="147"/>
      <c r="C46" s="147"/>
      <c r="D46" s="148"/>
      <c r="E46" s="150"/>
      <c r="F46" s="147"/>
      <c r="G46" s="147"/>
      <c r="H46" s="148"/>
      <c r="I46" s="150"/>
      <c r="M46" s="220">
        <v>15</v>
      </c>
      <c r="N46" s="220">
        <v>-4</v>
      </c>
      <c r="O46" s="152">
        <v>45826.75</v>
      </c>
      <c r="P46" s="152">
        <f t="shared" si="3"/>
        <v>45827</v>
      </c>
      <c r="Q46" s="149" t="s">
        <v>207</v>
      </c>
      <c r="R46" s="149" t="s">
        <v>260</v>
      </c>
      <c r="S46" s="149" t="s">
        <v>306</v>
      </c>
      <c r="T46" s="220" t="s">
        <v>176</v>
      </c>
      <c r="U46" s="220">
        <f t="shared" ca="1" si="6"/>
        <v>1</v>
      </c>
      <c r="V46" s="220">
        <f t="shared" ca="1" si="5"/>
        <v>1</v>
      </c>
      <c r="W46" s="2"/>
      <c r="AG46" s="2"/>
    </row>
    <row r="47" spans="1:34" ht="25.15" customHeight="1" x14ac:dyDescent="0.25">
      <c r="A47" s="150"/>
      <c r="B47" s="147"/>
      <c r="C47" s="147"/>
      <c r="D47" s="148"/>
      <c r="E47" s="150"/>
      <c r="F47" s="147"/>
      <c r="G47" s="147"/>
      <c r="H47" s="148"/>
      <c r="I47" s="150"/>
      <c r="M47" s="220">
        <v>30</v>
      </c>
      <c r="N47" s="220">
        <v>-4</v>
      </c>
      <c r="O47" s="152">
        <v>45830.625</v>
      </c>
      <c r="P47" s="152">
        <f t="shared" si="3"/>
        <v>45830.875</v>
      </c>
      <c r="Q47" s="149" t="s">
        <v>223</v>
      </c>
      <c r="R47" s="149" t="s">
        <v>207</v>
      </c>
      <c r="S47" s="149" t="s">
        <v>309</v>
      </c>
      <c r="T47" s="220" t="s">
        <v>176</v>
      </c>
      <c r="U47" s="220">
        <f t="shared" ca="1" si="6"/>
        <v>2</v>
      </c>
      <c r="V47" s="220">
        <f t="shared" ca="1" si="5"/>
        <v>0</v>
      </c>
      <c r="W47" s="2"/>
      <c r="AG47" s="2"/>
    </row>
    <row r="48" spans="1:34" ht="25.15" customHeight="1" x14ac:dyDescent="0.25">
      <c r="A48" s="150"/>
      <c r="B48" s="147"/>
      <c r="C48" s="147"/>
      <c r="D48" s="148"/>
      <c r="E48" s="150"/>
      <c r="F48" s="147"/>
      <c r="G48" s="147"/>
      <c r="H48" s="148"/>
      <c r="I48" s="150"/>
      <c r="M48" s="220">
        <v>31</v>
      </c>
      <c r="N48" s="220">
        <v>-4</v>
      </c>
      <c r="O48" s="152">
        <v>45830.75</v>
      </c>
      <c r="P48" s="152">
        <f t="shared" si="3"/>
        <v>45831</v>
      </c>
      <c r="Q48" s="149" t="s">
        <v>260</v>
      </c>
      <c r="R48" s="149" t="s">
        <v>256</v>
      </c>
      <c r="S48" s="149" t="s">
        <v>312</v>
      </c>
      <c r="T48" s="220" t="s">
        <v>176</v>
      </c>
      <c r="U48" s="220">
        <f t="shared" ca="1" si="6"/>
        <v>1</v>
      </c>
      <c r="V48" s="220">
        <f t="shared" ca="1" si="5"/>
        <v>2</v>
      </c>
      <c r="W48" s="2"/>
      <c r="AG48" s="2"/>
    </row>
    <row r="49" spans="1:33" ht="25.15" customHeight="1" x14ac:dyDescent="0.25">
      <c r="A49" s="150"/>
      <c r="B49" s="147"/>
      <c r="C49" s="147"/>
      <c r="D49" s="148"/>
      <c r="E49" s="150"/>
      <c r="F49" s="147"/>
      <c r="G49" s="147"/>
      <c r="H49" s="148"/>
      <c r="I49" s="150"/>
      <c r="M49" s="220">
        <v>47</v>
      </c>
      <c r="N49" s="220">
        <v>-5</v>
      </c>
      <c r="O49" s="152">
        <v>45834.833333333336</v>
      </c>
      <c r="P49" s="152">
        <f t="shared" si="3"/>
        <v>45835.125000000007</v>
      </c>
      <c r="Q49" s="149" t="s">
        <v>256</v>
      </c>
      <c r="R49" s="149" t="s">
        <v>207</v>
      </c>
      <c r="S49" s="149" t="s">
        <v>308</v>
      </c>
      <c r="T49" s="220" t="s">
        <v>176</v>
      </c>
      <c r="U49" s="220">
        <f t="shared" ca="1" si="6"/>
        <v>2</v>
      </c>
      <c r="V49" s="220">
        <f t="shared" ca="1" si="5"/>
        <v>2</v>
      </c>
      <c r="W49" s="2"/>
      <c r="AG49" s="2"/>
    </row>
    <row r="50" spans="1:33" ht="25.15" customHeight="1" x14ac:dyDescent="0.25">
      <c r="A50" s="150"/>
      <c r="B50" s="147"/>
      <c r="C50" s="147"/>
      <c r="D50" s="148"/>
      <c r="E50" s="150"/>
      <c r="F50" s="147"/>
      <c r="G50" s="147"/>
      <c r="H50" s="148"/>
      <c r="I50" s="150"/>
      <c r="M50" s="220">
        <v>48</v>
      </c>
      <c r="N50" s="220">
        <v>-4</v>
      </c>
      <c r="O50" s="152">
        <v>45834.875</v>
      </c>
      <c r="P50" s="152">
        <f t="shared" si="3"/>
        <v>45835.125</v>
      </c>
      <c r="Q50" s="149" t="s">
        <v>260</v>
      </c>
      <c r="R50" s="149" t="s">
        <v>223</v>
      </c>
      <c r="S50" s="149" t="s">
        <v>310</v>
      </c>
      <c r="T50" s="220" t="s">
        <v>176</v>
      </c>
      <c r="U50" s="220">
        <f t="shared" ca="1" si="6"/>
        <v>1</v>
      </c>
      <c r="V50" s="220">
        <f t="shared" ca="1" si="5"/>
        <v>3</v>
      </c>
      <c r="W50" s="2"/>
      <c r="AG50" s="2"/>
    </row>
    <row r="51" spans="1:33" ht="25.15" customHeight="1" x14ac:dyDescent="0.25">
      <c r="A51" s="150"/>
      <c r="B51" s="147"/>
      <c r="C51" s="147"/>
      <c r="D51" s="148"/>
      <c r="E51" s="150"/>
      <c r="F51" s="147"/>
      <c r="G51" s="147"/>
      <c r="H51" s="148"/>
      <c r="I51" s="150"/>
      <c r="M51" s="220">
        <v>49</v>
      </c>
      <c r="N51" s="220">
        <v>-4</v>
      </c>
      <c r="O51" s="152">
        <v>45836.5</v>
      </c>
      <c r="P51" s="152">
        <f t="shared" si="3"/>
        <v>45836.75</v>
      </c>
      <c r="Q51" s="149" t="s">
        <v>224</v>
      </c>
      <c r="R51" s="149" t="s">
        <v>225</v>
      </c>
      <c r="S51" s="149" t="s">
        <v>310</v>
      </c>
      <c r="T51" s="220" t="s">
        <v>313</v>
      </c>
      <c r="U51" s="220">
        <f ca="1">IF(VLOOKUP(M51,INDIRECT(T51&amp;"!C:AZ"),9,0)="","",VLOOKUP(M51,INDIRECT(T51&amp;"!C:AZ"),9,0))</f>
        <v>1</v>
      </c>
      <c r="V51" s="220">
        <f ca="1">IF(VLOOKUP(M51,INDIRECT(T51&amp;"!C:AZ"),9,0)="","",VLOOKUP(M51,INDIRECT(T51&amp;"!C:AZ"),11,0))</f>
        <v>1</v>
      </c>
      <c r="W51" s="2"/>
      <c r="AG51" s="2"/>
    </row>
    <row r="52" spans="1:33" ht="25.15" customHeight="1" x14ac:dyDescent="0.25">
      <c r="A52" s="150"/>
      <c r="B52" s="147"/>
      <c r="C52" s="147"/>
      <c r="D52" s="148"/>
      <c r="E52" s="150"/>
      <c r="F52" s="147"/>
      <c r="G52" s="147"/>
      <c r="H52" s="148"/>
      <c r="I52" s="150"/>
      <c r="M52" s="220">
        <v>50</v>
      </c>
      <c r="N52" s="220">
        <v>-4</v>
      </c>
      <c r="O52" s="152">
        <v>45836.666666666664</v>
      </c>
      <c r="P52" s="152">
        <f t="shared" si="3"/>
        <v>45836.916666666664</v>
      </c>
      <c r="Q52" s="149" t="s">
        <v>226</v>
      </c>
      <c r="R52" s="149" t="s">
        <v>227</v>
      </c>
      <c r="S52" s="149" t="s">
        <v>309</v>
      </c>
      <c r="T52" s="220" t="s">
        <v>313</v>
      </c>
      <c r="U52" s="220">
        <f t="shared" ref="U52:U65" ca="1" si="8">IF(VLOOKUP(M52,INDIRECT(T52&amp;"!C:AZ"),9,0)="","",VLOOKUP(M52,INDIRECT(T52&amp;"!C:AZ"),9,0))</f>
        <v>3</v>
      </c>
      <c r="V52" s="220">
        <f t="shared" ref="V52:V65" ca="1" si="9">IF(VLOOKUP(M52,INDIRECT(T52&amp;"!C:AZ"),9,0)="","",VLOOKUP(M52,INDIRECT(T52&amp;"!C:AZ"),11,0))</f>
        <v>1</v>
      </c>
      <c r="W52" s="2"/>
      <c r="AG52" s="2"/>
    </row>
    <row r="53" spans="1:33" ht="25.15" customHeight="1" x14ac:dyDescent="0.25">
      <c r="A53" s="150"/>
      <c r="B53" s="147"/>
      <c r="C53" s="147"/>
      <c r="D53" s="148"/>
      <c r="E53" s="150"/>
      <c r="F53" s="147"/>
      <c r="G53" s="147"/>
      <c r="H53" s="148"/>
      <c r="I53" s="150"/>
      <c r="M53" s="220">
        <v>51</v>
      </c>
      <c r="N53" s="220">
        <v>-4</v>
      </c>
      <c r="O53" s="152">
        <v>45837.5</v>
      </c>
      <c r="P53" s="152">
        <f t="shared" si="3"/>
        <v>45837.75</v>
      </c>
      <c r="Q53" s="149" t="s">
        <v>228</v>
      </c>
      <c r="R53" s="149" t="s">
        <v>229</v>
      </c>
      <c r="S53" s="149" t="s">
        <v>303</v>
      </c>
      <c r="T53" s="220" t="s">
        <v>313</v>
      </c>
      <c r="U53" s="220">
        <f t="shared" ca="1" si="8"/>
        <v>2</v>
      </c>
      <c r="V53" s="220">
        <f t="shared" ca="1" si="9"/>
        <v>0</v>
      </c>
      <c r="W53" s="2"/>
      <c r="AG53" s="2"/>
    </row>
    <row r="54" spans="1:33" ht="25.15" customHeight="1" x14ac:dyDescent="0.25">
      <c r="A54" s="150"/>
      <c r="B54" s="147"/>
      <c r="C54" s="147"/>
      <c r="D54" s="148"/>
      <c r="E54" s="150"/>
      <c r="F54" s="147"/>
      <c r="G54" s="147"/>
      <c r="H54" s="148"/>
      <c r="I54" s="150"/>
      <c r="M54" s="220">
        <v>52</v>
      </c>
      <c r="N54" s="220">
        <v>-4</v>
      </c>
      <c r="O54" s="152">
        <v>45837.666666666664</v>
      </c>
      <c r="P54" s="152">
        <f t="shared" si="3"/>
        <v>45837.916666666664</v>
      </c>
      <c r="Q54" s="149" t="s">
        <v>230</v>
      </c>
      <c r="R54" s="149" t="s">
        <v>231</v>
      </c>
      <c r="S54" s="149" t="s">
        <v>301</v>
      </c>
      <c r="T54" s="220" t="s">
        <v>313</v>
      </c>
      <c r="U54" s="220">
        <f t="shared" ca="1" si="8"/>
        <v>2</v>
      </c>
      <c r="V54" s="220">
        <f t="shared" ca="1" si="9"/>
        <v>0</v>
      </c>
      <c r="W54" s="2"/>
      <c r="AG54" s="2"/>
    </row>
    <row r="55" spans="1:33" ht="25.15" customHeight="1" x14ac:dyDescent="0.25">
      <c r="A55" s="150"/>
      <c r="B55" s="147"/>
      <c r="C55" s="147"/>
      <c r="D55" s="148"/>
      <c r="E55" s="150"/>
      <c r="F55" s="147"/>
      <c r="G55" s="147"/>
      <c r="H55" s="148"/>
      <c r="I55" s="150"/>
      <c r="M55" s="220">
        <v>53</v>
      </c>
      <c r="N55" s="220">
        <v>-4</v>
      </c>
      <c r="O55" s="152">
        <v>45838.625</v>
      </c>
      <c r="P55" s="152">
        <f t="shared" si="3"/>
        <v>45838.875</v>
      </c>
      <c r="Q55" s="149" t="s">
        <v>232</v>
      </c>
      <c r="R55" s="149" t="s">
        <v>233</v>
      </c>
      <c r="S55" s="149" t="s">
        <v>309</v>
      </c>
      <c r="T55" s="220" t="s">
        <v>313</v>
      </c>
      <c r="U55" s="220">
        <f t="shared" ca="1" si="8"/>
        <v>1</v>
      </c>
      <c r="V55" s="220">
        <f t="shared" ca="1" si="9"/>
        <v>1</v>
      </c>
      <c r="W55" s="2"/>
      <c r="AG55" s="2"/>
    </row>
    <row r="56" spans="1:33" ht="25.15" customHeight="1" x14ac:dyDescent="0.25">
      <c r="A56" s="150"/>
      <c r="B56" s="147"/>
      <c r="C56" s="147"/>
      <c r="D56" s="148"/>
      <c r="E56" s="150"/>
      <c r="F56" s="147"/>
      <c r="G56" s="147"/>
      <c r="H56" s="148"/>
      <c r="I56" s="150"/>
      <c r="M56" s="220">
        <v>54</v>
      </c>
      <c r="N56" s="220">
        <v>-4</v>
      </c>
      <c r="O56" s="152">
        <v>45838.875</v>
      </c>
      <c r="P56" s="152">
        <f t="shared" si="3"/>
        <v>45839.125</v>
      </c>
      <c r="Q56" s="149" t="s">
        <v>234</v>
      </c>
      <c r="R56" s="149" t="s">
        <v>235</v>
      </c>
      <c r="S56" s="149" t="s">
        <v>311</v>
      </c>
      <c r="T56" s="220" t="s">
        <v>313</v>
      </c>
      <c r="U56" s="220">
        <f t="shared" ca="1" si="8"/>
        <v>2</v>
      </c>
      <c r="V56" s="220">
        <f t="shared" ca="1" si="9"/>
        <v>0</v>
      </c>
      <c r="W56" s="2"/>
      <c r="AG56" s="2"/>
    </row>
    <row r="57" spans="1:33" ht="25.15" customHeight="1" x14ac:dyDescent="0.25">
      <c r="A57" s="150"/>
      <c r="B57" s="147"/>
      <c r="C57" s="147"/>
      <c r="D57" s="148"/>
      <c r="E57" s="150"/>
      <c r="F57" s="147"/>
      <c r="G57" s="147"/>
      <c r="H57" s="148"/>
      <c r="I57" s="150"/>
      <c r="M57" s="220">
        <v>55</v>
      </c>
      <c r="N57" s="220">
        <v>-4</v>
      </c>
      <c r="O57" s="152">
        <v>45839.625</v>
      </c>
      <c r="P57" s="152">
        <f t="shared" si="3"/>
        <v>45839.875</v>
      </c>
      <c r="Q57" s="149" t="s">
        <v>236</v>
      </c>
      <c r="R57" s="149" t="s">
        <v>237</v>
      </c>
      <c r="S57" s="149" t="s">
        <v>301</v>
      </c>
      <c r="T57" s="220" t="s">
        <v>313</v>
      </c>
      <c r="U57" s="220">
        <f t="shared" ca="1" si="8"/>
        <v>1</v>
      </c>
      <c r="V57" s="220">
        <f t="shared" ca="1" si="9"/>
        <v>2</v>
      </c>
      <c r="W57" s="2"/>
      <c r="AG57" s="2"/>
    </row>
    <row r="58" spans="1:33" ht="25.15" customHeight="1" x14ac:dyDescent="0.25">
      <c r="A58" s="150"/>
      <c r="B58" s="147"/>
      <c r="C58" s="147"/>
      <c r="D58" s="148"/>
      <c r="E58" s="150"/>
      <c r="F58" s="147"/>
      <c r="G58" s="147"/>
      <c r="H58" s="148"/>
      <c r="I58" s="150"/>
      <c r="M58" s="220">
        <v>56</v>
      </c>
      <c r="N58" s="220">
        <v>-4</v>
      </c>
      <c r="O58" s="152">
        <v>45839.875</v>
      </c>
      <c r="P58" s="152">
        <f t="shared" si="3"/>
        <v>45840.125</v>
      </c>
      <c r="Q58" s="149" t="s">
        <v>238</v>
      </c>
      <c r="R58" s="149" t="s">
        <v>239</v>
      </c>
      <c r="S58" s="149" t="s">
        <v>303</v>
      </c>
      <c r="T58" s="220" t="s">
        <v>313</v>
      </c>
      <c r="U58" s="220">
        <f t="shared" ca="1" si="8"/>
        <v>2</v>
      </c>
      <c r="V58" s="220">
        <f t="shared" ca="1" si="9"/>
        <v>0</v>
      </c>
      <c r="W58" s="2"/>
      <c r="AG58" s="2"/>
    </row>
    <row r="59" spans="1:33" ht="25.15" customHeight="1" x14ac:dyDescent="0.25">
      <c r="A59" s="150"/>
      <c r="B59" s="147"/>
      <c r="C59" s="147"/>
      <c r="D59" s="148"/>
      <c r="E59" s="150"/>
      <c r="F59" s="147"/>
      <c r="G59" s="147"/>
      <c r="H59" s="148"/>
      <c r="I59" s="150"/>
      <c r="M59" s="220">
        <v>57</v>
      </c>
      <c r="N59" s="220">
        <v>-4</v>
      </c>
      <c r="O59" s="152">
        <v>45842.625</v>
      </c>
      <c r="P59" s="152">
        <f t="shared" si="3"/>
        <v>45842.875</v>
      </c>
      <c r="Q59" s="149" t="s">
        <v>240</v>
      </c>
      <c r="R59" s="149" t="s">
        <v>241</v>
      </c>
      <c r="S59" s="149" t="s">
        <v>311</v>
      </c>
      <c r="T59" s="220" t="s">
        <v>59</v>
      </c>
      <c r="U59" s="220">
        <f t="shared" ca="1" si="8"/>
        <v>1</v>
      </c>
      <c r="V59" s="220">
        <f t="shared" ca="1" si="9"/>
        <v>2</v>
      </c>
      <c r="W59" s="2"/>
      <c r="AG59" s="2"/>
    </row>
    <row r="60" spans="1:33" ht="25.15" customHeight="1" x14ac:dyDescent="0.25">
      <c r="A60" s="150"/>
      <c r="B60" s="147"/>
      <c r="C60" s="147"/>
      <c r="D60" s="148"/>
      <c r="E60" s="150"/>
      <c r="F60" s="147"/>
      <c r="G60" s="147"/>
      <c r="H60" s="148"/>
      <c r="I60" s="150"/>
      <c r="M60" s="220">
        <v>58</v>
      </c>
      <c r="N60" s="220">
        <v>-4</v>
      </c>
      <c r="O60" s="152">
        <v>45842.875</v>
      </c>
      <c r="P60" s="152">
        <f t="shared" si="3"/>
        <v>45843.125</v>
      </c>
      <c r="Q60" s="149" t="s">
        <v>242</v>
      </c>
      <c r="R60" s="149" t="s">
        <v>243</v>
      </c>
      <c r="S60" s="149" t="s">
        <v>310</v>
      </c>
      <c r="T60" s="220" t="s">
        <v>59</v>
      </c>
      <c r="U60" s="220">
        <f t="shared" ca="1" si="8"/>
        <v>1</v>
      </c>
      <c r="V60" s="220">
        <f t="shared" ca="1" si="9"/>
        <v>1</v>
      </c>
      <c r="W60" s="2"/>
      <c r="AG60" s="2"/>
    </row>
    <row r="61" spans="1:33" ht="25.15" customHeight="1" x14ac:dyDescent="0.25">
      <c r="A61" s="150"/>
      <c r="B61" s="147"/>
      <c r="C61" s="147"/>
      <c r="D61" s="148"/>
      <c r="E61" s="150"/>
      <c r="F61" s="147"/>
      <c r="G61" s="147"/>
      <c r="H61" s="148"/>
      <c r="I61" s="150"/>
      <c r="M61" s="220">
        <v>59</v>
      </c>
      <c r="N61" s="220">
        <v>-4</v>
      </c>
      <c r="O61" s="152">
        <v>45843.5</v>
      </c>
      <c r="P61" s="152">
        <f t="shared" si="3"/>
        <v>45843.75</v>
      </c>
      <c r="Q61" s="149" t="s">
        <v>244</v>
      </c>
      <c r="R61" s="149" t="s">
        <v>245</v>
      </c>
      <c r="S61" s="149" t="s">
        <v>303</v>
      </c>
      <c r="T61" s="220" t="s">
        <v>59</v>
      </c>
      <c r="U61" s="220">
        <f t="shared" ca="1" si="8"/>
        <v>2</v>
      </c>
      <c r="V61" s="220">
        <f t="shared" ca="1" si="9"/>
        <v>3</v>
      </c>
      <c r="W61" s="2"/>
      <c r="AG61" s="2"/>
    </row>
    <row r="62" spans="1:33" ht="25.15" customHeight="1" x14ac:dyDescent="0.25">
      <c r="A62" s="150"/>
      <c r="B62" s="147"/>
      <c r="C62" s="147"/>
      <c r="D62" s="148"/>
      <c r="E62" s="150"/>
      <c r="F62" s="147"/>
      <c r="G62" s="147"/>
      <c r="H62" s="148"/>
      <c r="I62" s="150"/>
      <c r="M62" s="220">
        <v>60</v>
      </c>
      <c r="N62" s="220">
        <v>-4</v>
      </c>
      <c r="O62" s="152">
        <v>45843.666666666664</v>
      </c>
      <c r="P62" s="152">
        <f t="shared" si="3"/>
        <v>45843.916666666664</v>
      </c>
      <c r="Q62" s="149" t="s">
        <v>246</v>
      </c>
      <c r="R62" s="149" t="s">
        <v>247</v>
      </c>
      <c r="S62" s="149" t="s">
        <v>302</v>
      </c>
      <c r="T62" s="220" t="s">
        <v>59</v>
      </c>
      <c r="U62" s="220">
        <f t="shared" ca="1" si="8"/>
        <v>1</v>
      </c>
      <c r="V62" s="220">
        <f t="shared" ca="1" si="9"/>
        <v>3</v>
      </c>
      <c r="W62" s="2"/>
      <c r="AG62" s="2"/>
    </row>
    <row r="63" spans="1:33" ht="25.15" customHeight="1" x14ac:dyDescent="0.25">
      <c r="A63" s="150"/>
      <c r="B63" s="147"/>
      <c r="C63" s="147"/>
      <c r="D63" s="148"/>
      <c r="E63" s="150"/>
      <c r="F63" s="147"/>
      <c r="G63" s="147"/>
      <c r="H63" s="148"/>
      <c r="I63" s="150"/>
      <c r="M63" s="220">
        <v>61</v>
      </c>
      <c r="N63" s="220">
        <v>-4</v>
      </c>
      <c r="O63" s="152">
        <v>45846.625</v>
      </c>
      <c r="P63" s="152">
        <f t="shared" si="3"/>
        <v>45846.875</v>
      </c>
      <c r="Q63" s="149" t="s">
        <v>248</v>
      </c>
      <c r="R63" s="149" t="s">
        <v>249</v>
      </c>
      <c r="S63" s="149" t="s">
        <v>302</v>
      </c>
      <c r="T63" s="220" t="s">
        <v>61</v>
      </c>
      <c r="U63" s="220">
        <f t="shared" ca="1" si="8"/>
        <v>2</v>
      </c>
      <c r="V63" s="220">
        <f t="shared" ca="1" si="9"/>
        <v>1</v>
      </c>
      <c r="W63" s="2"/>
      <c r="AG63" s="2"/>
    </row>
    <row r="64" spans="1:33" ht="25.15" customHeight="1" x14ac:dyDescent="0.25">
      <c r="A64" s="150"/>
      <c r="B64" s="147"/>
      <c r="C64" s="147"/>
      <c r="D64" s="148"/>
      <c r="E64" s="150"/>
      <c r="F64" s="147"/>
      <c r="G64" s="147"/>
      <c r="H64" s="148"/>
      <c r="I64" s="150"/>
      <c r="M64" s="220">
        <v>62</v>
      </c>
      <c r="N64" s="220">
        <v>-4</v>
      </c>
      <c r="O64" s="152">
        <v>45847.625</v>
      </c>
      <c r="P64" s="152">
        <f t="shared" si="3"/>
        <v>45847.875</v>
      </c>
      <c r="Q64" s="149" t="s">
        <v>250</v>
      </c>
      <c r="R64" s="149" t="s">
        <v>251</v>
      </c>
      <c r="S64" s="149" t="s">
        <v>302</v>
      </c>
      <c r="T64" s="220" t="s">
        <v>61</v>
      </c>
      <c r="U64" s="220">
        <f t="shared" ca="1" si="8"/>
        <v>1</v>
      </c>
      <c r="V64" s="220">
        <f t="shared" ca="1" si="9"/>
        <v>2</v>
      </c>
      <c r="W64" s="2"/>
      <c r="AG64" s="2"/>
    </row>
    <row r="65" spans="1:33" ht="25.15" customHeight="1" x14ac:dyDescent="0.25">
      <c r="A65" s="150"/>
      <c r="B65" s="147"/>
      <c r="C65" s="147"/>
      <c r="D65" s="148"/>
      <c r="E65" s="150"/>
      <c r="F65" s="147"/>
      <c r="G65" s="147"/>
      <c r="H65" s="148"/>
      <c r="I65" s="150"/>
      <c r="M65" s="220">
        <v>63</v>
      </c>
      <c r="N65" s="220">
        <v>-4</v>
      </c>
      <c r="O65" s="152">
        <v>45851.625</v>
      </c>
      <c r="P65" s="152">
        <f t="shared" si="3"/>
        <v>45851.875</v>
      </c>
      <c r="Q65" s="149" t="s">
        <v>252</v>
      </c>
      <c r="R65" s="149" t="s">
        <v>253</v>
      </c>
      <c r="S65" s="149" t="s">
        <v>302</v>
      </c>
      <c r="T65" s="220" t="s">
        <v>10</v>
      </c>
      <c r="U65" s="220">
        <f t="shared" ca="1" si="8"/>
        <v>1</v>
      </c>
      <c r="V65" s="220">
        <f t="shared" ca="1" si="9"/>
        <v>2</v>
      </c>
      <c r="W65" s="2"/>
      <c r="AG65" s="2"/>
    </row>
    <row r="66" spans="1:33" x14ac:dyDescent="0.25">
      <c r="E66" s="3"/>
      <c r="I66" s="40"/>
    </row>
    <row r="67" spans="1:33" x14ac:dyDescent="0.25">
      <c r="E67" s="3"/>
      <c r="I67" s="40"/>
    </row>
    <row r="68" spans="1:33" x14ac:dyDescent="0.25">
      <c r="E68" s="3"/>
      <c r="I68" s="40"/>
    </row>
    <row r="69" spans="1:33" x14ac:dyDescent="0.25">
      <c r="E69" s="3"/>
      <c r="I69" s="40"/>
    </row>
    <row r="70" spans="1:33" x14ac:dyDescent="0.25">
      <c r="E70" s="3"/>
      <c r="I70" s="40"/>
    </row>
    <row r="71" spans="1:33" x14ac:dyDescent="0.25">
      <c r="E71" s="3"/>
      <c r="I71" s="40"/>
    </row>
    <row r="72" spans="1:33" x14ac:dyDescent="0.25">
      <c r="E72" s="3"/>
      <c r="I72" s="40"/>
    </row>
    <row r="73" spans="1:33" x14ac:dyDescent="0.25">
      <c r="E73" s="3"/>
      <c r="I73" s="40"/>
    </row>
    <row r="74" spans="1:33" x14ac:dyDescent="0.25">
      <c r="E74" s="3"/>
      <c r="I74" s="40"/>
    </row>
    <row r="75" spans="1:33" x14ac:dyDescent="0.25">
      <c r="E75" s="3"/>
      <c r="I75" s="40"/>
    </row>
    <row r="76" spans="1:33" x14ac:dyDescent="0.25">
      <c r="E76" s="3"/>
      <c r="I76" s="40"/>
    </row>
    <row r="77" spans="1:33" x14ac:dyDescent="0.25">
      <c r="E77" s="3"/>
      <c r="I77" s="40"/>
    </row>
    <row r="78" spans="1:33" x14ac:dyDescent="0.25">
      <c r="E78" s="3"/>
      <c r="I78" s="40"/>
    </row>
  </sheetData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3BFDD-51F6-4DCD-8BD0-B72399A3071F}">
  <sheetPr codeName="Hoja10"/>
  <dimension ref="B1:HP1"/>
  <sheetViews>
    <sheetView showGridLines="0" zoomScale="70" zoomScaleNormal="70" workbookViewId="0">
      <selection activeCell="C1" sqref="C1"/>
    </sheetView>
  </sheetViews>
  <sheetFormatPr baseColWidth="10" defaultRowHeight="15" x14ac:dyDescent="0.25"/>
  <cols>
    <col min="5" max="119" width="6" customWidth="1"/>
    <col min="120" max="220" width="5.7109375" customWidth="1"/>
  </cols>
  <sheetData>
    <row r="1" spans="2:224" x14ac:dyDescent="0.25">
      <c r="B1" s="51" t="str">
        <f>Normas!C28</f>
        <v>robstan luibo</v>
      </c>
      <c r="C1" s="75" t="str">
        <f>Normas!C30</f>
        <v>robstanlubo@gmail.com</v>
      </c>
      <c r="D1" s="75">
        <f>Normas!C32</f>
        <v>4126737263</v>
      </c>
      <c r="E1" s="50">
        <f ca="1">+Resultado!E3</f>
        <v>0</v>
      </c>
      <c r="F1" s="50">
        <f ca="1">+Resultado!F3</f>
        <v>2</v>
      </c>
      <c r="G1" s="50">
        <f ca="1">+Resultado!G3</f>
        <v>2</v>
      </c>
      <c r="H1" s="50">
        <f ca="1">+Resultado!H3</f>
        <v>5</v>
      </c>
      <c r="I1" s="50">
        <f ca="1">+Resultado!I3</f>
        <v>0</v>
      </c>
      <c r="J1" s="50">
        <f ca="1">+Resultado!J3</f>
        <v>1</v>
      </c>
      <c r="K1" s="50">
        <f ca="1">+Resultado!K3</f>
        <v>1</v>
      </c>
      <c r="L1" s="50">
        <f ca="1">+Resultado!L3</f>
        <v>1</v>
      </c>
      <c r="M1" s="50" t="str">
        <f ca="1">+Resultado!M3</f>
        <v>x</v>
      </c>
      <c r="N1" s="50">
        <f ca="1">+Resultado!N3</f>
        <v>1</v>
      </c>
      <c r="O1" s="50">
        <f ca="1">+Resultado!O3</f>
        <v>1</v>
      </c>
      <c r="P1" s="50" t="str">
        <f ca="1">+Resultado!P3</f>
        <v>x</v>
      </c>
      <c r="Q1" s="50">
        <f ca="1">+Resultado!Q3</f>
        <v>2</v>
      </c>
      <c r="R1" s="50">
        <f ca="1">+Resultado!R3</f>
        <v>0</v>
      </c>
      <c r="S1" s="50">
        <f ca="1">+Resultado!S3</f>
        <v>1</v>
      </c>
      <c r="T1" s="50">
        <f ca="1">+Resultado!T3</f>
        <v>2</v>
      </c>
      <c r="U1" s="50">
        <f ca="1">+Resultado!U3</f>
        <v>1</v>
      </c>
      <c r="V1" s="50">
        <f ca="1">+Resultado!V3</f>
        <v>1</v>
      </c>
      <c r="W1" s="50">
        <f ca="1">+Resultado!W3</f>
        <v>1</v>
      </c>
      <c r="X1" s="50">
        <f ca="1">+Resultado!X3</f>
        <v>1</v>
      </c>
      <c r="Y1" s="50" t="str">
        <f ca="1">+Resultado!Y3</f>
        <v>x</v>
      </c>
      <c r="Z1" s="50">
        <f ca="1">+Resultado!Z3</f>
        <v>3</v>
      </c>
      <c r="AA1" s="50">
        <f ca="1">+Resultado!AA3</f>
        <v>0</v>
      </c>
      <c r="AB1" s="50">
        <f ca="1">+Resultado!AB3</f>
        <v>1</v>
      </c>
      <c r="AC1" s="50">
        <f ca="1">+Resultado!AC3</f>
        <v>1</v>
      </c>
      <c r="AD1" s="50">
        <f ca="1">+Resultado!AD3</f>
        <v>2</v>
      </c>
      <c r="AE1" s="50">
        <f ca="1">+Resultado!AE3</f>
        <v>2</v>
      </c>
      <c r="AF1" s="50">
        <f ca="1">+Resultado!AF3</f>
        <v>3</v>
      </c>
      <c r="AG1" s="50">
        <f ca="1">+Resultado!AG3</f>
        <v>0</v>
      </c>
      <c r="AH1" s="50">
        <f ca="1">+Resultado!AH3</f>
        <v>1</v>
      </c>
      <c r="AI1" s="50">
        <f ca="1">+Resultado!AI3</f>
        <v>1</v>
      </c>
      <c r="AJ1" s="50">
        <f ca="1">+Resultado!AJ3</f>
        <v>2</v>
      </c>
      <c r="AK1" s="50">
        <f ca="1">+Resultado!AK3</f>
        <v>2</v>
      </c>
      <c r="AL1" s="50">
        <f ca="1">+Resultado!AL3</f>
        <v>1</v>
      </c>
      <c r="AM1" s="50">
        <f ca="1">+Resultado!AM3</f>
        <v>1</v>
      </c>
      <c r="AN1" s="50" t="str">
        <f ca="1">+Resultado!AN3</f>
        <v>x</v>
      </c>
      <c r="AO1" s="50">
        <f ca="1">+Resultado!AO3</f>
        <v>5</v>
      </c>
      <c r="AP1" s="50">
        <f ca="1">+Resultado!AP3</f>
        <v>0</v>
      </c>
      <c r="AQ1" s="50">
        <f ca="1">+Resultado!AQ3</f>
        <v>1</v>
      </c>
      <c r="AR1" s="50">
        <f ca="1">+Resultado!AR3</f>
        <v>3</v>
      </c>
      <c r="AS1" s="50">
        <f ca="1">+Resultado!AS3</f>
        <v>0</v>
      </c>
      <c r="AT1" s="50">
        <f ca="1">+Resultado!AT3</f>
        <v>1</v>
      </c>
      <c r="AU1" s="50">
        <f ca="1">+Resultado!AU3</f>
        <v>1</v>
      </c>
      <c r="AV1" s="50">
        <f ca="1">+Resultado!AV3</f>
        <v>1</v>
      </c>
      <c r="AW1" s="50" t="str">
        <f ca="1">+Resultado!AW3</f>
        <v>x</v>
      </c>
      <c r="AX1" s="50">
        <f ca="1">+Resultado!AX3</f>
        <v>1</v>
      </c>
      <c r="AY1" s="50">
        <f ca="1">+Resultado!AY3</f>
        <v>2</v>
      </c>
      <c r="AZ1" s="50">
        <f ca="1">+Resultado!AZ3</f>
        <v>2</v>
      </c>
      <c r="BA1" s="50">
        <f ca="1">+Resultado!BA3</f>
        <v>2</v>
      </c>
      <c r="BB1" s="50">
        <f ca="1">+Resultado!BB3</f>
        <v>0</v>
      </c>
      <c r="BC1" s="50">
        <f ca="1">+Resultado!BC3</f>
        <v>1</v>
      </c>
      <c r="BD1" s="50">
        <f ca="1">+Resultado!BD3</f>
        <v>1</v>
      </c>
      <c r="BE1" s="50">
        <f ca="1">+Resultado!BE3</f>
        <v>2</v>
      </c>
      <c r="BF1" s="50">
        <f ca="1">+Resultado!BF3</f>
        <v>2</v>
      </c>
      <c r="BG1" s="50">
        <f ca="1">+Resultado!BG3</f>
        <v>1</v>
      </c>
      <c r="BH1" s="50">
        <f ca="1">+Resultado!BH3</f>
        <v>2</v>
      </c>
      <c r="BI1" s="50">
        <f ca="1">+Resultado!BI3</f>
        <v>2</v>
      </c>
      <c r="BJ1" s="50">
        <f ca="1">+Resultado!BJ3</f>
        <v>2</v>
      </c>
      <c r="BK1" s="50">
        <f ca="1">+Resultado!BK3</f>
        <v>0</v>
      </c>
      <c r="BL1" s="50">
        <f ca="1">+Resultado!BL3</f>
        <v>1</v>
      </c>
      <c r="BM1" s="50">
        <f ca="1">+Resultado!BM3</f>
        <v>1</v>
      </c>
      <c r="BN1" s="50">
        <f ca="1">+Resultado!BN3</f>
        <v>0</v>
      </c>
      <c r="BO1" s="50">
        <f ca="1">+Resultado!BO3</f>
        <v>1</v>
      </c>
      <c r="BP1" s="50">
        <f ca="1">+Resultado!BP3</f>
        <v>1</v>
      </c>
      <c r="BQ1" s="50">
        <f ca="1">+Resultado!BQ3</f>
        <v>2</v>
      </c>
      <c r="BR1" s="50">
        <f ca="1">+Resultado!BR3</f>
        <v>2</v>
      </c>
      <c r="BS1" s="50">
        <f ca="1">+Resultado!BS3</f>
        <v>2</v>
      </c>
      <c r="BT1" s="50">
        <f ca="1">+Resultado!BT3</f>
        <v>1</v>
      </c>
      <c r="BU1" s="50">
        <f ca="1">+Resultado!BU3</f>
        <v>1</v>
      </c>
      <c r="BV1" s="50">
        <f ca="1">+Resultado!BV3</f>
        <v>4</v>
      </c>
      <c r="BW1" s="50">
        <f ca="1">+Resultado!BW3</f>
        <v>0</v>
      </c>
      <c r="BX1" s="50">
        <f ca="1">+Resultado!BX3</f>
        <v>1</v>
      </c>
      <c r="BY1" s="50">
        <f ca="1">+Resultado!BY3</f>
        <v>0</v>
      </c>
      <c r="BZ1" s="50">
        <f ca="1">+Resultado!BZ3</f>
        <v>4</v>
      </c>
      <c r="CA1" s="50">
        <f ca="1">+Resultado!CA3</f>
        <v>2</v>
      </c>
      <c r="CB1" s="50">
        <f ca="1">+Resultado!CB3</f>
        <v>2</v>
      </c>
      <c r="CC1" s="50">
        <f ca="1">+Resultado!CC3</f>
        <v>0</v>
      </c>
      <c r="CD1" s="50">
        <f ca="1">+Resultado!CD3</f>
        <v>1</v>
      </c>
      <c r="CE1" s="50">
        <f ca="1">+Resultado!CE3</f>
        <v>3</v>
      </c>
      <c r="CF1" s="50">
        <f ca="1">+Resultado!CF3</f>
        <v>0</v>
      </c>
      <c r="CG1" s="50">
        <f ca="1">+Resultado!CG3</f>
        <v>1</v>
      </c>
      <c r="CH1" s="50">
        <f ca="1">+Resultado!CH3</f>
        <v>1</v>
      </c>
      <c r="CI1" s="50">
        <f ca="1">+Resultado!CI3</f>
        <v>0</v>
      </c>
      <c r="CJ1" s="50">
        <f ca="1">+Resultado!CJ3</f>
        <v>1</v>
      </c>
      <c r="CK1" s="50">
        <f ca="1">+Resultado!CK3</f>
        <v>2</v>
      </c>
      <c r="CL1" s="50">
        <f ca="1">+Resultado!CL3</f>
        <v>1</v>
      </c>
      <c r="CM1" s="50">
        <f ca="1">+Resultado!CM3</f>
        <v>1</v>
      </c>
      <c r="CN1" s="50">
        <f ca="1">+Resultado!CN3</f>
        <v>2</v>
      </c>
      <c r="CO1" s="50">
        <f ca="1">+Resultado!CO3</f>
        <v>0</v>
      </c>
      <c r="CP1" s="50">
        <f ca="1">+Resultado!CP3</f>
        <v>1</v>
      </c>
      <c r="CQ1" s="50">
        <f ca="1">+Resultado!CQ3</f>
        <v>1</v>
      </c>
      <c r="CR1" s="50">
        <f ca="1">+Resultado!CR3</f>
        <v>2</v>
      </c>
      <c r="CS1" s="50">
        <f ca="1">+Resultado!CS3</f>
        <v>2</v>
      </c>
      <c r="CT1" s="50">
        <f ca="1">+Resultado!CT3</f>
        <v>3</v>
      </c>
      <c r="CU1" s="50">
        <f ca="1">+Resultado!CU3</f>
        <v>0</v>
      </c>
      <c r="CV1" s="50">
        <f ca="1">+Resultado!CV3</f>
        <v>1</v>
      </c>
      <c r="CW1" s="50">
        <f ca="1">+Resultado!CW3</f>
        <v>0</v>
      </c>
      <c r="CX1" s="50">
        <f ca="1">+Resultado!CX3</f>
        <v>4</v>
      </c>
      <c r="CY1" s="50">
        <f ca="1">+Resultado!CY3</f>
        <v>2</v>
      </c>
      <c r="CZ1" s="50">
        <f ca="1">+Resultado!CZ3</f>
        <v>1</v>
      </c>
      <c r="DA1" s="50">
        <f ca="1">+Resultado!DA3</f>
        <v>0</v>
      </c>
      <c r="DB1" s="50">
        <f ca="1">+Resultado!DB3</f>
        <v>1</v>
      </c>
      <c r="DC1" s="50">
        <f ca="1">+Resultado!DC3</f>
        <v>2</v>
      </c>
      <c r="DD1" s="50">
        <f ca="1">+Resultado!DD3</f>
        <v>3</v>
      </c>
      <c r="DE1" s="50">
        <f ca="1">+Resultado!DE3</f>
        <v>2</v>
      </c>
      <c r="DF1" s="50">
        <f ca="1">+Resultado!DF3</f>
        <v>2</v>
      </c>
      <c r="DG1" s="50">
        <f ca="1">+Resultado!DG3</f>
        <v>0</v>
      </c>
      <c r="DH1" s="50">
        <f ca="1">+Resultado!DH3</f>
        <v>1</v>
      </c>
      <c r="DI1" s="50">
        <f ca="1">+Resultado!DI3</f>
        <v>0</v>
      </c>
      <c r="DJ1" s="50">
        <f ca="1">+Resultado!DJ3</f>
        <v>2</v>
      </c>
      <c r="DK1" s="50">
        <f ca="1">+Resultado!DK3</f>
        <v>2</v>
      </c>
      <c r="DL1" s="50">
        <f ca="1">+Resultado!DL3</f>
        <v>1</v>
      </c>
      <c r="DM1" s="50">
        <f ca="1">+Resultado!DM3</f>
        <v>4</v>
      </c>
      <c r="DN1" s="50">
        <f ca="1">+Resultado!DN3</f>
        <v>2</v>
      </c>
      <c r="DO1" s="50">
        <f ca="1">+Resultado!DO3</f>
        <v>1</v>
      </c>
      <c r="DP1" s="50">
        <f ca="1">+Resultado!DP3</f>
        <v>2</v>
      </c>
      <c r="DQ1" s="50">
        <f ca="1">+Resultado!DQ3</f>
        <v>2</v>
      </c>
      <c r="DR1" s="50">
        <f ca="1">+Resultado!DR3</f>
        <v>0</v>
      </c>
      <c r="DS1" s="50">
        <f ca="1">+Resultado!DS3</f>
        <v>3</v>
      </c>
      <c r="DT1" s="50">
        <f ca="1">+Resultado!DT3</f>
        <v>2</v>
      </c>
      <c r="DU1" s="50">
        <f ca="1">+Resultado!DU3</f>
        <v>3</v>
      </c>
      <c r="DV1" s="50">
        <f ca="1">+Resultado!DV3</f>
        <v>0</v>
      </c>
      <c r="DW1" s="50">
        <f ca="1">+Resultado!DW3</f>
        <v>1</v>
      </c>
      <c r="DX1" s="50">
        <f ca="1">+Resultado!DX3</f>
        <v>1</v>
      </c>
      <c r="DY1" s="50">
        <f ca="1">+Resultado!DY3</f>
        <v>4</v>
      </c>
      <c r="DZ1" s="50">
        <f ca="1">+Resultado!DZ3</f>
        <v>2</v>
      </c>
      <c r="EA1" s="50">
        <f ca="1">+Resultado!EA3</f>
        <v>1</v>
      </c>
      <c r="EB1" s="50">
        <f ca="1">+Resultado!EB3</f>
        <v>1</v>
      </c>
      <c r="EC1" s="50" t="str">
        <f ca="1">+Resultado!EC3</f>
        <v>x</v>
      </c>
      <c r="ED1" s="50">
        <f ca="1">+Resultado!ED3</f>
        <v>0</v>
      </c>
      <c r="EE1" s="50">
        <f ca="1">+Resultado!EE3</f>
        <v>1</v>
      </c>
      <c r="EF1" s="50">
        <f ca="1">+Resultado!EF3</f>
        <v>2</v>
      </c>
      <c r="EG1" s="50">
        <f ca="1">+Resultado!EG3</f>
        <v>1</v>
      </c>
      <c r="EH1" s="50">
        <f ca="1">+Resultado!EH3</f>
        <v>1</v>
      </c>
      <c r="EI1" s="50" t="str">
        <f ca="1">+Resultado!EI3</f>
        <v>x</v>
      </c>
      <c r="EJ1" s="50">
        <f ca="1">+Resultado!EJ3</f>
        <v>0</v>
      </c>
      <c r="EK1" s="50">
        <f ca="1">+Resultado!EK3</f>
        <v>1</v>
      </c>
      <c r="EL1" s="50">
        <f ca="1">+Resultado!EL3</f>
        <v>2</v>
      </c>
      <c r="EM1" s="50">
        <f ca="1">+Resultado!EM3</f>
        <v>2</v>
      </c>
      <c r="EN1" s="50">
        <f ca="1">+Resultado!EN3</f>
        <v>2</v>
      </c>
      <c r="EO1" s="50" t="str">
        <f ca="1">+Resultado!EO3</f>
        <v>x</v>
      </c>
      <c r="EP1" s="50">
        <f ca="1">+Resultado!EP3</f>
        <v>1</v>
      </c>
      <c r="EQ1" s="50">
        <f ca="1">+Resultado!EQ3</f>
        <v>3</v>
      </c>
      <c r="ER1" s="50">
        <f ca="1">+Resultado!ER3</f>
        <v>2</v>
      </c>
      <c r="ES1" s="50" t="str">
        <f ca="1">+Resultado!ES3</f>
        <v>Palmeiras</v>
      </c>
      <c r="ET1" s="50" t="str">
        <f ca="1">+Resultado!ET3</f>
        <v>Paris Saint-Germain</v>
      </c>
      <c r="EU1" s="50" t="str">
        <f ca="1">+Resultado!EU3</f>
        <v>Bayern Múnich</v>
      </c>
      <c r="EV1" s="50" t="str">
        <f ca="1">+Resultado!EV3</f>
        <v>Chelsea</v>
      </c>
      <c r="EW1" s="50" t="str">
        <f ca="1">+Resultado!EW3</f>
        <v>River Plate</v>
      </c>
      <c r="EX1" s="50" t="str">
        <f ca="1">+Resultado!EX3</f>
        <v>Borussia Dortmund</v>
      </c>
      <c r="EY1" s="50" t="str">
        <f ca="1">+Resultado!EY3</f>
        <v>Manchester City</v>
      </c>
      <c r="EZ1" s="50" t="str">
        <f ca="1">+Resultado!EZ3</f>
        <v>Real Madrid</v>
      </c>
      <c r="FA1" s="50" t="str">
        <f ca="1">+Resultado!FA3</f>
        <v>Porto</v>
      </c>
      <c r="FB1" s="50" t="str">
        <f ca="1">+Resultado!FB3</f>
        <v>Atlético de Madrid</v>
      </c>
      <c r="FC1" s="50" t="str">
        <f ca="1">+Resultado!FC3</f>
        <v>Boca Juniors</v>
      </c>
      <c r="FD1" s="50" t="str">
        <f ca="1">+Resultado!FD3</f>
        <v>Flamengo</v>
      </c>
      <c r="FE1" s="50" t="str">
        <f ca="1">+Resultado!FE3</f>
        <v>Inter de Milán</v>
      </c>
      <c r="FF1" s="50" t="str">
        <f ca="1">+Resultado!FF3</f>
        <v>Fluminense</v>
      </c>
      <c r="FG1" s="50" t="str">
        <f ca="1">+Resultado!FG3</f>
        <v>Juventus</v>
      </c>
      <c r="FH1" s="50" t="str">
        <f ca="1">+Resultado!FH3</f>
        <v>Al-Hilal</v>
      </c>
      <c r="FI1" s="50" t="str">
        <f ca="1">+Resultado!FI3</f>
        <v>Atlético de Madrid</v>
      </c>
      <c r="FJ1" s="50" t="str">
        <f ca="1">+Resultado!FJ3</f>
        <v>Bayern Múnich</v>
      </c>
      <c r="FK1" s="50" t="str">
        <f ca="1">+Resultado!FK3</f>
        <v>River Plate</v>
      </c>
      <c r="FL1" s="50" t="str">
        <f ca="1">+Resultado!FL3</f>
        <v>Manchester City</v>
      </c>
      <c r="FM1" s="50" t="str">
        <f ca="1">+Resultado!FM3</f>
        <v>Paris Saint-Germain</v>
      </c>
      <c r="FN1" s="50" t="str">
        <f ca="1">+Resultado!FN3</f>
        <v>Chelsea</v>
      </c>
      <c r="FO1" s="50" t="str">
        <f ca="1">+Resultado!FO3</f>
        <v>Inter de Milán</v>
      </c>
      <c r="FP1" s="50" t="str">
        <f ca="1">+Resultado!FP3</f>
        <v>Real Madrid</v>
      </c>
      <c r="FQ1" s="50" t="str">
        <f ca="1">+Resultado!FQ3</f>
        <v>Bayern Múnich</v>
      </c>
      <c r="FR1" s="50" t="str">
        <f ca="1">+Resultado!FR3</f>
        <v>River Plate</v>
      </c>
      <c r="FS1" s="50" t="str">
        <f ca="1">+Resultado!FS3</f>
        <v>Chelsea</v>
      </c>
      <c r="FT1" s="50" t="str">
        <f ca="1">+Resultado!FT3</f>
        <v>Real Madrid</v>
      </c>
      <c r="FU1" s="50" t="str">
        <f ca="1">+Resultado!FU3</f>
        <v>Bayern Múnich</v>
      </c>
      <c r="FV1" s="50" t="str">
        <f ca="1">+Resultado!FV3</f>
        <v>Real Madrid</v>
      </c>
      <c r="FW1" s="50" t="str">
        <f ca="1">+Resultado!FW3</f>
        <v>Real Madrid</v>
      </c>
      <c r="FX1" s="50">
        <f ca="1">+Resultado!FX3</f>
        <v>1</v>
      </c>
      <c r="FY1" s="50">
        <f ca="1">+Resultado!FY3</f>
        <v>1</v>
      </c>
      <c r="FZ1" s="50" t="str">
        <f ca="1">+Resultado!FZ3</f>
        <v>x</v>
      </c>
      <c r="GA1" s="50">
        <f ca="1">+Resultado!GA3</f>
        <v>3</v>
      </c>
      <c r="GB1" s="50">
        <f ca="1">+Resultado!GB3</f>
        <v>1</v>
      </c>
      <c r="GC1" s="50">
        <f ca="1">+Resultado!GC3</f>
        <v>1</v>
      </c>
      <c r="GD1" s="50">
        <f ca="1">+Resultado!GD3</f>
        <v>2</v>
      </c>
      <c r="GE1" s="50">
        <f ca="1">+Resultado!GE3</f>
        <v>0</v>
      </c>
      <c r="GF1" s="50">
        <f ca="1">+Resultado!GF3</f>
        <v>1</v>
      </c>
      <c r="GG1" s="50">
        <f ca="1">+Resultado!GG3</f>
        <v>2</v>
      </c>
      <c r="GH1" s="50">
        <f ca="1">+Resultado!GH3</f>
        <v>0</v>
      </c>
      <c r="GI1" s="50">
        <f ca="1">+Resultado!GI3</f>
        <v>1</v>
      </c>
      <c r="GJ1" s="50">
        <f ca="1">+Resultado!GJ3</f>
        <v>1</v>
      </c>
      <c r="GK1" s="50">
        <f ca="1">+Resultado!GK3</f>
        <v>1</v>
      </c>
      <c r="GL1" s="50" t="str">
        <f ca="1">+Resultado!GL3</f>
        <v>x</v>
      </c>
      <c r="GM1" s="50">
        <f ca="1">+Resultado!GM3</f>
        <v>2</v>
      </c>
      <c r="GN1" s="50">
        <f ca="1">+Resultado!GN3</f>
        <v>0</v>
      </c>
      <c r="GO1" s="50">
        <f ca="1">+Resultado!GO3</f>
        <v>1</v>
      </c>
      <c r="GP1" s="50">
        <f ca="1">+Resultado!GP3</f>
        <v>1</v>
      </c>
      <c r="GQ1" s="50">
        <f ca="1">+Resultado!GQ3</f>
        <v>2</v>
      </c>
      <c r="GR1" s="50">
        <f ca="1">+Resultado!GR3</f>
        <v>2</v>
      </c>
      <c r="GS1" s="50">
        <f ca="1">+Resultado!GS3</f>
        <v>2</v>
      </c>
      <c r="GT1" s="50">
        <f ca="1">+Resultado!GT3</f>
        <v>0</v>
      </c>
      <c r="GU1" s="50">
        <f ca="1">+Resultado!GU3</f>
        <v>1</v>
      </c>
      <c r="GV1" s="50">
        <f ca="1">+Resultado!GV3</f>
        <v>1</v>
      </c>
      <c r="GW1" s="50">
        <f ca="1">+Resultado!GW3</f>
        <v>2</v>
      </c>
      <c r="GX1" s="50">
        <f ca="1">+Resultado!GX3</f>
        <v>2</v>
      </c>
      <c r="GY1" s="50">
        <f ca="1">+Resultado!GY3</f>
        <v>1</v>
      </c>
      <c r="GZ1" s="50">
        <f ca="1">+Resultado!GZ3</f>
        <v>1</v>
      </c>
      <c r="HA1" s="50" t="str">
        <f ca="1">+Resultado!HA3</f>
        <v>x</v>
      </c>
      <c r="HB1" s="50">
        <f ca="1">+Resultado!HB3</f>
        <v>2</v>
      </c>
      <c r="HC1" s="50">
        <f ca="1">+Resultado!HC3</f>
        <v>3</v>
      </c>
      <c r="HD1" s="50">
        <f ca="1">+Resultado!HD3</f>
        <v>2</v>
      </c>
      <c r="HE1" s="50">
        <f ca="1">+Resultado!HE3</f>
        <v>1</v>
      </c>
      <c r="HF1" s="50">
        <f ca="1">+Resultado!HF3</f>
        <v>3</v>
      </c>
      <c r="HG1" s="50">
        <f ca="1">+Resultado!HG3</f>
        <v>2</v>
      </c>
      <c r="HH1" s="50">
        <f ca="1">+Resultado!HH3</f>
        <v>2</v>
      </c>
      <c r="HI1" s="50">
        <f ca="1">+Resultado!HI3</f>
        <v>1</v>
      </c>
      <c r="HJ1" s="50">
        <f ca="1">+Resultado!HJ3</f>
        <v>1</v>
      </c>
      <c r="HK1" s="50">
        <f ca="1">+Resultado!HK3</f>
        <v>1</v>
      </c>
      <c r="HL1" s="50">
        <f ca="1">+Resultado!HL3</f>
        <v>2</v>
      </c>
      <c r="HM1" s="50">
        <f ca="1">+Resultado!HM3</f>
        <v>2</v>
      </c>
      <c r="HN1" s="50">
        <f ca="1">+Resultado!HN3</f>
        <v>1</v>
      </c>
      <c r="HO1" s="50">
        <f ca="1">+Resultado!HO3</f>
        <v>2</v>
      </c>
      <c r="HP1" s="50">
        <f ca="1">+Resultado!HP3</f>
        <v>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0579C-5A8B-4434-9EEC-2503F0974A0C}">
  <sheetPr codeName="Hoja12"/>
  <dimension ref="A1"/>
  <sheetViews>
    <sheetView showGridLines="0" zoomScale="175" zoomScaleNormal="175" workbookViewId="0">
      <pane xSplit="1" ySplit="1" topLeftCell="B2" activePane="bottomRight" state="frozen"/>
      <selection activeCell="AA17" sqref="AA17"/>
      <selection pane="topRight" activeCell="AA17" sqref="AA17"/>
      <selection pane="bottomLeft" activeCell="AA17" sqref="AA17"/>
      <selection pane="bottomRight" activeCell="D4" sqref="D4"/>
    </sheetView>
  </sheetViews>
  <sheetFormatPr baseColWidth="10" defaultRowHeight="15" x14ac:dyDescent="0.25"/>
  <cols>
    <col min="1" max="1" width="13.7109375" bestFit="1" customWidth="1"/>
    <col min="2" max="10" width="10.140625" bestFit="1" customWidth="1"/>
    <col min="11" max="100" width="11.140625" bestFit="1" customWidth="1"/>
    <col min="101" max="149" width="12.140625" bestFit="1" customWidth="1"/>
    <col min="150" max="150" width="16.140625" bestFit="1" customWidth="1"/>
    <col min="151" max="151" width="12.5703125" bestFit="1" customWidth="1"/>
    <col min="152" max="152" width="15.7109375" bestFit="1" customWidth="1"/>
    <col min="153" max="153" width="17.7109375" bestFit="1" customWidth="1"/>
    <col min="154" max="154" width="16" bestFit="1" customWidth="1"/>
    <col min="155" max="155" width="15.5703125" bestFit="1" customWidth="1"/>
    <col min="156" max="157" width="12.140625" bestFit="1" customWidth="1"/>
    <col min="158" max="158" width="16.140625" bestFit="1" customWidth="1"/>
    <col min="159" max="159" width="12.5703125" bestFit="1" customWidth="1"/>
    <col min="160" max="160" width="15.7109375" bestFit="1" customWidth="1"/>
    <col min="161" max="161" width="17.7109375" bestFit="1" customWidth="1"/>
    <col min="162" max="162" width="17.28515625" bestFit="1" customWidth="1"/>
    <col min="163" max="163" width="15.5703125" bestFit="1" customWidth="1"/>
    <col min="164" max="164" width="12.140625" bestFit="1" customWidth="1"/>
    <col min="165" max="165" width="16.140625" bestFit="1" customWidth="1"/>
    <col min="166" max="166" width="15.7109375" bestFit="1" customWidth="1"/>
    <col min="167" max="167" width="17.7109375" bestFit="1" customWidth="1"/>
    <col min="168" max="168" width="15.5703125" bestFit="1" customWidth="1"/>
    <col min="169" max="169" width="15.28515625" bestFit="1" customWidth="1"/>
    <col min="170" max="170" width="15.7109375" bestFit="1" customWidth="1"/>
    <col min="171" max="171" width="16" bestFit="1" customWidth="1"/>
    <col min="172" max="172" width="15.5703125" bestFit="1" customWidth="1"/>
    <col min="173" max="173" width="16.140625" bestFit="1" customWidth="1"/>
    <col min="174" max="174" width="17.7109375" bestFit="1" customWidth="1"/>
    <col min="175" max="175" width="15.7109375" bestFit="1" customWidth="1"/>
    <col min="176" max="176" width="15.5703125" bestFit="1" customWidth="1"/>
    <col min="177" max="177" width="17.7109375" bestFit="1" customWidth="1"/>
    <col min="178" max="178" width="15.7109375" bestFit="1" customWidth="1"/>
    <col min="179" max="179" width="17.7109375" bestFit="1" customWidth="1"/>
    <col min="180" max="224" width="12.140625" bestFit="1" customWidth="1"/>
    <col min="232" max="279" width="5" customWidth="1"/>
  </cols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A20C9-835C-49AA-BFEF-7BA7FE4A98AF}">
  <sheetPr codeName="Hoja13"/>
  <dimension ref="B1:HP22"/>
  <sheetViews>
    <sheetView showGridLines="0" zoomScale="115" zoomScaleNormal="115" workbookViewId="0">
      <selection activeCell="GJ28" sqref="GJ28:GK28"/>
    </sheetView>
  </sheetViews>
  <sheetFormatPr baseColWidth="10" defaultRowHeight="15" x14ac:dyDescent="0.25"/>
  <cols>
    <col min="2" max="2" width="17.28515625" customWidth="1"/>
    <col min="5" max="148" width="6" customWidth="1"/>
    <col min="157" max="179" width="10.7109375" customWidth="1"/>
    <col min="180" max="224" width="6" customWidth="1"/>
    <col min="225" max="245" width="5" customWidth="1"/>
  </cols>
  <sheetData>
    <row r="1" spans="2:224" x14ac:dyDescent="0.25">
      <c r="B1" t="s">
        <v>56</v>
      </c>
      <c r="E1" s="242" t="str">
        <f>VLOOKUP(E2,Aux!$M:$AZ,8,0)</f>
        <v>A</v>
      </c>
      <c r="F1" s="242" t="str">
        <f>VLOOKUP(E2,Aux!$M:$AZ,8,0)</f>
        <v>A</v>
      </c>
      <c r="G1" s="242" t="str">
        <f>VLOOKUP(E2,Aux!$M:$AZ,8,0)</f>
        <v>A</v>
      </c>
      <c r="H1" s="242" t="str">
        <f>VLOOKUP(H2,Aux!$M:$AZ,8,0)</f>
        <v>C</v>
      </c>
      <c r="I1" s="242" t="str">
        <f>VLOOKUP(H2,Aux!$M:$AZ,8,0)</f>
        <v>C</v>
      </c>
      <c r="J1" s="242" t="str">
        <f>VLOOKUP(H2,Aux!$M:$AZ,8,0)</f>
        <v>C</v>
      </c>
      <c r="K1" s="242" t="str">
        <f>VLOOKUP(K2,Aux!$M:$AZ,8,0)</f>
        <v>B</v>
      </c>
      <c r="L1" s="242" t="str">
        <f>VLOOKUP(K2,Aux!$M:$AZ,8,0)</f>
        <v>B</v>
      </c>
      <c r="M1" s="242" t="str">
        <f>VLOOKUP(K2,Aux!$M:$AZ,8,0)</f>
        <v>B</v>
      </c>
      <c r="N1" s="242" t="str">
        <f>VLOOKUP(N2,Aux!$M:$AZ,8,0)</f>
        <v>A</v>
      </c>
      <c r="O1" s="242" t="str">
        <f>VLOOKUP(N2,Aux!$M:$AZ,8,0)</f>
        <v>A</v>
      </c>
      <c r="P1" s="242" t="str">
        <f>VLOOKUP(N2,Aux!$M:$AZ,8,0)</f>
        <v>A</v>
      </c>
      <c r="Q1" s="242" t="str">
        <f>VLOOKUP(Q2,Aux!$M:$AZ,8,0)</f>
        <v>B</v>
      </c>
      <c r="R1" s="242" t="str">
        <f>VLOOKUP(Q2,Aux!$M:$AZ,8,0)</f>
        <v>B</v>
      </c>
      <c r="S1" s="242" t="str">
        <f>VLOOKUP(Q2,Aux!$M:$AZ,8,0)</f>
        <v>B</v>
      </c>
      <c r="T1" s="242" t="str">
        <f>VLOOKUP(T2,Aux!$M:$AZ,8,0)</f>
        <v>D</v>
      </c>
      <c r="U1" s="242" t="str">
        <f>VLOOKUP(T2,Aux!$M:$AZ,8,0)</f>
        <v>D</v>
      </c>
      <c r="V1" s="242" t="str">
        <f>VLOOKUP(T2,Aux!$M:$AZ,8,0)</f>
        <v>D</v>
      </c>
      <c r="W1" s="242" t="str">
        <f>VLOOKUP(W2,Aux!$M:$AZ,8,0)</f>
        <v>C</v>
      </c>
      <c r="X1" s="242" t="str">
        <f>VLOOKUP(W2,Aux!$M:$AZ,8,0)</f>
        <v>C</v>
      </c>
      <c r="Y1" s="242" t="str">
        <f>VLOOKUP(W2,Aux!$M:$AZ,8,0)</f>
        <v>C</v>
      </c>
      <c r="Z1" s="242" t="str">
        <f>VLOOKUP(Z2,Aux!$M:$AZ,8,0)</f>
        <v>D</v>
      </c>
      <c r="AA1" s="242" t="str">
        <f>VLOOKUP(Z2,Aux!$M:$AZ,8,0)</f>
        <v>D</v>
      </c>
      <c r="AB1" s="242" t="str">
        <f>VLOOKUP(Z2,Aux!$M:$AZ,8,0)</f>
        <v>D</v>
      </c>
      <c r="AC1" s="242" t="str">
        <f>VLOOKUP(AC2,Aux!$M:$AZ,8,0)</f>
        <v>F</v>
      </c>
      <c r="AD1" s="242" t="str">
        <f>VLOOKUP(AC2,Aux!$M:$AZ,8,0)</f>
        <v>F</v>
      </c>
      <c r="AE1" s="242" t="str">
        <f>VLOOKUP(AC2,Aux!$M:$AZ,8,0)</f>
        <v>F</v>
      </c>
      <c r="AF1" s="242" t="str">
        <f>VLOOKUP(AF2,Aux!$M:$AZ,8,0)</f>
        <v>E</v>
      </c>
      <c r="AG1" s="242" t="str">
        <f>VLOOKUP(AF2,Aux!$M:$AZ,8,0)</f>
        <v>E</v>
      </c>
      <c r="AH1" s="242" t="str">
        <f>VLOOKUP(AF2,Aux!$M:$AZ,8,0)</f>
        <v>E</v>
      </c>
      <c r="AI1" s="242" t="str">
        <f>VLOOKUP(AI2,Aux!$M:$AZ,8,0)</f>
        <v>F</v>
      </c>
      <c r="AJ1" s="242" t="str">
        <f>VLOOKUP(AI2,Aux!$M:$AZ,8,0)</f>
        <v>F</v>
      </c>
      <c r="AK1" s="242" t="str">
        <f>VLOOKUP(AI2,Aux!$M:$AZ,8,0)</f>
        <v>F</v>
      </c>
      <c r="AL1" s="242" t="str">
        <f>VLOOKUP(AL2,Aux!$M:$AZ,8,0)</f>
        <v>E</v>
      </c>
      <c r="AM1" s="242" t="str">
        <f>VLOOKUP(AL2,Aux!$M:$AZ,8,0)</f>
        <v>E</v>
      </c>
      <c r="AN1" s="242" t="str">
        <f>VLOOKUP(AL2,Aux!$M:$AZ,8,0)</f>
        <v>E</v>
      </c>
      <c r="AO1" s="242" t="str">
        <f>VLOOKUP(AO2,Aux!$M:$AZ,8,0)</f>
        <v>G</v>
      </c>
      <c r="AP1" s="242" t="str">
        <f>VLOOKUP(AO2,Aux!$M:$AZ,8,0)</f>
        <v>G</v>
      </c>
      <c r="AQ1" s="242" t="str">
        <f>VLOOKUP(AO2,Aux!$M:$AZ,8,0)</f>
        <v>G</v>
      </c>
      <c r="AR1" s="242" t="str">
        <f>VLOOKUP(AR2,Aux!$M:$AZ,8,0)</f>
        <v>H</v>
      </c>
      <c r="AS1" s="242" t="str">
        <f>VLOOKUP(AR2,Aux!$M:$AZ,8,0)</f>
        <v>H</v>
      </c>
      <c r="AT1" s="242" t="str">
        <f>VLOOKUP(AR2,Aux!$M:$AZ,8,0)</f>
        <v>H</v>
      </c>
      <c r="AU1" s="242" t="str">
        <f>VLOOKUP(AU2,Aux!$M:$AZ,8,0)</f>
        <v>H</v>
      </c>
      <c r="AV1" s="242" t="str">
        <f>VLOOKUP(AU2,Aux!$M:$AZ,8,0)</f>
        <v>H</v>
      </c>
      <c r="AW1" s="242" t="str">
        <f>VLOOKUP(AU2,Aux!$M:$AZ,8,0)</f>
        <v>H</v>
      </c>
      <c r="AX1" s="242" t="str">
        <f>VLOOKUP(AX2,Aux!$M:$AZ,8,0)</f>
        <v>G</v>
      </c>
      <c r="AY1" s="242" t="str">
        <f>VLOOKUP(AX2,Aux!$M:$AZ,8,0)</f>
        <v>G</v>
      </c>
      <c r="AZ1" s="242" t="str">
        <f>VLOOKUP(AX2,Aux!$M:$AZ,8,0)</f>
        <v>G</v>
      </c>
      <c r="BA1" s="242" t="str">
        <f>VLOOKUP(BA2,Aux!$M:$AZ,8,0)</f>
        <v>A</v>
      </c>
      <c r="BB1" s="242" t="str">
        <f>VLOOKUP(BA2,Aux!$M:$AZ,8,0)</f>
        <v>A</v>
      </c>
      <c r="BC1" s="242" t="str">
        <f>VLOOKUP(BA2,Aux!$M:$AZ,8,0)</f>
        <v>A</v>
      </c>
      <c r="BD1" s="242" t="str">
        <f>VLOOKUP(BD2,Aux!$M:$AZ,8,0)</f>
        <v>A</v>
      </c>
      <c r="BE1" s="242" t="str">
        <f>VLOOKUP(BD2,Aux!$M:$AZ,8,0)</f>
        <v>A</v>
      </c>
      <c r="BF1" s="242" t="str">
        <f>VLOOKUP(BD2,Aux!$M:$AZ,8,0)</f>
        <v>A</v>
      </c>
      <c r="BG1" s="242" t="str">
        <f>VLOOKUP(BG2,Aux!$M:$AZ,8,0)</f>
        <v>B</v>
      </c>
      <c r="BH1" s="242" t="str">
        <f>VLOOKUP(BG2,Aux!$M:$AZ,8,0)</f>
        <v>B</v>
      </c>
      <c r="BI1" s="242" t="str">
        <f>VLOOKUP(BG2,Aux!$M:$AZ,8,0)</f>
        <v>B</v>
      </c>
      <c r="BJ1" s="242" t="str">
        <f>VLOOKUP(BJ2,Aux!$M:$AZ,8,0)</f>
        <v>B</v>
      </c>
      <c r="BK1" s="242" t="str">
        <f>VLOOKUP(BJ2,Aux!$M:$AZ,8,0)</f>
        <v>B</v>
      </c>
      <c r="BL1" s="242" t="str">
        <f>VLOOKUP(BJ2,Aux!$M:$AZ,8,0)</f>
        <v>B</v>
      </c>
      <c r="BM1" s="242" t="str">
        <f>VLOOKUP(BM2,Aux!$M:$AZ,8,0)</f>
        <v>C</v>
      </c>
      <c r="BN1" s="242" t="str">
        <f>VLOOKUP(BM2,Aux!$M:$AZ,8,0)</f>
        <v>C</v>
      </c>
      <c r="BO1" s="242" t="str">
        <f>VLOOKUP(BM2,Aux!$M:$AZ,8,0)</f>
        <v>C</v>
      </c>
      <c r="BP1" s="242" t="str">
        <f>VLOOKUP(BP2,Aux!$M:$AZ,8,0)</f>
        <v>D</v>
      </c>
      <c r="BQ1" s="242" t="str">
        <f>VLOOKUP(BP2,Aux!$M:$AZ,8,0)</f>
        <v>D</v>
      </c>
      <c r="BR1" s="242" t="str">
        <f>VLOOKUP(BP2,Aux!$M:$AZ,8,0)</f>
        <v>D</v>
      </c>
      <c r="BS1" s="242" t="str">
        <f>VLOOKUP(BS2,Aux!$M:$AZ,8,0)</f>
        <v>D</v>
      </c>
      <c r="BT1" s="242" t="str">
        <f>VLOOKUP(BS2,Aux!$M:$AZ,8,0)</f>
        <v>D</v>
      </c>
      <c r="BU1" s="242" t="str">
        <f>VLOOKUP(BS2,Aux!$M:$AZ,8,0)</f>
        <v>D</v>
      </c>
      <c r="BV1" s="242" t="str">
        <f>VLOOKUP(BV2,Aux!$M:$AZ,8,0)</f>
        <v>C</v>
      </c>
      <c r="BW1" s="242" t="str">
        <f>VLOOKUP(BV2,Aux!$M:$AZ,8,0)</f>
        <v>C</v>
      </c>
      <c r="BX1" s="242" t="str">
        <f>VLOOKUP(BV2,Aux!$M:$AZ,8,0)</f>
        <v>C</v>
      </c>
      <c r="BY1" s="242" t="str">
        <f>VLOOKUP(BY2,Aux!$M:$AZ,8,0)</f>
        <v>F</v>
      </c>
      <c r="BZ1" s="242" t="str">
        <f>VLOOKUP(BY2,Aux!$M:$AZ,8,0)</f>
        <v>F</v>
      </c>
      <c r="CA1" s="242" t="str">
        <f>VLOOKUP(BY2,Aux!$M:$AZ,8,0)</f>
        <v>F</v>
      </c>
      <c r="CB1" s="242" t="str">
        <f>VLOOKUP(CB2,Aux!$M:$AZ,8,0)</f>
        <v>E</v>
      </c>
      <c r="CC1" s="242" t="str">
        <f>VLOOKUP(CB2,Aux!$M:$AZ,8,0)</f>
        <v>E</v>
      </c>
      <c r="CD1" s="242" t="str">
        <f>VLOOKUP(CB2,Aux!$M:$AZ,8,0)</f>
        <v>E</v>
      </c>
      <c r="CE1" s="242" t="str">
        <f>VLOOKUP(CE2,Aux!$M:$AZ,8,0)</f>
        <v>F</v>
      </c>
      <c r="CF1" s="242" t="str">
        <f>VLOOKUP(CE2,Aux!$M:$AZ,8,0)</f>
        <v>F</v>
      </c>
      <c r="CG1" s="242" t="str">
        <f>VLOOKUP(CE2,Aux!$M:$AZ,8,0)</f>
        <v>F</v>
      </c>
      <c r="CH1" s="242" t="str">
        <f>VLOOKUP(CH2,Aux!$M:$AZ,8,0)</f>
        <v>E</v>
      </c>
      <c r="CI1" s="242" t="str">
        <f>VLOOKUP(CH2,Aux!$M:$AZ,8,0)</f>
        <v>E</v>
      </c>
      <c r="CJ1" s="242" t="str">
        <f>VLOOKUP(CH2,Aux!$M:$AZ,8,0)</f>
        <v>E</v>
      </c>
      <c r="CK1" s="242" t="str">
        <f>VLOOKUP(CK2,Aux!$M:$AZ,8,0)</f>
        <v>G</v>
      </c>
      <c r="CL1" s="242" t="str">
        <f>VLOOKUP(CK2,Aux!$M:$AZ,8,0)</f>
        <v>G</v>
      </c>
      <c r="CM1" s="242" t="str">
        <f>VLOOKUP(CK2,Aux!$M:$AZ,8,0)</f>
        <v>G</v>
      </c>
      <c r="CN1" s="242" t="str">
        <f>VLOOKUP(CN2,Aux!$M:$AZ,8,0)</f>
        <v>H</v>
      </c>
      <c r="CO1" s="242" t="str">
        <f>VLOOKUP(CN2,Aux!$M:$AZ,8,0)</f>
        <v>H</v>
      </c>
      <c r="CP1" s="242" t="str">
        <f>VLOOKUP(CN2,Aux!$M:$AZ,8,0)</f>
        <v>H</v>
      </c>
      <c r="CQ1" s="242" t="str">
        <f>VLOOKUP(CQ2,Aux!$M:$AZ,8,0)</f>
        <v>H</v>
      </c>
      <c r="CR1" s="242" t="str">
        <f>VLOOKUP(CQ2,Aux!$M:$AZ,8,0)</f>
        <v>H</v>
      </c>
      <c r="CS1" s="242" t="str">
        <f>VLOOKUP(CQ2,Aux!$M:$AZ,8,0)</f>
        <v>H</v>
      </c>
      <c r="CT1" s="242" t="str">
        <f>VLOOKUP(CT2,Aux!$M:$AZ,8,0)</f>
        <v>G</v>
      </c>
      <c r="CU1" s="242" t="str">
        <f>VLOOKUP(CT2,Aux!$M:$AZ,8,0)</f>
        <v>G</v>
      </c>
      <c r="CV1" s="242" t="str">
        <f>VLOOKUP(CT2,Aux!$M:$AZ,8,0)</f>
        <v>G</v>
      </c>
      <c r="CW1" s="242" t="str">
        <f>VLOOKUP(CW2,Aux!$M:$AZ,8,0)</f>
        <v>B</v>
      </c>
      <c r="CX1" s="242" t="str">
        <f>VLOOKUP(CW2,Aux!$M:$AZ,8,0)</f>
        <v>B</v>
      </c>
      <c r="CY1" s="242" t="str">
        <f>VLOOKUP(CW2,Aux!$M:$AZ,8,0)</f>
        <v>B</v>
      </c>
      <c r="CZ1" s="242" t="str">
        <f>VLOOKUP(CZ2,Aux!$M:$AZ,8,0)</f>
        <v>B</v>
      </c>
      <c r="DA1" s="242" t="str">
        <f>VLOOKUP(CZ2,Aux!$M:$AZ,8,0)</f>
        <v>B</v>
      </c>
      <c r="DB1" s="242" t="str">
        <f>VLOOKUP(CZ2,Aux!$M:$AZ,8,0)</f>
        <v>B</v>
      </c>
      <c r="DC1" s="242" t="str">
        <f>VLOOKUP(DC2,Aux!$M:$AZ,8,0)</f>
        <v>A</v>
      </c>
      <c r="DD1" s="242" t="str">
        <f>VLOOKUP(DC2,Aux!$M:$AZ,8,0)</f>
        <v>A</v>
      </c>
      <c r="DE1" s="242" t="str">
        <f>VLOOKUP(DC2,Aux!$M:$AZ,8,0)</f>
        <v>A</v>
      </c>
      <c r="DF1" s="242" t="str">
        <f>VLOOKUP(DF2,Aux!$M:$AZ,8,0)</f>
        <v>A</v>
      </c>
      <c r="DG1" s="242" t="str">
        <f>VLOOKUP(DF2,Aux!$M:$AZ,8,0)</f>
        <v>A</v>
      </c>
      <c r="DH1" s="242" t="str">
        <f>VLOOKUP(DF2,Aux!$M:$AZ,8,0)</f>
        <v>A</v>
      </c>
      <c r="DI1" s="242" t="str">
        <f>VLOOKUP(DI2,Aux!$M:$AZ,8,0)</f>
        <v>C</v>
      </c>
      <c r="DJ1" s="242" t="str">
        <f>VLOOKUP(DI2,Aux!$M:$AZ,8,0)</f>
        <v>C</v>
      </c>
      <c r="DK1" s="242" t="str">
        <f>VLOOKUP(DI2,Aux!$M:$AZ,8,0)</f>
        <v>C</v>
      </c>
      <c r="DL1" s="242" t="str">
        <f>VLOOKUP(DL2,Aux!$M:$AZ,8,0)</f>
        <v>C</v>
      </c>
      <c r="DM1" s="242" t="str">
        <f>VLOOKUP(DL2,Aux!$M:$AZ,8,0)</f>
        <v>C</v>
      </c>
      <c r="DN1" s="242" t="str">
        <f>VLOOKUP(DL2,Aux!$M:$AZ,8,0)</f>
        <v>C</v>
      </c>
      <c r="DO1" s="242" t="str">
        <f>VLOOKUP(DO2,Aux!$M:$AZ,8,0)</f>
        <v>D</v>
      </c>
      <c r="DP1" s="242" t="str">
        <f>VLOOKUP(DO2,Aux!$M:$AZ,8,0)</f>
        <v>D</v>
      </c>
      <c r="DQ1" s="242" t="str">
        <f>VLOOKUP(DO2,Aux!$M:$AZ,8,0)</f>
        <v>D</v>
      </c>
      <c r="DR1" s="242" t="str">
        <f>VLOOKUP(DR2,Aux!$M:$AZ,8,0)</f>
        <v>D</v>
      </c>
      <c r="DS1" s="242" t="str">
        <f>VLOOKUP(DR2,Aux!$M:$AZ,8,0)</f>
        <v>D</v>
      </c>
      <c r="DT1" s="242" t="str">
        <f>VLOOKUP(DR2,Aux!$M:$AZ,8,0)</f>
        <v>D</v>
      </c>
      <c r="DU1" s="242" t="str">
        <f>VLOOKUP(DU2,Aux!$M:$AZ,8,0)</f>
        <v>F</v>
      </c>
      <c r="DV1" s="242" t="str">
        <f>VLOOKUP(DU2,Aux!$M:$AZ,8,0)</f>
        <v>F</v>
      </c>
      <c r="DW1" s="242" t="str">
        <f>VLOOKUP(DU2,Aux!$M:$AZ,8,0)</f>
        <v>F</v>
      </c>
      <c r="DX1" s="242" t="str">
        <f>VLOOKUP(DX2,Aux!$M:$AZ,8,0)</f>
        <v>F</v>
      </c>
      <c r="DY1" s="242" t="str">
        <f>VLOOKUP(DX2,Aux!$M:$AZ,8,0)</f>
        <v>F</v>
      </c>
      <c r="DZ1" s="242" t="str">
        <f>VLOOKUP(DX2,Aux!$M:$AZ,8,0)</f>
        <v>F</v>
      </c>
      <c r="EA1" s="242" t="str">
        <f>VLOOKUP(EA2,Aux!$M:$AZ,8,0)</f>
        <v>E</v>
      </c>
      <c r="EB1" s="242" t="str">
        <f>VLOOKUP(EA2,Aux!$M:$AZ,8,0)</f>
        <v>E</v>
      </c>
      <c r="EC1" s="242" t="str">
        <f>VLOOKUP(EA2,Aux!$M:$AZ,8,0)</f>
        <v>E</v>
      </c>
      <c r="ED1" s="242" t="str">
        <f>VLOOKUP(ED2,Aux!$M:$AZ,8,0)</f>
        <v>E</v>
      </c>
      <c r="EE1" s="242" t="str">
        <f>VLOOKUP(ED2,Aux!$M:$AZ,8,0)</f>
        <v>E</v>
      </c>
      <c r="EF1" s="242" t="str">
        <f>VLOOKUP(ED2,Aux!$M:$AZ,8,0)</f>
        <v>E</v>
      </c>
      <c r="EG1" s="242" t="str">
        <f>VLOOKUP(EG2,Aux!$M:$AZ,8,0)</f>
        <v>G</v>
      </c>
      <c r="EH1" s="242" t="str">
        <f>VLOOKUP(EG2,Aux!$M:$AZ,8,0)</f>
        <v>G</v>
      </c>
      <c r="EI1" s="242" t="str">
        <f>VLOOKUP(EG2,Aux!$M:$AZ,8,0)</f>
        <v>G</v>
      </c>
      <c r="EJ1" s="242" t="str">
        <f>VLOOKUP(EJ2,Aux!$M:$AZ,8,0)</f>
        <v>G</v>
      </c>
      <c r="EK1" s="242" t="str">
        <f>VLOOKUP(EJ2,Aux!$M:$AZ,8,0)</f>
        <v>G</v>
      </c>
      <c r="EL1" s="242" t="str">
        <f>VLOOKUP(EJ2,Aux!$M:$AZ,8,0)</f>
        <v>G</v>
      </c>
      <c r="EM1" s="242" t="str">
        <f>VLOOKUP(EM2,Aux!$M:$AZ,8,0)</f>
        <v>H</v>
      </c>
      <c r="EN1" s="242" t="str">
        <f>VLOOKUP(EM2,Aux!$M:$AZ,8,0)</f>
        <v>H</v>
      </c>
      <c r="EO1" s="242" t="str">
        <f>VLOOKUP(EM2,Aux!$M:$AZ,8,0)</f>
        <v>H</v>
      </c>
      <c r="EP1" s="242" t="str">
        <f>VLOOKUP(EP2,Aux!$M:$AZ,8,0)</f>
        <v>H</v>
      </c>
      <c r="EQ1" s="242" t="str">
        <f>VLOOKUP(EP2,Aux!$M:$AZ,8,0)</f>
        <v>H</v>
      </c>
      <c r="ER1" s="242" t="str">
        <f>VLOOKUP(EP2,Aux!$M:$AZ,8,0)</f>
        <v>H</v>
      </c>
      <c r="ES1" s="241" t="s">
        <v>12</v>
      </c>
      <c r="ET1" s="241" t="s">
        <v>11</v>
      </c>
      <c r="EU1" s="241" t="s">
        <v>14</v>
      </c>
      <c r="EV1" s="241" t="s">
        <v>16</v>
      </c>
      <c r="EW1" s="241" t="s">
        <v>175</v>
      </c>
      <c r="EX1" s="241" t="s">
        <v>15</v>
      </c>
      <c r="EY1" s="241" t="s">
        <v>112</v>
      </c>
      <c r="EZ1" s="241" t="s">
        <v>176</v>
      </c>
      <c r="FA1" s="241" t="s">
        <v>12</v>
      </c>
      <c r="FB1" s="241" t="s">
        <v>11</v>
      </c>
      <c r="FC1" s="241" t="s">
        <v>14</v>
      </c>
      <c r="FD1" s="241" t="s">
        <v>16</v>
      </c>
      <c r="FE1" s="241" t="s">
        <v>175</v>
      </c>
      <c r="FF1" s="241" t="s">
        <v>15</v>
      </c>
      <c r="FG1" s="241" t="s">
        <v>112</v>
      </c>
      <c r="FH1" s="241" t="s">
        <v>176</v>
      </c>
      <c r="FI1" s="242" t="s">
        <v>59</v>
      </c>
      <c r="FJ1" s="242" t="s">
        <v>59</v>
      </c>
      <c r="FK1" s="242" t="s">
        <v>59</v>
      </c>
      <c r="FL1" s="242" t="s">
        <v>59</v>
      </c>
      <c r="FM1" s="242" t="s">
        <v>59</v>
      </c>
      <c r="FN1" s="242" t="s">
        <v>59</v>
      </c>
      <c r="FO1" s="242" t="s">
        <v>59</v>
      </c>
      <c r="FP1" s="242" t="s">
        <v>59</v>
      </c>
      <c r="FQ1" s="243" t="s">
        <v>61</v>
      </c>
      <c r="FR1" s="243" t="s">
        <v>61</v>
      </c>
      <c r="FS1" s="243" t="s">
        <v>61</v>
      </c>
      <c r="FT1" s="243" t="s">
        <v>61</v>
      </c>
      <c r="FU1" s="241" t="s">
        <v>10</v>
      </c>
      <c r="FV1" s="241" t="s">
        <v>10</v>
      </c>
      <c r="FW1" s="244" t="s">
        <v>10</v>
      </c>
      <c r="FX1" s="245" t="str">
        <f>VLOOKUP(FX2,Aux!$M:$AZ,8,0)</f>
        <v>Octavos</v>
      </c>
      <c r="FY1" s="245" t="str">
        <f>VLOOKUP(FX2,Aux!$M:$AZ,8,0)</f>
        <v>Octavos</v>
      </c>
      <c r="FZ1" s="245" t="str">
        <f>VLOOKUP(FX2,Aux!$M:$AZ,8,0)</f>
        <v>Octavos</v>
      </c>
      <c r="GA1" s="245" t="str">
        <f>VLOOKUP(GA2,Aux!$M:$AZ,8,0)</f>
        <v>Octavos</v>
      </c>
      <c r="GB1" s="245" t="str">
        <f>VLOOKUP(GA2,Aux!$M:$AZ,8,0)</f>
        <v>Octavos</v>
      </c>
      <c r="GC1" s="245" t="str">
        <f>VLOOKUP(GA2,Aux!$M:$AZ,8,0)</f>
        <v>Octavos</v>
      </c>
      <c r="GD1" s="245" t="str">
        <f>VLOOKUP(GD2,Aux!$M:$AZ,8,0)</f>
        <v>Octavos</v>
      </c>
      <c r="GE1" s="245" t="str">
        <f>VLOOKUP(GD2,Aux!$M:$AZ,8,0)</f>
        <v>Octavos</v>
      </c>
      <c r="GF1" s="245" t="str">
        <f>VLOOKUP(GD2,Aux!$M:$AZ,8,0)</f>
        <v>Octavos</v>
      </c>
      <c r="GG1" s="245" t="str">
        <f>VLOOKUP(GG2,Aux!$M:$AZ,8,0)</f>
        <v>Octavos</v>
      </c>
      <c r="GH1" s="245" t="str">
        <f>VLOOKUP(GG2,Aux!$M:$AZ,8,0)</f>
        <v>Octavos</v>
      </c>
      <c r="GI1" s="245" t="str">
        <f>VLOOKUP(GG2,Aux!$M:$AZ,8,0)</f>
        <v>Octavos</v>
      </c>
      <c r="GJ1" s="245" t="str">
        <f>VLOOKUP(GJ2,Aux!$M:$AZ,8,0)</f>
        <v>Octavos</v>
      </c>
      <c r="GK1" s="245" t="str">
        <f>VLOOKUP(GJ2,Aux!$M:$AZ,8,0)</f>
        <v>Octavos</v>
      </c>
      <c r="GL1" s="245" t="str">
        <f>VLOOKUP(GJ2,Aux!$M:$AZ,8,0)</f>
        <v>Octavos</v>
      </c>
      <c r="GM1" s="245" t="str">
        <f>VLOOKUP(GM2,Aux!$M:$AZ,8,0)</f>
        <v>Octavos</v>
      </c>
      <c r="GN1" s="245" t="str">
        <f>VLOOKUP(GM2,Aux!$M:$AZ,8,0)</f>
        <v>Octavos</v>
      </c>
      <c r="GO1" s="245" t="str">
        <f>VLOOKUP(GM2,Aux!$M:$AZ,8,0)</f>
        <v>Octavos</v>
      </c>
      <c r="GP1" s="245" t="str">
        <f>VLOOKUP(GP2,Aux!$M:$AZ,8,0)</f>
        <v>Octavos</v>
      </c>
      <c r="GQ1" s="245" t="str">
        <f>VLOOKUP(GP2,Aux!$M:$AZ,8,0)</f>
        <v>Octavos</v>
      </c>
      <c r="GR1" s="245" t="str">
        <f>VLOOKUP(GP2,Aux!$M:$AZ,8,0)</f>
        <v>Octavos</v>
      </c>
      <c r="GS1" s="245" t="str">
        <f>VLOOKUP(GS2,Aux!$M:$AZ,8,0)</f>
        <v>Octavos</v>
      </c>
      <c r="GT1" s="245" t="str">
        <f>VLOOKUP(GS2,Aux!$M:$AZ,8,0)</f>
        <v>Octavos</v>
      </c>
      <c r="GU1" s="245" t="str">
        <f>VLOOKUP(GS2,Aux!$M:$AZ,8,0)</f>
        <v>Octavos</v>
      </c>
      <c r="GV1" s="241" t="str">
        <f>VLOOKUP(GV2,Aux!$M:$AZ,8,0)</f>
        <v>Cuartos</v>
      </c>
      <c r="GW1" s="241" t="str">
        <f>VLOOKUP(GV2,Aux!$M:$AZ,8,0)</f>
        <v>Cuartos</v>
      </c>
      <c r="GX1" s="241" t="str">
        <f>VLOOKUP(GV2,Aux!$M:$AZ,8,0)</f>
        <v>Cuartos</v>
      </c>
      <c r="GY1" s="241" t="str">
        <f>VLOOKUP(GY2,Aux!$M:$AZ,8,0)</f>
        <v>Cuartos</v>
      </c>
      <c r="GZ1" s="241" t="str">
        <f>VLOOKUP(GY2,Aux!$M:$AZ,8,0)</f>
        <v>Cuartos</v>
      </c>
      <c r="HA1" s="241" t="str">
        <f>VLOOKUP(GY2,Aux!$M:$AZ,8,0)</f>
        <v>Cuartos</v>
      </c>
      <c r="HB1" s="241" t="str">
        <f>VLOOKUP(HB2,Aux!$M:$AZ,8,0)</f>
        <v>Cuartos</v>
      </c>
      <c r="HC1" s="241" t="str">
        <f>VLOOKUP(HB2,Aux!$M:$AZ,8,0)</f>
        <v>Cuartos</v>
      </c>
      <c r="HD1" s="241" t="str">
        <f>VLOOKUP(HB2,Aux!$M:$AZ,8,0)</f>
        <v>Cuartos</v>
      </c>
      <c r="HE1" s="241" t="str">
        <f>VLOOKUP(HE2,Aux!$M:$AZ,8,0)</f>
        <v>Cuartos</v>
      </c>
      <c r="HF1" s="241" t="str">
        <f>VLOOKUP(HE2,Aux!$M:$AZ,8,0)</f>
        <v>Cuartos</v>
      </c>
      <c r="HG1" s="241" t="str">
        <f>VLOOKUP(HE2,Aux!$M:$AZ,8,0)</f>
        <v>Cuartos</v>
      </c>
      <c r="HH1" s="242" t="str">
        <f>VLOOKUP(HH2,Aux!$M:$AZ,8,0)</f>
        <v>Semis</v>
      </c>
      <c r="HI1" s="242" t="str">
        <f>VLOOKUP(HH2,Aux!$M:$AZ,8,0)</f>
        <v>Semis</v>
      </c>
      <c r="HJ1" s="242" t="str">
        <f>VLOOKUP(HH2,Aux!$M:$AZ,8,0)</f>
        <v>Semis</v>
      </c>
      <c r="HK1" s="242" t="str">
        <f>VLOOKUP(HK2,Aux!$M:$AZ,8,0)</f>
        <v>Semis</v>
      </c>
      <c r="HL1" s="242" t="str">
        <f>VLOOKUP(HK2,Aux!$M:$AZ,8,0)</f>
        <v>Semis</v>
      </c>
      <c r="HM1" s="242" t="str">
        <f>VLOOKUP(HK2,Aux!$M:$AZ,8,0)</f>
        <v>Semis</v>
      </c>
      <c r="HN1" s="245" t="str">
        <f>VLOOKUP(HN2,Aux!$M:$AZ,8,0)</f>
        <v>Final</v>
      </c>
      <c r="HO1" s="245" t="str">
        <f>VLOOKUP(HN2,Aux!$M:$AZ,8,0)</f>
        <v>Final</v>
      </c>
      <c r="HP1" s="245" t="str">
        <f>VLOOKUP(HN2,Aux!$M:$AZ,8,0)</f>
        <v>Final</v>
      </c>
    </row>
    <row r="2" spans="2:224" x14ac:dyDescent="0.25">
      <c r="B2" t="s">
        <v>110</v>
      </c>
      <c r="E2" s="111">
        <v>1</v>
      </c>
      <c r="F2" s="111"/>
      <c r="G2" s="111"/>
      <c r="H2" s="111">
        <v>2</v>
      </c>
      <c r="I2" s="111"/>
      <c r="J2" s="111"/>
      <c r="K2" s="111">
        <v>3</v>
      </c>
      <c r="L2" s="111"/>
      <c r="M2" s="111"/>
      <c r="N2" s="111">
        <v>4</v>
      </c>
      <c r="O2" s="111"/>
      <c r="P2" s="111"/>
      <c r="Q2" s="111">
        <v>5</v>
      </c>
      <c r="R2" s="111"/>
      <c r="S2" s="111"/>
      <c r="T2" s="111">
        <v>6</v>
      </c>
      <c r="U2" s="111"/>
      <c r="V2" s="111"/>
      <c r="W2" s="111">
        <v>7</v>
      </c>
      <c r="X2" s="111"/>
      <c r="Y2" s="111"/>
      <c r="Z2" s="111">
        <v>8</v>
      </c>
      <c r="AA2" s="111"/>
      <c r="AB2" s="111"/>
      <c r="AC2" s="111">
        <v>9</v>
      </c>
      <c r="AD2" s="111"/>
      <c r="AE2" s="111"/>
      <c r="AF2" s="111">
        <v>10</v>
      </c>
      <c r="AG2" s="111"/>
      <c r="AH2" s="111"/>
      <c r="AI2" s="111">
        <v>11</v>
      </c>
      <c r="AJ2" s="111"/>
      <c r="AK2" s="111"/>
      <c r="AL2" s="111">
        <v>12</v>
      </c>
      <c r="AM2" s="111"/>
      <c r="AN2" s="111"/>
      <c r="AO2" s="111">
        <v>13</v>
      </c>
      <c r="AP2" s="111"/>
      <c r="AQ2" s="111"/>
      <c r="AR2" s="111">
        <v>14</v>
      </c>
      <c r="AS2" s="111"/>
      <c r="AT2" s="111"/>
      <c r="AU2" s="111">
        <v>15</v>
      </c>
      <c r="AV2" s="111"/>
      <c r="AW2" s="111"/>
      <c r="AX2" s="111">
        <v>16</v>
      </c>
      <c r="AY2" s="111"/>
      <c r="AZ2" s="111"/>
      <c r="BA2" s="111">
        <v>17</v>
      </c>
      <c r="BB2" s="111"/>
      <c r="BC2" s="111"/>
      <c r="BD2" s="111">
        <v>18</v>
      </c>
      <c r="BE2" s="111"/>
      <c r="BF2" s="111"/>
      <c r="BG2" s="111">
        <v>19</v>
      </c>
      <c r="BH2" s="111"/>
      <c r="BI2" s="111"/>
      <c r="BJ2" s="111">
        <v>20</v>
      </c>
      <c r="BK2" s="111"/>
      <c r="BL2" s="111"/>
      <c r="BM2" s="111">
        <v>21</v>
      </c>
      <c r="BN2" s="111"/>
      <c r="BO2" s="111"/>
      <c r="BP2" s="111">
        <v>22</v>
      </c>
      <c r="BQ2" s="111"/>
      <c r="BR2" s="111"/>
      <c r="BS2" s="111">
        <v>23</v>
      </c>
      <c r="BT2" s="111"/>
      <c r="BU2" s="111"/>
      <c r="BV2" s="111">
        <v>24</v>
      </c>
      <c r="BW2" s="111"/>
      <c r="BX2" s="111"/>
      <c r="BY2" s="111">
        <f>+BV2+1</f>
        <v>25</v>
      </c>
      <c r="BZ2" s="111"/>
      <c r="CA2" s="111"/>
      <c r="CB2" s="111">
        <f>+BY2+1</f>
        <v>26</v>
      </c>
      <c r="CC2" s="111"/>
      <c r="CD2" s="111"/>
      <c r="CE2" s="111">
        <f>+CB2+1</f>
        <v>27</v>
      </c>
      <c r="CF2" s="111"/>
      <c r="CG2" s="111"/>
      <c r="CH2" s="111">
        <f>+CE2+1</f>
        <v>28</v>
      </c>
      <c r="CI2" s="111"/>
      <c r="CJ2" s="111"/>
      <c r="CK2" s="111">
        <f>+CH2+1</f>
        <v>29</v>
      </c>
      <c r="CL2" s="111"/>
      <c r="CM2" s="111"/>
      <c r="CN2" s="111">
        <f>+CK2+1</f>
        <v>30</v>
      </c>
      <c r="CO2" s="111"/>
      <c r="CP2" s="111"/>
      <c r="CQ2" s="111">
        <f>+CN2+1</f>
        <v>31</v>
      </c>
      <c r="CR2" s="111"/>
      <c r="CS2" s="111"/>
      <c r="CT2" s="111">
        <f>+CQ2+1</f>
        <v>32</v>
      </c>
      <c r="CU2" s="111"/>
      <c r="CV2" s="111"/>
      <c r="CW2" s="111">
        <f>+CT2+1</f>
        <v>33</v>
      </c>
      <c r="CX2" s="111"/>
      <c r="CY2" s="111"/>
      <c r="CZ2" s="111">
        <f>+CW2+1</f>
        <v>34</v>
      </c>
      <c r="DA2" s="111"/>
      <c r="DB2" s="111"/>
      <c r="DC2" s="111">
        <f>+CZ2+1</f>
        <v>35</v>
      </c>
      <c r="DD2" s="111"/>
      <c r="DE2" s="111"/>
      <c r="DF2" s="111">
        <f>+DC2+1</f>
        <v>36</v>
      </c>
      <c r="DG2" s="111"/>
      <c r="DH2" s="111"/>
      <c r="DI2" s="111">
        <f>+DF2+1</f>
        <v>37</v>
      </c>
      <c r="DJ2" s="111"/>
      <c r="DK2" s="111"/>
      <c r="DL2" s="111">
        <f>+DI2+1</f>
        <v>38</v>
      </c>
      <c r="DM2" s="111"/>
      <c r="DN2" s="111"/>
      <c r="DO2" s="111">
        <f>+DL2+1</f>
        <v>39</v>
      </c>
      <c r="DP2" s="111"/>
      <c r="DQ2" s="111"/>
      <c r="DR2" s="111">
        <f>+DO2+1</f>
        <v>40</v>
      </c>
      <c r="DS2" s="111"/>
      <c r="DT2" s="111"/>
      <c r="DU2" s="111">
        <f>+DR2+1</f>
        <v>41</v>
      </c>
      <c r="DV2" s="111"/>
      <c r="DW2" s="111"/>
      <c r="DX2" s="111">
        <f>+DU2+1</f>
        <v>42</v>
      </c>
      <c r="DY2" s="111"/>
      <c r="DZ2" s="111"/>
      <c r="EA2" s="111">
        <f>+DX2+1</f>
        <v>43</v>
      </c>
      <c r="EB2" s="111"/>
      <c r="EC2" s="111"/>
      <c r="ED2" s="111">
        <f>+EA2+1</f>
        <v>44</v>
      </c>
      <c r="EE2" s="111"/>
      <c r="EF2" s="111"/>
      <c r="EG2" s="111">
        <f>+ED2+1</f>
        <v>45</v>
      </c>
      <c r="EH2" s="111"/>
      <c r="EI2" s="111"/>
      <c r="EJ2" s="111">
        <f>+EG2+1</f>
        <v>46</v>
      </c>
      <c r="EK2" s="111"/>
      <c r="EL2" s="111"/>
      <c r="EM2" s="111">
        <f>+EJ2+1</f>
        <v>47</v>
      </c>
      <c r="EN2" s="111"/>
      <c r="EO2" s="111"/>
      <c r="EP2" s="111">
        <f>+EM2+1</f>
        <v>48</v>
      </c>
      <c r="EQ2" s="111"/>
      <c r="ER2" s="111"/>
      <c r="ES2" s="112" t="s">
        <v>12</v>
      </c>
      <c r="ET2" s="112" t="s">
        <v>11</v>
      </c>
      <c r="EU2" s="112" t="s">
        <v>14</v>
      </c>
      <c r="EV2" s="112" t="s">
        <v>16</v>
      </c>
      <c r="EW2" s="110" t="s">
        <v>175</v>
      </c>
      <c r="EX2" s="110" t="s">
        <v>15</v>
      </c>
      <c r="EY2" s="110" t="s">
        <v>112</v>
      </c>
      <c r="EZ2" s="110" t="s">
        <v>176</v>
      </c>
      <c r="FA2" s="110" t="s">
        <v>12</v>
      </c>
      <c r="FB2" s="110" t="s">
        <v>11</v>
      </c>
      <c r="FC2" s="110" t="s">
        <v>14</v>
      </c>
      <c r="FD2" s="110" t="s">
        <v>16</v>
      </c>
      <c r="FE2" s="110" t="s">
        <v>175</v>
      </c>
      <c r="FF2" s="110" t="s">
        <v>15</v>
      </c>
      <c r="FG2" s="110" t="s">
        <v>112</v>
      </c>
      <c r="FH2" s="110" t="s">
        <v>176</v>
      </c>
      <c r="FI2" s="113"/>
      <c r="FJ2" s="113"/>
      <c r="FK2" s="113"/>
      <c r="FL2" s="113"/>
      <c r="FM2" s="113"/>
      <c r="FN2" s="113"/>
      <c r="FO2" s="113"/>
      <c r="FP2" s="113"/>
      <c r="FQ2" s="114"/>
      <c r="FR2" s="114"/>
      <c r="FS2" s="114"/>
      <c r="FT2" s="114"/>
      <c r="FU2" s="112"/>
      <c r="FV2" s="112"/>
      <c r="FW2" s="115"/>
      <c r="FX2" s="111">
        <v>49</v>
      </c>
      <c r="FY2" s="111"/>
      <c r="FZ2" s="111"/>
      <c r="GA2" s="111">
        <f>+FX2+1</f>
        <v>50</v>
      </c>
      <c r="GB2" s="111"/>
      <c r="GC2" s="111"/>
      <c r="GD2" s="111">
        <f t="shared" ref="GD2" si="0">+GA2+1</f>
        <v>51</v>
      </c>
      <c r="GE2" s="111"/>
      <c r="GF2" s="111"/>
      <c r="GG2" s="111">
        <f t="shared" ref="GG2" si="1">+GD2+1</f>
        <v>52</v>
      </c>
      <c r="GH2" s="111"/>
      <c r="GI2" s="111"/>
      <c r="GJ2" s="111">
        <f t="shared" ref="GJ2" si="2">+GG2+1</f>
        <v>53</v>
      </c>
      <c r="GK2" s="111"/>
      <c r="GL2" s="111"/>
      <c r="GM2" s="111">
        <f t="shared" ref="GM2" si="3">+GJ2+1</f>
        <v>54</v>
      </c>
      <c r="GN2" s="111"/>
      <c r="GO2" s="111"/>
      <c r="GP2" s="111">
        <f t="shared" ref="GP2" si="4">+GM2+1</f>
        <v>55</v>
      </c>
      <c r="GQ2" s="111"/>
      <c r="GR2" s="111"/>
      <c r="GS2" s="111">
        <f t="shared" ref="GS2" si="5">+GP2+1</f>
        <v>56</v>
      </c>
      <c r="GT2" s="111"/>
      <c r="GU2" s="111"/>
      <c r="GV2" s="111">
        <f t="shared" ref="GV2" si="6">+GS2+1</f>
        <v>57</v>
      </c>
      <c r="GW2" s="111"/>
      <c r="GX2" s="111"/>
      <c r="GY2" s="111">
        <f t="shared" ref="GY2" si="7">+GV2+1</f>
        <v>58</v>
      </c>
      <c r="GZ2" s="111"/>
      <c r="HA2" s="111"/>
      <c r="HB2" s="111">
        <f t="shared" ref="HB2" si="8">+GY2+1</f>
        <v>59</v>
      </c>
      <c r="HC2" s="111"/>
      <c r="HD2" s="111"/>
      <c r="HE2" s="111">
        <f t="shared" ref="HE2" si="9">+HB2+1</f>
        <v>60</v>
      </c>
      <c r="HF2" s="111"/>
      <c r="HG2" s="111"/>
      <c r="HH2" s="111">
        <f t="shared" ref="HH2" si="10">+HE2+1</f>
        <v>61</v>
      </c>
      <c r="HI2" s="111"/>
      <c r="HJ2" s="111"/>
      <c r="HK2" s="111">
        <f t="shared" ref="HK2" si="11">+HH2+1</f>
        <v>62</v>
      </c>
      <c r="HL2" s="111"/>
      <c r="HM2" s="111"/>
      <c r="HN2" s="111">
        <f t="shared" ref="HN2" si="12">+HK2+1</f>
        <v>63</v>
      </c>
      <c r="HO2" s="111"/>
      <c r="HP2" s="111"/>
    </row>
    <row r="3" spans="2:224" x14ac:dyDescent="0.25">
      <c r="B3" s="51" t="s">
        <v>92</v>
      </c>
      <c r="E3" s="147">
        <f ca="1">VLOOKUP(E2,Aux!$M:$AZ,9,0)</f>
        <v>0</v>
      </c>
      <c r="F3" s="147">
        <f ca="1">VLOOKUP(E2,Aux!$M:$AZ,10,0)</f>
        <v>2</v>
      </c>
      <c r="G3" s="147">
        <f ca="1">IF(OR(E3="",F3=""),"",IF(E3&gt;F3,1,IF(E3=F3,"x",2)))</f>
        <v>2</v>
      </c>
      <c r="H3" s="147">
        <f ca="1">VLOOKUP(H2,Aux!$M:$AZ,9,0)</f>
        <v>5</v>
      </c>
      <c r="I3" s="147">
        <f ca="1">VLOOKUP(H2,Aux!$M:$AZ,10,0)</f>
        <v>0</v>
      </c>
      <c r="J3" s="147">
        <f t="shared" ref="J3" ca="1" si="13">IF(OR(H3="",I3=""),"",IF(H3&gt;I3,1,IF(H3=I3,"x",2)))</f>
        <v>1</v>
      </c>
      <c r="K3" s="147">
        <f ca="1">VLOOKUP(K2,Aux!$M:$AZ,9,0)</f>
        <v>1</v>
      </c>
      <c r="L3" s="147">
        <f ca="1">VLOOKUP(K2,Aux!$M:$AZ,10,0)</f>
        <v>1</v>
      </c>
      <c r="M3" s="147" t="str">
        <f t="shared" ref="M3" ca="1" si="14">IF(OR(K3="",L3=""),"",IF(K3&gt;L3,1,IF(K3=L3,"x",2)))</f>
        <v>x</v>
      </c>
      <c r="N3" s="147">
        <f ca="1">VLOOKUP(N2,Aux!$M:$AZ,9,0)</f>
        <v>1</v>
      </c>
      <c r="O3" s="147">
        <f ca="1">VLOOKUP(N2,Aux!$M:$AZ,10,0)</f>
        <v>1</v>
      </c>
      <c r="P3" s="147" t="str">
        <f t="shared" ref="P3" ca="1" si="15">IF(OR(N3="",O3=""),"",IF(N3&gt;O3,1,IF(N3=O3,"x",2)))</f>
        <v>x</v>
      </c>
      <c r="Q3" s="147">
        <f ca="1">VLOOKUP(Q2,Aux!$M:$AZ,9,0)</f>
        <v>2</v>
      </c>
      <c r="R3" s="147">
        <f ca="1">VLOOKUP(Q2,Aux!$M:$AZ,10,0)</f>
        <v>0</v>
      </c>
      <c r="S3" s="147">
        <f t="shared" ref="S3" ca="1" si="16">IF(OR(Q3="",R3=""),"",IF(Q3&gt;R3,1,IF(Q3=R3,"x",2)))</f>
        <v>1</v>
      </c>
      <c r="T3" s="147">
        <f ca="1">VLOOKUP(T2,Aux!$M:$AZ,9,0)</f>
        <v>2</v>
      </c>
      <c r="U3" s="147">
        <f ca="1">VLOOKUP(T2,Aux!$M:$AZ,10,0)</f>
        <v>1</v>
      </c>
      <c r="V3" s="147">
        <f t="shared" ref="V3" ca="1" si="17">IF(OR(T3="",U3=""),"",IF(T3&gt;U3,1,IF(T3=U3,"x",2)))</f>
        <v>1</v>
      </c>
      <c r="W3" s="147">
        <f ca="1">VLOOKUP(W2,Aux!$M:$AZ,9,0)</f>
        <v>1</v>
      </c>
      <c r="X3" s="147">
        <f ca="1">VLOOKUP(W2,Aux!$M:$AZ,10,0)</f>
        <v>1</v>
      </c>
      <c r="Y3" s="147" t="str">
        <f t="shared" ref="Y3" ca="1" si="18">IF(OR(W3="",X3=""),"",IF(W3&gt;X3,1,IF(W3=X3,"x",2)))</f>
        <v>x</v>
      </c>
      <c r="Z3" s="147">
        <f ca="1">VLOOKUP(Z2,Aux!$M:$AZ,9,0)</f>
        <v>3</v>
      </c>
      <c r="AA3" s="147">
        <f ca="1">VLOOKUP(Z2,Aux!$M:$AZ,10,0)</f>
        <v>0</v>
      </c>
      <c r="AB3" s="147">
        <f t="shared" ref="AB3" ca="1" si="19">IF(OR(Z3="",AA3=""),"",IF(Z3&gt;AA3,1,IF(Z3=AA3,"x",2)))</f>
        <v>1</v>
      </c>
      <c r="AC3" s="147">
        <f ca="1">VLOOKUP(AC2,Aux!$M:$AZ,9,0)</f>
        <v>1</v>
      </c>
      <c r="AD3" s="147">
        <f ca="1">VLOOKUP(AC2,Aux!$M:$AZ,10,0)</f>
        <v>2</v>
      </c>
      <c r="AE3" s="147">
        <f t="shared" ref="AE3" ca="1" si="20">IF(OR(AC3="",AD3=""),"",IF(AC3&gt;AD3,1,IF(AC3=AD3,"x",2)))</f>
        <v>2</v>
      </c>
      <c r="AF3" s="147">
        <f ca="1">VLOOKUP(AF2,Aux!$M:$AZ,9,0)</f>
        <v>3</v>
      </c>
      <c r="AG3" s="147">
        <f ca="1">VLOOKUP(AF2,Aux!$M:$AZ,10,0)</f>
        <v>0</v>
      </c>
      <c r="AH3" s="147">
        <f t="shared" ref="AH3" ca="1" si="21">IF(OR(AF3="",AG3=""),"",IF(AF3&gt;AG3,1,IF(AF3=AG3,"x",2)))</f>
        <v>1</v>
      </c>
      <c r="AI3" s="147">
        <f ca="1">VLOOKUP(AI2,Aux!$M:$AZ,9,0)</f>
        <v>1</v>
      </c>
      <c r="AJ3" s="147">
        <f ca="1">VLOOKUP(AI2,Aux!$M:$AZ,10,0)</f>
        <v>2</v>
      </c>
      <c r="AK3" s="147">
        <f t="shared" ref="AK3" ca="1" si="22">IF(OR(AI3="",AJ3=""),"",IF(AI3&gt;AJ3,1,IF(AI3=AJ3,"x",2)))</f>
        <v>2</v>
      </c>
      <c r="AL3" s="147">
        <f ca="1">VLOOKUP(AL2,Aux!$M:$AZ,9,0)</f>
        <v>1</v>
      </c>
      <c r="AM3" s="147">
        <f ca="1">VLOOKUP(AL2,Aux!$M:$AZ,10,0)</f>
        <v>1</v>
      </c>
      <c r="AN3" s="147" t="str">
        <f t="shared" ref="AN3" ca="1" si="23">IF(OR(AL3="",AM3=""),"",IF(AL3&gt;AM3,1,IF(AL3=AM3,"x",2)))</f>
        <v>x</v>
      </c>
      <c r="AO3" s="147">
        <f ca="1">VLOOKUP(AO2,Aux!$M:$AZ,9,0)</f>
        <v>5</v>
      </c>
      <c r="AP3" s="147">
        <f ca="1">VLOOKUP(AO2,Aux!$M:$AZ,10,0)</f>
        <v>0</v>
      </c>
      <c r="AQ3" s="147">
        <f t="shared" ref="AQ3" ca="1" si="24">IF(OR(AO3="",AP3=""),"",IF(AO3&gt;AP3,1,IF(AO3=AP3,"x",2)))</f>
        <v>1</v>
      </c>
      <c r="AR3" s="147">
        <f ca="1">VLOOKUP(AR2,Aux!$M:$AZ,9,0)</f>
        <v>3</v>
      </c>
      <c r="AS3" s="147">
        <f ca="1">VLOOKUP(AR2,Aux!$M:$AZ,10,0)</f>
        <v>0</v>
      </c>
      <c r="AT3" s="147">
        <f t="shared" ref="AT3" ca="1" si="25">IF(OR(AR3="",AS3=""),"",IF(AR3&gt;AS3,1,IF(AR3=AS3,"x",2)))</f>
        <v>1</v>
      </c>
      <c r="AU3" s="147">
        <f ca="1">VLOOKUP(AU2,Aux!$M:$AZ,9,0)</f>
        <v>1</v>
      </c>
      <c r="AV3" s="147">
        <f ca="1">VLOOKUP(AU2,Aux!$M:$AZ,10,0)</f>
        <v>1</v>
      </c>
      <c r="AW3" s="147" t="str">
        <f t="shared" ref="AW3" ca="1" si="26">IF(OR(AU3="",AV3=""),"",IF(AU3&gt;AV3,1,IF(AU3=AV3,"x",2)))</f>
        <v>x</v>
      </c>
      <c r="AX3" s="147">
        <f ca="1">VLOOKUP(AX2,Aux!$M:$AZ,9,0)</f>
        <v>1</v>
      </c>
      <c r="AY3" s="147">
        <f ca="1">VLOOKUP(AX2,Aux!$M:$AZ,10,0)</f>
        <v>2</v>
      </c>
      <c r="AZ3" s="147">
        <f t="shared" ref="AZ3" ca="1" si="27">IF(OR(AX3="",AY3=""),"",IF(AX3&gt;AY3,1,IF(AX3=AY3,"x",2)))</f>
        <v>2</v>
      </c>
      <c r="BA3" s="147">
        <f ca="1">VLOOKUP(BA2,Aux!$M:$AZ,9,0)</f>
        <v>2</v>
      </c>
      <c r="BB3" s="147">
        <f ca="1">VLOOKUP(BA2,Aux!$M:$AZ,10,0)</f>
        <v>0</v>
      </c>
      <c r="BC3" s="147">
        <f t="shared" ref="BC3" ca="1" si="28">IF(OR(BA3="",BB3=""),"",IF(BA3&gt;BB3,1,IF(BA3=BB3,"x",2)))</f>
        <v>1</v>
      </c>
      <c r="BD3" s="147">
        <f ca="1">VLOOKUP(BD2,Aux!$M:$AZ,9,0)</f>
        <v>1</v>
      </c>
      <c r="BE3" s="147">
        <f ca="1">VLOOKUP(BD2,Aux!$M:$AZ,10,0)</f>
        <v>2</v>
      </c>
      <c r="BF3" s="147">
        <f t="shared" ref="BF3" ca="1" si="29">IF(OR(BD3="",BE3=""),"",IF(BD3&gt;BE3,1,IF(BD3=BE3,"x",2)))</f>
        <v>2</v>
      </c>
      <c r="BG3" s="147">
        <f ca="1">VLOOKUP(BG2,Aux!$M:$AZ,9,0)</f>
        <v>1</v>
      </c>
      <c r="BH3" s="147">
        <f ca="1">VLOOKUP(BG2,Aux!$M:$AZ,10,0)</f>
        <v>2</v>
      </c>
      <c r="BI3" s="147">
        <f t="shared" ref="BI3" ca="1" si="30">IF(OR(BG3="",BH3=""),"",IF(BG3&gt;BH3,1,IF(BG3=BH3,"x",2)))</f>
        <v>2</v>
      </c>
      <c r="BJ3" s="147">
        <f ca="1">VLOOKUP(BJ2,Aux!$M:$AZ,9,0)</f>
        <v>2</v>
      </c>
      <c r="BK3" s="147">
        <f ca="1">VLOOKUP(BJ2,Aux!$M:$AZ,10,0)</f>
        <v>0</v>
      </c>
      <c r="BL3" s="147">
        <f t="shared" ref="BL3" ca="1" si="31">IF(OR(BJ3="",BK3=""),"",IF(BJ3&gt;BK3,1,IF(BJ3=BK3,"x",2)))</f>
        <v>1</v>
      </c>
      <c r="BM3" s="147">
        <f ca="1">VLOOKUP(BM2,Aux!$M:$AZ,9,0)</f>
        <v>1</v>
      </c>
      <c r="BN3" s="147">
        <f ca="1">VLOOKUP(BM2,Aux!$M:$AZ,10,0)</f>
        <v>0</v>
      </c>
      <c r="BO3" s="147">
        <f t="shared" ref="BO3" ca="1" si="32">IF(OR(BM3="",BN3=""),"",IF(BM3&gt;BN3,1,IF(BM3=BN3,"x",2)))</f>
        <v>1</v>
      </c>
      <c r="BP3" s="147">
        <f ca="1">VLOOKUP(BP2,Aux!$M:$AZ,9,0)</f>
        <v>1</v>
      </c>
      <c r="BQ3" s="147">
        <f ca="1">VLOOKUP(BP2,Aux!$M:$AZ,10,0)</f>
        <v>2</v>
      </c>
      <c r="BR3" s="147">
        <f t="shared" ref="BR3" ca="1" si="33">IF(OR(BP3="",BQ3=""),"",IF(BP3&gt;BQ3,1,IF(BP3=BQ3,"x",2)))</f>
        <v>2</v>
      </c>
      <c r="BS3" s="147">
        <f ca="1">VLOOKUP(BS2,Aux!$M:$AZ,9,0)</f>
        <v>2</v>
      </c>
      <c r="BT3" s="147">
        <f ca="1">VLOOKUP(BS2,Aux!$M:$AZ,10,0)</f>
        <v>1</v>
      </c>
      <c r="BU3" s="147">
        <f t="shared" ref="BU3" ca="1" si="34">IF(OR(BS3="",BT3=""),"",IF(BS3&gt;BT3,1,IF(BS3=BT3,"x",2)))</f>
        <v>1</v>
      </c>
      <c r="BV3" s="147">
        <f ca="1">VLOOKUP(BV2,Aux!$M:$AZ,9,0)</f>
        <v>4</v>
      </c>
      <c r="BW3" s="147">
        <f ca="1">VLOOKUP(BV2,Aux!$M:$AZ,10,0)</f>
        <v>0</v>
      </c>
      <c r="BX3" s="147">
        <f t="shared" ref="BX3" ca="1" si="35">IF(OR(BV3="",BW3=""),"",IF(BV3&gt;BW3,1,IF(BV3=BW3,"x",2)))</f>
        <v>1</v>
      </c>
      <c r="BY3" s="147">
        <f ca="1">VLOOKUP(BY2,Aux!$M:$AZ,9,0)</f>
        <v>0</v>
      </c>
      <c r="BZ3" s="147">
        <f ca="1">VLOOKUP(BY2,Aux!$M:$AZ,10,0)</f>
        <v>4</v>
      </c>
      <c r="CA3" s="147">
        <f t="shared" ref="CA3" ca="1" si="36">IF(OR(BY3="",BZ3=""),"",IF(BY3&gt;BZ3,1,IF(BY3=BZ3,"x",2)))</f>
        <v>2</v>
      </c>
      <c r="CB3" s="147">
        <f ca="1">VLOOKUP(CB2,Aux!$M:$AZ,9,0)</f>
        <v>2</v>
      </c>
      <c r="CC3" s="147">
        <f ca="1">VLOOKUP(CB2,Aux!$M:$AZ,10,0)</f>
        <v>0</v>
      </c>
      <c r="CD3" s="147">
        <f t="shared" ref="CD3" ca="1" si="37">IF(OR(CB3="",CC3=""),"",IF(CB3&gt;CC3,1,IF(CB3=CC3,"x",2)))</f>
        <v>1</v>
      </c>
      <c r="CE3" s="147">
        <f ca="1">VLOOKUP(CE2,Aux!$M:$AZ,9,0)</f>
        <v>3</v>
      </c>
      <c r="CF3" s="147">
        <f ca="1">VLOOKUP(CE2,Aux!$M:$AZ,10,0)</f>
        <v>0</v>
      </c>
      <c r="CG3" s="147">
        <f t="shared" ref="CG3" ca="1" si="38">IF(OR(CE3="",CF3=""),"",IF(CE3&gt;CF3,1,IF(CE3=CF3,"x",2)))</f>
        <v>1</v>
      </c>
      <c r="CH3" s="147">
        <f ca="1">VLOOKUP(CH2,Aux!$M:$AZ,9,0)</f>
        <v>1</v>
      </c>
      <c r="CI3" s="147">
        <f ca="1">VLOOKUP(CH2,Aux!$M:$AZ,10,0)</f>
        <v>0</v>
      </c>
      <c r="CJ3" s="147">
        <f t="shared" ref="CJ3" ca="1" si="39">IF(OR(CH3="",CI3=""),"",IF(CH3&gt;CI3,1,IF(CH3=CI3,"x",2)))</f>
        <v>1</v>
      </c>
      <c r="CK3" s="147">
        <f ca="1">VLOOKUP(CK2,Aux!$M:$AZ,9,0)</f>
        <v>2</v>
      </c>
      <c r="CL3" s="147">
        <f ca="1">VLOOKUP(CK2,Aux!$M:$AZ,10,0)</f>
        <v>1</v>
      </c>
      <c r="CM3" s="147">
        <f t="shared" ref="CM3" ca="1" si="40">IF(OR(CK3="",CL3=""),"",IF(CK3&gt;CL3,1,IF(CK3=CL3,"x",2)))</f>
        <v>1</v>
      </c>
      <c r="CN3" s="147">
        <f ca="1">VLOOKUP(CN2,Aux!$M:$AZ,9,0)</f>
        <v>2</v>
      </c>
      <c r="CO3" s="147">
        <f ca="1">VLOOKUP(CN2,Aux!$M:$AZ,10,0)</f>
        <v>0</v>
      </c>
      <c r="CP3" s="147">
        <f t="shared" ref="CP3" ca="1" si="41">IF(OR(CN3="",CO3=""),"",IF(CN3&gt;CO3,1,IF(CN3=CO3,"x",2)))</f>
        <v>1</v>
      </c>
      <c r="CQ3" s="147">
        <f ca="1">VLOOKUP(CQ2,Aux!$M:$AZ,9,0)</f>
        <v>1</v>
      </c>
      <c r="CR3" s="147">
        <f ca="1">VLOOKUP(CQ2,Aux!$M:$AZ,10,0)</f>
        <v>2</v>
      </c>
      <c r="CS3" s="147">
        <f t="shared" ref="CS3" ca="1" si="42">IF(OR(CQ3="",CR3=""),"",IF(CQ3&gt;CR3,1,IF(CQ3=CR3,"x",2)))</f>
        <v>2</v>
      </c>
      <c r="CT3" s="147">
        <f ca="1">VLOOKUP(CT2,Aux!$M:$AZ,9,0)</f>
        <v>3</v>
      </c>
      <c r="CU3" s="147">
        <f ca="1">VLOOKUP(CT2,Aux!$M:$AZ,10,0)</f>
        <v>0</v>
      </c>
      <c r="CV3" s="147">
        <f t="shared" ref="CV3" ca="1" si="43">IF(OR(CT3="",CU3=""),"",IF(CT3&gt;CU3,1,IF(CT3=CU3,"x",2)))</f>
        <v>1</v>
      </c>
      <c r="CW3" s="147">
        <f ca="1">VLOOKUP(CW2,Aux!$M:$AZ,9,0)</f>
        <v>0</v>
      </c>
      <c r="CX3" s="147">
        <f ca="1">VLOOKUP(CW2,Aux!$M:$AZ,10,0)</f>
        <v>4</v>
      </c>
      <c r="CY3" s="147">
        <f t="shared" ref="CY3" ca="1" si="44">IF(OR(CW3="",CX3=""),"",IF(CW3&gt;CX3,1,IF(CW3=CX3,"x",2)))</f>
        <v>2</v>
      </c>
      <c r="CZ3" s="147">
        <f ca="1">VLOOKUP(CZ2,Aux!$M:$AZ,9,0)</f>
        <v>1</v>
      </c>
      <c r="DA3" s="147">
        <f ca="1">VLOOKUP(CZ2,Aux!$M:$AZ,10,0)</f>
        <v>0</v>
      </c>
      <c r="DB3" s="147">
        <f t="shared" ref="DB3" ca="1" si="45">IF(OR(CZ3="",DA3=""),"",IF(CZ3&gt;DA3,1,IF(CZ3=DA3,"x",2)))</f>
        <v>1</v>
      </c>
      <c r="DC3" s="147">
        <f ca="1">VLOOKUP(DC2,Aux!$M:$AZ,9,0)</f>
        <v>2</v>
      </c>
      <c r="DD3" s="147">
        <f ca="1">VLOOKUP(DC2,Aux!$M:$AZ,10,0)</f>
        <v>3</v>
      </c>
      <c r="DE3" s="147">
        <f t="shared" ref="DE3" ca="1" si="46">IF(OR(DC3="",DD3=""),"",IF(DC3&gt;DD3,1,IF(DC3=DD3,"x",2)))</f>
        <v>2</v>
      </c>
      <c r="DF3" s="147">
        <f ca="1">VLOOKUP(DF2,Aux!$M:$AZ,9,0)</f>
        <v>2</v>
      </c>
      <c r="DG3" s="147">
        <f ca="1">VLOOKUP(DF2,Aux!$M:$AZ,10,0)</f>
        <v>0</v>
      </c>
      <c r="DH3" s="147">
        <f t="shared" ref="DH3" ca="1" si="47">IF(OR(DF3="",DG3=""),"",IF(DF3&gt;DG3,1,IF(DF3=DG3,"x",2)))</f>
        <v>1</v>
      </c>
      <c r="DI3" s="147">
        <f ca="1">VLOOKUP(DI2,Aux!$M:$AZ,9,0)</f>
        <v>0</v>
      </c>
      <c r="DJ3" s="147">
        <f ca="1">VLOOKUP(DI2,Aux!$M:$AZ,10,0)</f>
        <v>2</v>
      </c>
      <c r="DK3" s="147">
        <f t="shared" ref="DK3" ca="1" si="48">IF(OR(DI3="",DJ3=""),"",IF(DI3&gt;DJ3,1,IF(DI3=DJ3,"x",2)))</f>
        <v>2</v>
      </c>
      <c r="DL3" s="147">
        <f ca="1">VLOOKUP(DL2,Aux!$M:$AZ,9,0)</f>
        <v>1</v>
      </c>
      <c r="DM3" s="147">
        <f ca="1">VLOOKUP(DL2,Aux!$M:$AZ,10,0)</f>
        <v>4</v>
      </c>
      <c r="DN3" s="147">
        <f t="shared" ref="DN3" ca="1" si="49">IF(OR(DL3="",DM3=""),"",IF(DL3&gt;DM3,1,IF(DL3=DM3,"x",2)))</f>
        <v>2</v>
      </c>
      <c r="DO3" s="147">
        <f ca="1">VLOOKUP(DO2,Aux!$M:$AZ,9,0)</f>
        <v>1</v>
      </c>
      <c r="DP3" s="147">
        <f ca="1">VLOOKUP(DO2,Aux!$M:$AZ,10,0)</f>
        <v>2</v>
      </c>
      <c r="DQ3" s="147">
        <f t="shared" ref="DQ3" ca="1" si="50">IF(OR(DO3="",DP3=""),"",IF(DO3&gt;DP3,1,IF(DO3=DP3,"x",2)))</f>
        <v>2</v>
      </c>
      <c r="DR3" s="147">
        <f ca="1">VLOOKUP(DR2,Aux!$M:$AZ,9,0)</f>
        <v>0</v>
      </c>
      <c r="DS3" s="147">
        <f ca="1">VLOOKUP(DR2,Aux!$M:$AZ,10,0)</f>
        <v>3</v>
      </c>
      <c r="DT3" s="147">
        <f t="shared" ref="DT3" ca="1" si="51">IF(OR(DR3="",DS3=""),"",IF(DR3&gt;DS3,1,IF(DR3=DS3,"x",2)))</f>
        <v>2</v>
      </c>
      <c r="DU3" s="147">
        <f ca="1">VLOOKUP(DU2,Aux!$M:$AZ,9,0)</f>
        <v>3</v>
      </c>
      <c r="DV3" s="147">
        <f ca="1">VLOOKUP(DU2,Aux!$M:$AZ,10,0)</f>
        <v>0</v>
      </c>
      <c r="DW3" s="147">
        <f t="shared" ref="DW3" ca="1" si="52">IF(OR(DU3="",DV3=""),"",IF(DU3&gt;DV3,1,IF(DU3=DV3,"x",2)))</f>
        <v>1</v>
      </c>
      <c r="DX3" s="147">
        <f ca="1">VLOOKUP(DX2,Aux!$M:$AZ,9,0)</f>
        <v>1</v>
      </c>
      <c r="DY3" s="147">
        <f ca="1">VLOOKUP(DX2,Aux!$M:$AZ,10,0)</f>
        <v>4</v>
      </c>
      <c r="DZ3" s="147">
        <f t="shared" ref="DZ3" ca="1" si="53">IF(OR(DX3="",DY3=""),"",IF(DX3&gt;DY3,1,IF(DX3=DY3,"x",2)))</f>
        <v>2</v>
      </c>
      <c r="EA3" s="147">
        <f ca="1">VLOOKUP(EA2,Aux!$M:$AZ,9,0)</f>
        <v>1</v>
      </c>
      <c r="EB3" s="147">
        <f ca="1">VLOOKUP(EA2,Aux!$M:$AZ,10,0)</f>
        <v>1</v>
      </c>
      <c r="EC3" s="147" t="str">
        <f t="shared" ref="EC3" ca="1" si="54">IF(OR(EA3="",EB3=""),"",IF(EA3&gt;EB3,1,IF(EA3=EB3,"x",2)))</f>
        <v>x</v>
      </c>
      <c r="ED3" s="147">
        <f ca="1">VLOOKUP(ED2,Aux!$M:$AZ,9,0)</f>
        <v>0</v>
      </c>
      <c r="EE3" s="147">
        <f ca="1">VLOOKUP(ED2,Aux!$M:$AZ,10,0)</f>
        <v>1</v>
      </c>
      <c r="EF3" s="147">
        <f t="shared" ref="EF3" ca="1" si="55">IF(OR(ED3="",EE3=""),"",IF(ED3&gt;EE3,1,IF(ED3=EE3,"x",2)))</f>
        <v>2</v>
      </c>
      <c r="EG3" s="147">
        <f ca="1">VLOOKUP(EG2,Aux!$M:$AZ,9,0)</f>
        <v>1</v>
      </c>
      <c r="EH3" s="147">
        <f ca="1">VLOOKUP(EG2,Aux!$M:$AZ,10,0)</f>
        <v>1</v>
      </c>
      <c r="EI3" s="147" t="str">
        <f t="shared" ref="EI3" ca="1" si="56">IF(OR(EG3="",EH3=""),"",IF(EG3&gt;EH3,1,IF(EG3=EH3,"x",2)))</f>
        <v>x</v>
      </c>
      <c r="EJ3" s="147">
        <f ca="1">VLOOKUP(EJ2,Aux!$M:$AZ,9,0)</f>
        <v>0</v>
      </c>
      <c r="EK3" s="147">
        <f ca="1">VLOOKUP(EJ2,Aux!$M:$AZ,10,0)</f>
        <v>1</v>
      </c>
      <c r="EL3" s="147">
        <f t="shared" ref="EL3" ca="1" si="57">IF(OR(EJ3="",EK3=""),"",IF(EJ3&gt;EK3,1,IF(EJ3=EK3,"x",2)))</f>
        <v>2</v>
      </c>
      <c r="EM3" s="147">
        <f ca="1">VLOOKUP(EM2,Aux!$M:$AZ,9,0)</f>
        <v>2</v>
      </c>
      <c r="EN3" s="147">
        <f ca="1">VLOOKUP(EM2,Aux!$M:$AZ,10,0)</f>
        <v>2</v>
      </c>
      <c r="EO3" s="147" t="str">
        <f t="shared" ref="EO3" ca="1" si="58">IF(OR(EM3="",EN3=""),"",IF(EM3&gt;EN3,1,IF(EM3=EN3,"x",2)))</f>
        <v>x</v>
      </c>
      <c r="EP3" s="147">
        <f ca="1">VLOOKUP(EP2,Aux!$M:$AZ,9,0)</f>
        <v>1</v>
      </c>
      <c r="EQ3" s="147">
        <f ca="1">VLOOKUP(EP2,Aux!$M:$AZ,10,0)</f>
        <v>3</v>
      </c>
      <c r="ER3" s="147">
        <f t="shared" ref="ER3" ca="1" si="59">IF(OR(EP3="",EQ3=""),"",IF(EP3&gt;EQ3,1,IF(EP3=EQ3,"x",2)))</f>
        <v>2</v>
      </c>
      <c r="ES3" s="147" t="str" cm="1">
        <f t="array" aca="1" ref="ES3" ca="1">IF(INDIRECT(ES2&amp;"!AI10")&lt;3,"",INDIRECT(ES2&amp;"!T10"))</f>
        <v>Palmeiras</v>
      </c>
      <c r="ET3" s="147" t="str" cm="1">
        <f t="array" aca="1" ref="ET3" ca="1">IF(INDIRECT(ET2&amp;"!AI10")&lt;3,"",INDIRECT(ET2&amp;"!T10"))</f>
        <v>Paris Saint-Germain</v>
      </c>
      <c r="EU3" s="147" t="str" cm="1">
        <f t="array" aca="1" ref="EU3" ca="1">IF(INDIRECT(EU2&amp;"!AI10")&lt;3,"",INDIRECT(EU2&amp;"!T10"))</f>
        <v>Bayern Múnich</v>
      </c>
      <c r="EV3" s="147" t="str" cm="1">
        <f t="array" aca="1" ref="EV3" ca="1">IF(INDIRECT(EV2&amp;"!AI10")&lt;3,"",INDIRECT(EV2&amp;"!T10"))</f>
        <v>Chelsea</v>
      </c>
      <c r="EW3" s="147" t="str" cm="1">
        <f t="array" aca="1" ref="EW3" ca="1">IF(INDIRECT(EW2&amp;"!AI10")&lt;3,"",INDIRECT(EW2&amp;"!T10"))</f>
        <v>River Plate</v>
      </c>
      <c r="EX3" s="147" t="str" cm="1">
        <f t="array" aca="1" ref="EX3" ca="1">IF(INDIRECT(EX2&amp;"!AI10")&lt;3,"",INDIRECT(EX2&amp;"!T10"))</f>
        <v>Borussia Dortmund</v>
      </c>
      <c r="EY3" s="147" t="str" cm="1">
        <f t="array" aca="1" ref="EY3" ca="1">IF(INDIRECT(EY2&amp;"!AI10")&lt;3,"",INDIRECT(EY2&amp;"!T10"))</f>
        <v>Manchester City</v>
      </c>
      <c r="EZ3" s="147" t="str" cm="1">
        <f t="array" aca="1" ref="EZ3" ca="1">IF(INDIRECT(EZ2&amp;"!AI10")&lt;3,"",INDIRECT(EZ2&amp;"!T10"))</f>
        <v>Real Madrid</v>
      </c>
      <c r="FA3" s="147" t="str" cm="1">
        <f t="array" aca="1" ref="FA3" ca="1">IF(INDIRECT(FA1&amp;"!AI10")&lt;3,"",INDIRECT(FA1&amp;"!T12"))</f>
        <v>Porto</v>
      </c>
      <c r="FB3" s="147" t="str" cm="1">
        <f t="array" aca="1" ref="FB3" ca="1">IF(INDIRECT(FB1&amp;"!AI10")&lt;3,"",INDIRECT(FB1&amp;"!T12"))</f>
        <v>Atlético de Madrid</v>
      </c>
      <c r="FC3" s="147" t="str" cm="1">
        <f t="array" aca="1" ref="FC3" ca="1">IF(INDIRECT(FC1&amp;"!AI10")&lt;3,"",INDIRECT(FC1&amp;"!T12"))</f>
        <v>Boca Juniors</v>
      </c>
      <c r="FD3" s="147" t="str" cm="1">
        <f t="array" aca="1" ref="FD3" ca="1">IF(INDIRECT(FD1&amp;"!AI10")&lt;3,"",INDIRECT(FD1&amp;"!T12"))</f>
        <v>Flamengo</v>
      </c>
      <c r="FE3" s="147" t="str" cm="1">
        <f t="array" aca="1" ref="FE3" ca="1">IF(INDIRECT(FE1&amp;"!AI10")&lt;3,"",INDIRECT(FE1&amp;"!T12"))</f>
        <v>Inter de Milán</v>
      </c>
      <c r="FF3" s="147" t="str" cm="1">
        <f t="array" aca="1" ref="FF3" ca="1">IF(INDIRECT(FF1&amp;"!AI10")&lt;3,"",INDIRECT(FF1&amp;"!T12"))</f>
        <v>Fluminense</v>
      </c>
      <c r="FG3" s="147" t="str" cm="1">
        <f t="array" aca="1" ref="FG3" ca="1">IF(INDIRECT(FG1&amp;"!AI10")&lt;3,"",INDIRECT(FG1&amp;"!T12"))</f>
        <v>Juventus</v>
      </c>
      <c r="FH3" s="147" t="str" cm="1">
        <f t="array" aca="1" ref="FH3" ca="1">IF(INDIRECT(FH1&amp;"!AI10")&lt;3,"",INDIRECT(FH1&amp;"!T12"))</f>
        <v>Al-Hilal</v>
      </c>
      <c r="FI3" s="147" t="str" cm="1">
        <f t="array" aca="1" ref="FI3" ca="1">INDIRECT(FI1&amp;"!H10")</f>
        <v>Atlético de Madrid</v>
      </c>
      <c r="FJ3" s="147" t="str" cm="1">
        <f t="array" aca="1" ref="FJ3" ca="1">INDIRECT(FJ1&amp;"!p10")</f>
        <v>Bayern Múnich</v>
      </c>
      <c r="FK3" s="147" t="str" cm="1">
        <f t="array" aca="1" ref="FK3" ca="1">INDIRECT(FK1&amp;"!H13")</f>
        <v>River Plate</v>
      </c>
      <c r="FL3" s="147" t="str" cm="1">
        <f t="array" aca="1" ref="FL3" ca="1">INDIRECT(FL1&amp;"!p13")</f>
        <v>Manchester City</v>
      </c>
      <c r="FM3" s="147" t="str" cm="1">
        <f t="array" aca="1" ref="FM3" ca="1">INDIRECT(FM1&amp;"!H16")</f>
        <v>Paris Saint-Germain</v>
      </c>
      <c r="FN3" s="147" t="str" cm="1">
        <f t="array" aca="1" ref="FN3" ca="1">INDIRECT(FN1&amp;"!p16")</f>
        <v>Chelsea</v>
      </c>
      <c r="FO3" s="147" t="str" cm="1">
        <f t="array" aca="1" ref="FO3" ca="1">INDIRECT(FO1&amp;"!H19")</f>
        <v>Inter de Milán</v>
      </c>
      <c r="FP3" s="147" t="str" cm="1">
        <f t="array" aca="1" ref="FP3" ca="1">INDIRECT(FP1&amp;"!p19")</f>
        <v>Real Madrid</v>
      </c>
      <c r="FQ3" s="147" t="str" cm="1">
        <f t="array" aca="1" ref="FQ3" ca="1">INDIRECT(FQ1&amp;"!H10")</f>
        <v>Bayern Múnich</v>
      </c>
      <c r="FR3" s="147" t="str" cm="1">
        <f t="array" aca="1" ref="FR3" ca="1">INDIRECT(FR1&amp;"!p10")</f>
        <v>River Plate</v>
      </c>
      <c r="FS3" s="147" t="str" cm="1">
        <f t="array" aca="1" ref="FS3" ca="1">INDIRECT(FS1&amp;"!H13")</f>
        <v>Chelsea</v>
      </c>
      <c r="FT3" s="147" t="str" cm="1">
        <f t="array" aca="1" ref="FT3" ca="1">INDIRECT(FT1&amp;"!p13")</f>
        <v>Real Madrid</v>
      </c>
      <c r="FU3" s="147" t="str" cm="1">
        <f t="array" aca="1" ref="FU3" ca="1">INDIRECT(FU1&amp;"!H10")</f>
        <v>Bayern Múnich</v>
      </c>
      <c r="FV3" s="147" t="str" cm="1">
        <f t="array" aca="1" ref="FV3" ca="1">INDIRECT(FV1&amp;"!p10")</f>
        <v>Real Madrid</v>
      </c>
      <c r="FW3" s="147" t="str" cm="1">
        <f t="array" aca="1" ref="FW3" ca="1">INDIRECT(FW1&amp;"!I17")</f>
        <v>Real Madrid</v>
      </c>
      <c r="FX3" s="147">
        <f ca="1">VLOOKUP(FX2,Aux!$M:$AZ,9,0)</f>
        <v>1</v>
      </c>
      <c r="FY3" s="147">
        <f ca="1">VLOOKUP(FX2,Aux!$M:$AZ,10,0)</f>
        <v>1</v>
      </c>
      <c r="FZ3" s="147" t="str">
        <f t="shared" ref="FZ3" ca="1" si="60">IF(OR(FX3="",FY3=""),"",IF(FX3&gt;FY3,1,IF(FX3=FY3,"x",2)))</f>
        <v>x</v>
      </c>
      <c r="GA3" s="147">
        <f ca="1">VLOOKUP(GA2,Aux!$M:$AZ,9,0)</f>
        <v>3</v>
      </c>
      <c r="GB3" s="147">
        <f ca="1">VLOOKUP(GA2,Aux!$M:$AZ,10,0)</f>
        <v>1</v>
      </c>
      <c r="GC3" s="147">
        <f t="shared" ref="GC3" ca="1" si="61">IF(OR(GA3="",GB3=""),"",IF(GA3&gt;GB3,1,IF(GA3=GB3,"x",2)))</f>
        <v>1</v>
      </c>
      <c r="GD3" s="147">
        <f ca="1">VLOOKUP(GD2,Aux!$M:$AZ,9,0)</f>
        <v>2</v>
      </c>
      <c r="GE3" s="147">
        <f ca="1">VLOOKUP(GD2,Aux!$M:$AZ,10,0)</f>
        <v>0</v>
      </c>
      <c r="GF3" s="147">
        <f t="shared" ref="GF3" ca="1" si="62">IF(OR(GD3="",GE3=""),"",IF(GD3&gt;GE3,1,IF(GD3=GE3,"x",2)))</f>
        <v>1</v>
      </c>
      <c r="GG3" s="147">
        <f ca="1">VLOOKUP(GG2,Aux!$M:$AZ,9,0)</f>
        <v>2</v>
      </c>
      <c r="GH3" s="147">
        <f ca="1">VLOOKUP(GG2,Aux!$M:$AZ,10,0)</f>
        <v>0</v>
      </c>
      <c r="GI3" s="147">
        <f t="shared" ref="GI3" ca="1" si="63">IF(OR(GG3="",GH3=""),"",IF(GG3&gt;GH3,1,IF(GG3=GH3,"x",2)))</f>
        <v>1</v>
      </c>
      <c r="GJ3" s="147">
        <f ca="1">VLOOKUP(GJ2,Aux!$M:$AZ,9,0)</f>
        <v>1</v>
      </c>
      <c r="GK3" s="147">
        <f ca="1">VLOOKUP(GJ2,Aux!$M:$AZ,10,0)</f>
        <v>1</v>
      </c>
      <c r="GL3" s="147" t="str">
        <f t="shared" ref="GL3" ca="1" si="64">IF(OR(GJ3="",GK3=""),"",IF(GJ3&gt;GK3,1,IF(GJ3=GK3,"x",2)))</f>
        <v>x</v>
      </c>
      <c r="GM3" s="147">
        <f ca="1">VLOOKUP(GM2,Aux!$M:$AZ,9,0)</f>
        <v>2</v>
      </c>
      <c r="GN3" s="147">
        <f ca="1">VLOOKUP(GM2,Aux!$M:$AZ,10,0)</f>
        <v>0</v>
      </c>
      <c r="GO3" s="147">
        <f t="shared" ref="GO3" ca="1" si="65">IF(OR(GM3="",GN3=""),"",IF(GM3&gt;GN3,1,IF(GM3=GN3,"x",2)))</f>
        <v>1</v>
      </c>
      <c r="GP3" s="147">
        <f ca="1">VLOOKUP(GP2,Aux!$M:$AZ,9,0)</f>
        <v>1</v>
      </c>
      <c r="GQ3" s="147">
        <f ca="1">VLOOKUP(GP2,Aux!$M:$AZ,10,0)</f>
        <v>2</v>
      </c>
      <c r="GR3" s="147">
        <f t="shared" ref="GR3" ca="1" si="66">IF(OR(GP3="",GQ3=""),"",IF(GP3&gt;GQ3,1,IF(GP3=GQ3,"x",2)))</f>
        <v>2</v>
      </c>
      <c r="GS3" s="147">
        <f ca="1">VLOOKUP(GS2,Aux!$M:$AZ,9,0)</f>
        <v>2</v>
      </c>
      <c r="GT3" s="147">
        <f ca="1">VLOOKUP(GS2,Aux!$M:$AZ,10,0)</f>
        <v>0</v>
      </c>
      <c r="GU3" s="147">
        <f t="shared" ref="GU3" ca="1" si="67">IF(OR(GS3="",GT3=""),"",IF(GS3&gt;GT3,1,IF(GS3=GT3,"x",2)))</f>
        <v>1</v>
      </c>
      <c r="GV3" s="147">
        <f ca="1">VLOOKUP(GV2,Aux!$M:$AZ,9,0)</f>
        <v>1</v>
      </c>
      <c r="GW3" s="147">
        <f ca="1">VLOOKUP(GV2,Aux!$M:$AZ,10,0)</f>
        <v>2</v>
      </c>
      <c r="GX3" s="147">
        <f t="shared" ref="GX3" ca="1" si="68">IF(OR(GV3="",GW3=""),"",IF(GV3&gt;GW3,1,IF(GV3=GW3,"x",2)))</f>
        <v>2</v>
      </c>
      <c r="GY3" s="147">
        <f ca="1">VLOOKUP(GY2,Aux!$M:$AZ,9,0)</f>
        <v>1</v>
      </c>
      <c r="GZ3" s="147">
        <f ca="1">VLOOKUP(GY2,Aux!$M:$AZ,10,0)</f>
        <v>1</v>
      </c>
      <c r="HA3" s="147" t="str">
        <f t="shared" ref="HA3" ca="1" si="69">IF(OR(GY3="",GZ3=""),"",IF(GY3&gt;GZ3,1,IF(GY3=GZ3,"x",2)))</f>
        <v>x</v>
      </c>
      <c r="HB3" s="147">
        <f ca="1">VLOOKUP(HB2,Aux!$M:$AZ,9,0)</f>
        <v>2</v>
      </c>
      <c r="HC3" s="147">
        <f ca="1">VLOOKUP(HB2,Aux!$M:$AZ,10,0)</f>
        <v>3</v>
      </c>
      <c r="HD3" s="147">
        <f t="shared" ref="HD3" ca="1" si="70">IF(OR(HB3="",HC3=""),"",IF(HB3&gt;HC3,1,IF(HB3=HC3,"x",2)))</f>
        <v>2</v>
      </c>
      <c r="HE3" s="147">
        <f ca="1">VLOOKUP(HE2,Aux!$M:$AZ,9,0)</f>
        <v>1</v>
      </c>
      <c r="HF3" s="147">
        <f ca="1">VLOOKUP(HE2,Aux!$M:$AZ,10,0)</f>
        <v>3</v>
      </c>
      <c r="HG3" s="147">
        <f t="shared" ref="HG3" ca="1" si="71">IF(OR(HE3="",HF3=""),"",IF(HE3&gt;HF3,1,IF(HE3=HF3,"x",2)))</f>
        <v>2</v>
      </c>
      <c r="HH3" s="147">
        <f ca="1">VLOOKUP(HH2,Aux!$M:$AZ,9,0)</f>
        <v>2</v>
      </c>
      <c r="HI3" s="147">
        <f ca="1">VLOOKUP(HH2,Aux!$M:$AZ,10,0)</f>
        <v>1</v>
      </c>
      <c r="HJ3" s="147">
        <f t="shared" ref="HJ3" ca="1" si="72">IF(OR(HH3="",HI3=""),"",IF(HH3&gt;HI3,1,IF(HH3=HI3,"x",2)))</f>
        <v>1</v>
      </c>
      <c r="HK3" s="147">
        <f ca="1">VLOOKUP(HK2,Aux!$M:$AZ,9,0)</f>
        <v>1</v>
      </c>
      <c r="HL3" s="147">
        <f ca="1">VLOOKUP(HK2,Aux!$M:$AZ,10,0)</f>
        <v>2</v>
      </c>
      <c r="HM3" s="147">
        <f t="shared" ref="HM3" ca="1" si="73">IF(OR(HK3="",HL3=""),"",IF(HK3&gt;HL3,1,IF(HK3=HL3,"x",2)))</f>
        <v>2</v>
      </c>
      <c r="HN3" s="147">
        <f ca="1">VLOOKUP(HN2,Aux!$M:$AZ,9,0)</f>
        <v>1</v>
      </c>
      <c r="HO3" s="147">
        <f ca="1">VLOOKUP(HN2,Aux!$M:$AZ,10,0)</f>
        <v>2</v>
      </c>
      <c r="HP3" s="147">
        <f t="shared" ref="HP3" ca="1" si="74">IF(OR(HN3="",HO3=""),"",IF(HN3&gt;HO3,1,IF(HN3=HO3,"x",2)))</f>
        <v>2</v>
      </c>
    </row>
    <row r="4" spans="2:224" x14ac:dyDescent="0.25">
      <c r="B4" s="51" t="s">
        <v>111</v>
      </c>
      <c r="E4" s="147" t="s">
        <v>112</v>
      </c>
      <c r="F4" s="147" t="s">
        <v>112</v>
      </c>
      <c r="G4" s="147" t="s">
        <v>112</v>
      </c>
      <c r="H4" s="147" t="s">
        <v>112</v>
      </c>
      <c r="I4" s="147" t="s">
        <v>112</v>
      </c>
      <c r="J4" s="147" t="s">
        <v>112</v>
      </c>
      <c r="K4" s="147" t="s">
        <v>112</v>
      </c>
      <c r="L4" s="147" t="s">
        <v>112</v>
      </c>
      <c r="M4" s="147" t="s">
        <v>112</v>
      </c>
      <c r="N4" s="147" t="s">
        <v>112</v>
      </c>
      <c r="O4" s="147" t="s">
        <v>112</v>
      </c>
      <c r="P4" s="147" t="s">
        <v>112</v>
      </c>
      <c r="Q4" s="147" t="s">
        <v>112</v>
      </c>
      <c r="R4" s="147" t="s">
        <v>112</v>
      </c>
      <c r="S4" s="147" t="s">
        <v>112</v>
      </c>
      <c r="T4" s="147" t="s">
        <v>112</v>
      </c>
      <c r="U4" s="147" t="s">
        <v>112</v>
      </c>
      <c r="V4" s="147" t="s">
        <v>112</v>
      </c>
      <c r="W4" s="147" t="s">
        <v>112</v>
      </c>
      <c r="X4" s="147" t="s">
        <v>112</v>
      </c>
      <c r="Y4" s="147" t="s">
        <v>112</v>
      </c>
      <c r="Z4" s="147" t="s">
        <v>112</v>
      </c>
      <c r="AA4" s="147" t="s">
        <v>112</v>
      </c>
      <c r="AB4" s="147" t="s">
        <v>112</v>
      </c>
      <c r="AC4" s="147" t="s">
        <v>112</v>
      </c>
      <c r="AD4" s="147" t="s">
        <v>112</v>
      </c>
      <c r="AE4" s="147" t="s">
        <v>112</v>
      </c>
      <c r="AF4" s="147" t="s">
        <v>112</v>
      </c>
      <c r="AG4" s="147" t="s">
        <v>112</v>
      </c>
      <c r="AH4" s="147" t="s">
        <v>112</v>
      </c>
      <c r="AI4" s="147" t="s">
        <v>112</v>
      </c>
      <c r="AJ4" s="147" t="s">
        <v>112</v>
      </c>
      <c r="AK4" s="147" t="s">
        <v>112</v>
      </c>
      <c r="AL4" s="147" t="s">
        <v>112</v>
      </c>
      <c r="AM4" s="147" t="s">
        <v>112</v>
      </c>
      <c r="AN4" s="147" t="s">
        <v>112</v>
      </c>
      <c r="AO4" s="147" t="s">
        <v>112</v>
      </c>
      <c r="AP4" s="147" t="s">
        <v>112</v>
      </c>
      <c r="AQ4" s="147" t="s">
        <v>112</v>
      </c>
      <c r="AR4" s="147" t="s">
        <v>112</v>
      </c>
      <c r="AS4" s="147" t="s">
        <v>112</v>
      </c>
      <c r="AT4" s="147" t="s">
        <v>112</v>
      </c>
      <c r="AU4" s="147" t="s">
        <v>112</v>
      </c>
      <c r="AV4" s="147" t="s">
        <v>112</v>
      </c>
      <c r="AW4" s="147" t="s">
        <v>112</v>
      </c>
      <c r="AX4" s="147" t="s">
        <v>112</v>
      </c>
      <c r="AY4" s="147" t="s">
        <v>112</v>
      </c>
      <c r="AZ4" s="147" t="s">
        <v>112</v>
      </c>
      <c r="BA4" s="147" t="s">
        <v>112</v>
      </c>
      <c r="BB4" s="147" t="s">
        <v>112</v>
      </c>
      <c r="BC4" s="147" t="s">
        <v>112</v>
      </c>
      <c r="BD4" s="147" t="s">
        <v>112</v>
      </c>
      <c r="BE4" s="147" t="s">
        <v>112</v>
      </c>
      <c r="BF4" s="147" t="s">
        <v>112</v>
      </c>
      <c r="BG4" s="147" t="s">
        <v>112</v>
      </c>
      <c r="BH4" s="147" t="s">
        <v>112</v>
      </c>
      <c r="BI4" s="147" t="s">
        <v>112</v>
      </c>
      <c r="BJ4" s="147" t="s">
        <v>112</v>
      </c>
      <c r="BK4" s="147" t="s">
        <v>112</v>
      </c>
      <c r="BL4" s="147" t="s">
        <v>112</v>
      </c>
      <c r="BM4" s="147" t="s">
        <v>112</v>
      </c>
      <c r="BN4" s="147" t="s">
        <v>112</v>
      </c>
      <c r="BO4" s="147" t="s">
        <v>112</v>
      </c>
      <c r="BP4" s="147" t="s">
        <v>112</v>
      </c>
      <c r="BQ4" s="147" t="s">
        <v>112</v>
      </c>
      <c r="BR4" s="147" t="s">
        <v>112</v>
      </c>
      <c r="BS4" s="147" t="s">
        <v>112</v>
      </c>
      <c r="BT4" s="147" t="s">
        <v>112</v>
      </c>
      <c r="BU4" s="147" t="s">
        <v>112</v>
      </c>
      <c r="BV4" s="147" t="s">
        <v>112</v>
      </c>
      <c r="BW4" s="147" t="s">
        <v>112</v>
      </c>
      <c r="BX4" s="147" t="s">
        <v>112</v>
      </c>
      <c r="BY4" s="147" t="s">
        <v>112</v>
      </c>
      <c r="BZ4" s="147" t="s">
        <v>112</v>
      </c>
      <c r="CA4" s="147" t="s">
        <v>112</v>
      </c>
      <c r="CB4" s="147" t="s">
        <v>112</v>
      </c>
      <c r="CC4" s="147" t="s">
        <v>112</v>
      </c>
      <c r="CD4" s="147" t="s">
        <v>112</v>
      </c>
      <c r="CE4" s="147" t="s">
        <v>112</v>
      </c>
      <c r="CF4" s="147" t="s">
        <v>112</v>
      </c>
      <c r="CG4" s="147" t="s">
        <v>112</v>
      </c>
      <c r="CH4" s="147" t="s">
        <v>112</v>
      </c>
      <c r="CI4" s="147" t="s">
        <v>112</v>
      </c>
      <c r="CJ4" s="147" t="s">
        <v>112</v>
      </c>
      <c r="CK4" s="147" t="s">
        <v>112</v>
      </c>
      <c r="CL4" s="147" t="s">
        <v>112</v>
      </c>
      <c r="CM4" s="147" t="s">
        <v>112</v>
      </c>
      <c r="CN4" s="147" t="s">
        <v>112</v>
      </c>
      <c r="CO4" s="147" t="s">
        <v>112</v>
      </c>
      <c r="CP4" s="147" t="s">
        <v>112</v>
      </c>
      <c r="CQ4" s="147" t="s">
        <v>112</v>
      </c>
      <c r="CR4" s="147" t="s">
        <v>112</v>
      </c>
      <c r="CS4" s="147" t="s">
        <v>112</v>
      </c>
      <c r="CT4" s="147" t="s">
        <v>112</v>
      </c>
      <c r="CU4" s="147" t="s">
        <v>112</v>
      </c>
      <c r="CV4" s="147" t="s">
        <v>112</v>
      </c>
      <c r="CW4" s="147" t="s">
        <v>112</v>
      </c>
      <c r="CX4" s="147" t="s">
        <v>112</v>
      </c>
      <c r="CY4" s="147" t="s">
        <v>112</v>
      </c>
      <c r="CZ4" s="147" t="s">
        <v>112</v>
      </c>
      <c r="DA4" s="147" t="s">
        <v>112</v>
      </c>
      <c r="DB4" s="147" t="s">
        <v>112</v>
      </c>
      <c r="DC4" s="147" t="s">
        <v>112</v>
      </c>
      <c r="DD4" s="147" t="s">
        <v>112</v>
      </c>
      <c r="DE4" s="147" t="s">
        <v>112</v>
      </c>
      <c r="DF4" s="147" t="s">
        <v>112</v>
      </c>
      <c r="DG4" s="147" t="s">
        <v>112</v>
      </c>
      <c r="DH4" s="147" t="s">
        <v>112</v>
      </c>
      <c r="DI4" s="147" t="s">
        <v>112</v>
      </c>
      <c r="DJ4" s="147" t="s">
        <v>112</v>
      </c>
      <c r="DK4" s="147" t="s">
        <v>112</v>
      </c>
      <c r="DL4" s="147" t="s">
        <v>112</v>
      </c>
      <c r="DM4" s="147" t="s">
        <v>112</v>
      </c>
      <c r="DN4" s="147" t="s">
        <v>112</v>
      </c>
      <c r="DO4" s="147" t="s">
        <v>112</v>
      </c>
      <c r="DP4" s="147" t="s">
        <v>112</v>
      </c>
      <c r="DQ4" s="147" t="s">
        <v>112</v>
      </c>
      <c r="DR4" s="147" t="s">
        <v>112</v>
      </c>
      <c r="DS4" s="147" t="s">
        <v>112</v>
      </c>
      <c r="DT4" s="147" t="s">
        <v>112</v>
      </c>
      <c r="DU4" s="147" t="s">
        <v>112</v>
      </c>
      <c r="DV4" s="147" t="s">
        <v>112</v>
      </c>
      <c r="DW4" s="147" t="s">
        <v>112</v>
      </c>
      <c r="DX4" s="147" t="s">
        <v>112</v>
      </c>
      <c r="DY4" s="147" t="s">
        <v>112</v>
      </c>
      <c r="DZ4" s="147" t="s">
        <v>112</v>
      </c>
      <c r="EA4" s="147" t="s">
        <v>112</v>
      </c>
      <c r="EB4" s="147" t="s">
        <v>112</v>
      </c>
      <c r="EC4" s="147" t="s">
        <v>112</v>
      </c>
      <c r="ED4" s="147" t="s">
        <v>112</v>
      </c>
      <c r="EE4" s="147" t="s">
        <v>112</v>
      </c>
      <c r="EF4" s="147" t="s">
        <v>112</v>
      </c>
      <c r="EG4" s="147" t="s">
        <v>112</v>
      </c>
      <c r="EH4" s="147" t="s">
        <v>112</v>
      </c>
      <c r="EI4" s="147" t="s">
        <v>112</v>
      </c>
      <c r="EJ4" s="147" t="s">
        <v>112</v>
      </c>
      <c r="EK4" s="147" t="s">
        <v>112</v>
      </c>
      <c r="EL4" s="147" t="s">
        <v>112</v>
      </c>
      <c r="EM4" s="147" t="s">
        <v>112</v>
      </c>
      <c r="EN4" s="147" t="s">
        <v>112</v>
      </c>
      <c r="EO4" s="147" t="s">
        <v>112</v>
      </c>
      <c r="EP4" s="147" t="s">
        <v>112</v>
      </c>
      <c r="EQ4" s="147" t="s">
        <v>112</v>
      </c>
      <c r="ER4" s="147" t="s">
        <v>112</v>
      </c>
      <c r="ES4" s="147" t="s">
        <v>113</v>
      </c>
      <c r="ET4" s="147" t="s">
        <v>113</v>
      </c>
      <c r="EU4" s="147" t="s">
        <v>113</v>
      </c>
      <c r="EV4" s="147" t="s">
        <v>113</v>
      </c>
      <c r="EW4" s="147" t="s">
        <v>113</v>
      </c>
      <c r="EX4" s="147" t="s">
        <v>113</v>
      </c>
      <c r="EY4" s="147" t="s">
        <v>113</v>
      </c>
      <c r="EZ4" s="147" t="s">
        <v>113</v>
      </c>
      <c r="FA4" s="147" t="s">
        <v>320</v>
      </c>
      <c r="FB4" s="147" t="s">
        <v>320</v>
      </c>
      <c r="FC4" s="147" t="s">
        <v>320</v>
      </c>
      <c r="FD4" s="147" t="s">
        <v>320</v>
      </c>
      <c r="FE4" s="147" t="s">
        <v>320</v>
      </c>
      <c r="FF4" s="147" t="s">
        <v>320</v>
      </c>
      <c r="FG4" s="147" t="s">
        <v>320</v>
      </c>
      <c r="FH4" s="147" t="s">
        <v>320</v>
      </c>
      <c r="FI4" s="147" t="s">
        <v>114</v>
      </c>
      <c r="FJ4" s="147" t="s">
        <v>114</v>
      </c>
      <c r="FK4" s="147" t="s">
        <v>114</v>
      </c>
      <c r="FL4" s="147" t="s">
        <v>114</v>
      </c>
      <c r="FM4" s="147" t="s">
        <v>114</v>
      </c>
      <c r="FN4" s="147" t="s">
        <v>114</v>
      </c>
      <c r="FO4" s="147" t="s">
        <v>114</v>
      </c>
      <c r="FP4" s="147" t="s">
        <v>114</v>
      </c>
      <c r="FQ4" s="147" t="s">
        <v>115</v>
      </c>
      <c r="FR4" s="147" t="s">
        <v>115</v>
      </c>
      <c r="FS4" s="147" t="s">
        <v>115</v>
      </c>
      <c r="FT4" s="147" t="s">
        <v>115</v>
      </c>
      <c r="FU4" s="147" t="s">
        <v>116</v>
      </c>
      <c r="FV4" s="147" t="s">
        <v>116</v>
      </c>
      <c r="FW4" s="147" t="s">
        <v>87</v>
      </c>
      <c r="FX4" s="147" t="s">
        <v>324</v>
      </c>
      <c r="FY4" s="147" t="s">
        <v>324</v>
      </c>
      <c r="FZ4" s="147" t="s">
        <v>324</v>
      </c>
      <c r="GA4" s="147" t="s">
        <v>324</v>
      </c>
      <c r="GB4" s="147" t="s">
        <v>324</v>
      </c>
      <c r="GC4" s="147" t="s">
        <v>324</v>
      </c>
      <c r="GD4" s="147" t="s">
        <v>324</v>
      </c>
      <c r="GE4" s="147" t="s">
        <v>324</v>
      </c>
      <c r="GF4" s="147" t="s">
        <v>324</v>
      </c>
      <c r="GG4" s="147" t="s">
        <v>324</v>
      </c>
      <c r="GH4" s="147" t="s">
        <v>324</v>
      </c>
      <c r="GI4" s="147" t="s">
        <v>324</v>
      </c>
      <c r="GJ4" s="147" t="s">
        <v>324</v>
      </c>
      <c r="GK4" s="147" t="s">
        <v>324</v>
      </c>
      <c r="GL4" s="147" t="s">
        <v>324</v>
      </c>
      <c r="GM4" s="147" t="s">
        <v>324</v>
      </c>
      <c r="GN4" s="147" t="s">
        <v>324</v>
      </c>
      <c r="GO4" s="147" t="s">
        <v>324</v>
      </c>
      <c r="GP4" s="147" t="s">
        <v>324</v>
      </c>
      <c r="GQ4" s="147" t="s">
        <v>324</v>
      </c>
      <c r="GR4" s="147" t="s">
        <v>324</v>
      </c>
      <c r="GS4" s="147" t="s">
        <v>324</v>
      </c>
      <c r="GT4" s="147" t="s">
        <v>324</v>
      </c>
      <c r="GU4" s="147" t="s">
        <v>324</v>
      </c>
      <c r="GV4" s="147" t="s">
        <v>14</v>
      </c>
      <c r="GW4" s="147" t="s">
        <v>14</v>
      </c>
      <c r="GX4" s="147" t="s">
        <v>14</v>
      </c>
      <c r="GY4" s="147" t="s">
        <v>14</v>
      </c>
      <c r="GZ4" s="147" t="s">
        <v>14</v>
      </c>
      <c r="HA4" s="147" t="s">
        <v>14</v>
      </c>
      <c r="HB4" s="147" t="s">
        <v>14</v>
      </c>
      <c r="HC4" s="147" t="s">
        <v>14</v>
      </c>
      <c r="HD4" s="147" t="s">
        <v>14</v>
      </c>
      <c r="HE4" s="147" t="s">
        <v>14</v>
      </c>
      <c r="HF4" s="147" t="s">
        <v>14</v>
      </c>
      <c r="HG4" s="147" t="s">
        <v>14</v>
      </c>
      <c r="HH4" s="147" t="s">
        <v>133</v>
      </c>
      <c r="HI4" s="147" t="s">
        <v>133</v>
      </c>
      <c r="HJ4" s="147" t="s">
        <v>133</v>
      </c>
      <c r="HK4" s="147" t="s">
        <v>133</v>
      </c>
      <c r="HL4" s="147" t="s">
        <v>133</v>
      </c>
      <c r="HM4" s="147" t="s">
        <v>133</v>
      </c>
      <c r="HN4" s="147" t="s">
        <v>15</v>
      </c>
      <c r="HO4" s="147" t="s">
        <v>15</v>
      </c>
      <c r="HP4" s="147" t="s">
        <v>15</v>
      </c>
    </row>
    <row r="5" spans="2:224" x14ac:dyDescent="0.25">
      <c r="B5" s="51" t="s">
        <v>97</v>
      </c>
      <c r="E5" s="111">
        <f>+VLOOKUP(E4&amp;"gol",Aux!$AD$1:$AE$50,2,0)</f>
        <v>0</v>
      </c>
      <c r="F5" s="111">
        <f>+VLOOKUP(F4&amp;"gol",Aux!$AD$1:$AE$50,2,0)</f>
        <v>0</v>
      </c>
      <c r="G5" s="111">
        <f>+VLOOKUP(G4&amp;"signo",Aux!$AD$1:$AE$50,2,0)</f>
        <v>3</v>
      </c>
      <c r="H5" s="111">
        <f>+VLOOKUP(H4&amp;"gol",Aux!$AD$1:$AE$50,2,0)</f>
        <v>0</v>
      </c>
      <c r="I5" s="111">
        <f>+VLOOKUP(I4&amp;"gol",Aux!$AD$1:$AE$50,2,0)</f>
        <v>0</v>
      </c>
      <c r="J5" s="111">
        <f>+VLOOKUP(J4&amp;"signo",Aux!$AD$1:$AE$50,2,0)</f>
        <v>3</v>
      </c>
      <c r="K5" s="111">
        <f>+VLOOKUP(K4&amp;"gol",Aux!$AD$1:$AE$50,2,0)</f>
        <v>0</v>
      </c>
      <c r="L5" s="111">
        <f>+VLOOKUP(L4&amp;"gol",Aux!$AD$1:$AE$50,2,0)</f>
        <v>0</v>
      </c>
      <c r="M5" s="111">
        <f>+VLOOKUP(M4&amp;"signo",Aux!$AD$1:$AE$50,2,0)</f>
        <v>3</v>
      </c>
      <c r="N5" s="111">
        <f>+VLOOKUP(N4&amp;"gol",Aux!$AD$1:$AE$50,2,0)</f>
        <v>0</v>
      </c>
      <c r="O5" s="111">
        <f>+VLOOKUP(O4&amp;"gol",Aux!$AD$1:$AE$50,2,0)</f>
        <v>0</v>
      </c>
      <c r="P5" s="111">
        <f>+VLOOKUP(P4&amp;"signo",Aux!$AD$1:$AE$50,2,0)</f>
        <v>3</v>
      </c>
      <c r="Q5" s="111">
        <f>+VLOOKUP(Q4&amp;"gol",Aux!$AD$1:$AE$50,2,0)</f>
        <v>0</v>
      </c>
      <c r="R5" s="111">
        <f>+VLOOKUP(R4&amp;"gol",Aux!$AD$1:$AE$50,2,0)</f>
        <v>0</v>
      </c>
      <c r="S5" s="111">
        <f>+VLOOKUP(S4&amp;"signo",Aux!$AD$1:$AE$50,2,0)</f>
        <v>3</v>
      </c>
      <c r="T5" s="111">
        <f>+VLOOKUP(T4&amp;"gol",Aux!$AD$1:$AE$50,2,0)</f>
        <v>0</v>
      </c>
      <c r="U5" s="111">
        <f>+VLOOKUP(U4&amp;"gol",Aux!$AD$1:$AE$50,2,0)</f>
        <v>0</v>
      </c>
      <c r="V5" s="111">
        <f>+VLOOKUP(V4&amp;"signo",Aux!$AD$1:$AE$50,2,0)</f>
        <v>3</v>
      </c>
      <c r="W5" s="111">
        <f>+VLOOKUP(W4&amp;"gol",Aux!$AD$1:$AE$50,2,0)</f>
        <v>0</v>
      </c>
      <c r="X5" s="111">
        <f>+VLOOKUP(X4&amp;"gol",Aux!$AD$1:$AE$50,2,0)</f>
        <v>0</v>
      </c>
      <c r="Y5" s="111">
        <f>+VLOOKUP(Y4&amp;"signo",Aux!$AD$1:$AE$50,2,0)</f>
        <v>3</v>
      </c>
      <c r="Z5" s="111">
        <f>+VLOOKUP(Z4&amp;"gol",Aux!$AD$1:$AE$50,2,0)</f>
        <v>0</v>
      </c>
      <c r="AA5" s="111">
        <f>+VLOOKUP(AA4&amp;"gol",Aux!$AD$1:$AE$50,2,0)</f>
        <v>0</v>
      </c>
      <c r="AB5" s="111">
        <f>+VLOOKUP(AB4&amp;"signo",Aux!$AD$1:$AE$50,2,0)</f>
        <v>3</v>
      </c>
      <c r="AC5" s="111">
        <f>+VLOOKUP(AC4&amp;"gol",Aux!$AD$1:$AE$50,2,0)</f>
        <v>0</v>
      </c>
      <c r="AD5" s="111">
        <f>+VLOOKUP(AD4&amp;"gol",Aux!$AD$1:$AE$50,2,0)</f>
        <v>0</v>
      </c>
      <c r="AE5" s="111">
        <f>+VLOOKUP(AE4&amp;"signo",Aux!$AD$1:$AE$50,2,0)</f>
        <v>3</v>
      </c>
      <c r="AF5" s="111">
        <f>+VLOOKUP(AF4&amp;"gol",Aux!$AD$1:$AE$50,2,0)</f>
        <v>0</v>
      </c>
      <c r="AG5" s="111">
        <f>+VLOOKUP(AG4&amp;"gol",Aux!$AD$1:$AE$50,2,0)</f>
        <v>0</v>
      </c>
      <c r="AH5" s="111">
        <f>+VLOOKUP(AH4&amp;"signo",Aux!$AD$1:$AE$50,2,0)</f>
        <v>3</v>
      </c>
      <c r="AI5" s="111">
        <f>+VLOOKUP(AI4&amp;"gol",Aux!$AD$1:$AE$50,2,0)</f>
        <v>0</v>
      </c>
      <c r="AJ5" s="111">
        <f>+VLOOKUP(AJ4&amp;"gol",Aux!$AD$1:$AE$50,2,0)</f>
        <v>0</v>
      </c>
      <c r="AK5" s="111">
        <f>+VLOOKUP(AK4&amp;"signo",Aux!$AD$1:$AE$50,2,0)</f>
        <v>3</v>
      </c>
      <c r="AL5" s="111">
        <f>+VLOOKUP(AL4&amp;"gol",Aux!$AD$1:$AE$50,2,0)</f>
        <v>0</v>
      </c>
      <c r="AM5" s="111">
        <f>+VLOOKUP(AM4&amp;"gol",Aux!$AD$1:$AE$50,2,0)</f>
        <v>0</v>
      </c>
      <c r="AN5" s="111">
        <f>+VLOOKUP(AN4&amp;"signo",Aux!$AD$1:$AE$50,2,0)</f>
        <v>3</v>
      </c>
      <c r="AO5" s="111">
        <f>+VLOOKUP(AO4&amp;"gol",Aux!$AD$1:$AE$50,2,0)</f>
        <v>0</v>
      </c>
      <c r="AP5" s="111">
        <f>+VLOOKUP(AP4&amp;"gol",Aux!$AD$1:$AE$50,2,0)</f>
        <v>0</v>
      </c>
      <c r="AQ5" s="111">
        <f>+VLOOKUP(AQ4&amp;"signo",Aux!$AD$1:$AE$50,2,0)</f>
        <v>3</v>
      </c>
      <c r="AR5" s="111">
        <f>+VLOOKUP(AR4&amp;"gol",Aux!$AD$1:$AE$50,2,0)</f>
        <v>0</v>
      </c>
      <c r="AS5" s="111">
        <f>+VLOOKUP(AS4&amp;"gol",Aux!$AD$1:$AE$50,2,0)</f>
        <v>0</v>
      </c>
      <c r="AT5" s="111">
        <f>+VLOOKUP(AT4&amp;"signo",Aux!$AD$1:$AE$50,2,0)</f>
        <v>3</v>
      </c>
      <c r="AU5" s="111">
        <f>+VLOOKUP(AU4&amp;"gol",Aux!$AD$1:$AE$50,2,0)</f>
        <v>0</v>
      </c>
      <c r="AV5" s="111">
        <f>+VLOOKUP(AV4&amp;"gol",Aux!$AD$1:$AE$50,2,0)</f>
        <v>0</v>
      </c>
      <c r="AW5" s="111">
        <f>+VLOOKUP(AW4&amp;"signo",Aux!$AD$1:$AE$50,2,0)</f>
        <v>3</v>
      </c>
      <c r="AX5" s="111">
        <f>+VLOOKUP(AX4&amp;"gol",Aux!$AD$1:$AE$50,2,0)</f>
        <v>0</v>
      </c>
      <c r="AY5" s="111">
        <f>+VLOOKUP(AY4&amp;"gol",Aux!$AD$1:$AE$50,2,0)</f>
        <v>0</v>
      </c>
      <c r="AZ5" s="111">
        <f>+VLOOKUP(AZ4&amp;"signo",Aux!$AD$1:$AE$50,2,0)</f>
        <v>3</v>
      </c>
      <c r="BA5" s="111">
        <f>+VLOOKUP(BA4&amp;"gol",Aux!$AD$1:$AE$50,2,0)</f>
        <v>0</v>
      </c>
      <c r="BB5" s="111">
        <f>+VLOOKUP(BB4&amp;"gol",Aux!$AD$1:$AE$50,2,0)</f>
        <v>0</v>
      </c>
      <c r="BC5" s="111">
        <f>+VLOOKUP(BC4&amp;"signo",Aux!$AD$1:$AE$50,2,0)</f>
        <v>3</v>
      </c>
      <c r="BD5" s="111">
        <f>+VLOOKUP(BD4&amp;"gol",Aux!$AD$1:$AE$50,2,0)</f>
        <v>0</v>
      </c>
      <c r="BE5" s="111">
        <f>+VLOOKUP(BE4&amp;"gol",Aux!$AD$1:$AE$50,2,0)</f>
        <v>0</v>
      </c>
      <c r="BF5" s="111">
        <f>+VLOOKUP(BF4&amp;"signo",Aux!$AD$1:$AE$50,2,0)</f>
        <v>3</v>
      </c>
      <c r="BG5" s="111">
        <f>+VLOOKUP(BG4&amp;"gol",Aux!$AD$1:$AE$50,2,0)</f>
        <v>0</v>
      </c>
      <c r="BH5" s="111">
        <f>+VLOOKUP(BH4&amp;"gol",Aux!$AD$1:$AE$50,2,0)</f>
        <v>0</v>
      </c>
      <c r="BI5" s="111">
        <f>+VLOOKUP(BI4&amp;"signo",Aux!$AD$1:$AE$50,2,0)</f>
        <v>3</v>
      </c>
      <c r="BJ5" s="111">
        <f>+VLOOKUP(BJ4&amp;"gol",Aux!$AD$1:$AE$50,2,0)</f>
        <v>0</v>
      </c>
      <c r="BK5" s="111">
        <f>+VLOOKUP(BK4&amp;"gol",Aux!$AD$1:$AE$50,2,0)</f>
        <v>0</v>
      </c>
      <c r="BL5" s="111">
        <f>+VLOOKUP(BL4&amp;"signo",Aux!$AD$1:$AE$50,2,0)</f>
        <v>3</v>
      </c>
      <c r="BM5" s="111">
        <f>+VLOOKUP(BM4&amp;"gol",Aux!$AD$1:$AE$50,2,0)</f>
        <v>0</v>
      </c>
      <c r="BN5" s="111">
        <f>+VLOOKUP(BN4&amp;"gol",Aux!$AD$1:$AE$50,2,0)</f>
        <v>0</v>
      </c>
      <c r="BO5" s="111">
        <f>+VLOOKUP(BO4&amp;"signo",Aux!$AD$1:$AE$50,2,0)</f>
        <v>3</v>
      </c>
      <c r="BP5" s="111">
        <f>+VLOOKUP(BP4&amp;"gol",Aux!$AD$1:$AE$50,2,0)</f>
        <v>0</v>
      </c>
      <c r="BQ5" s="111">
        <f>+VLOOKUP(BQ4&amp;"gol",Aux!$AD$1:$AE$50,2,0)</f>
        <v>0</v>
      </c>
      <c r="BR5" s="111">
        <f>+VLOOKUP(BR4&amp;"signo",Aux!$AD$1:$AE$50,2,0)</f>
        <v>3</v>
      </c>
      <c r="BS5" s="111">
        <f>+VLOOKUP(BS4&amp;"gol",Aux!$AD$1:$AE$50,2,0)</f>
        <v>0</v>
      </c>
      <c r="BT5" s="111">
        <f>+VLOOKUP(BT4&amp;"gol",Aux!$AD$1:$AE$50,2,0)</f>
        <v>0</v>
      </c>
      <c r="BU5" s="111">
        <f>+VLOOKUP(BU4&amp;"signo",Aux!$AD$1:$AE$50,2,0)</f>
        <v>3</v>
      </c>
      <c r="BV5" s="111">
        <f>+VLOOKUP(BV4&amp;"gol",Aux!$AD$1:$AE$50,2,0)</f>
        <v>0</v>
      </c>
      <c r="BW5" s="111">
        <f>+VLOOKUP(BW4&amp;"gol",Aux!$AD$1:$AE$50,2,0)</f>
        <v>0</v>
      </c>
      <c r="BX5" s="111">
        <f>+VLOOKUP(BX4&amp;"signo",Aux!$AD$1:$AE$50,2,0)</f>
        <v>3</v>
      </c>
      <c r="BY5" s="111">
        <f>+VLOOKUP(BY4&amp;"gol",Aux!$AD$1:$AE$50,2,0)</f>
        <v>0</v>
      </c>
      <c r="BZ5" s="111">
        <f>+VLOOKUP(BZ4&amp;"gol",Aux!$AD$1:$AE$50,2,0)</f>
        <v>0</v>
      </c>
      <c r="CA5" s="111">
        <f>+VLOOKUP(CA4&amp;"signo",Aux!$AD$1:$AE$50,2,0)</f>
        <v>3</v>
      </c>
      <c r="CB5" s="111">
        <f>+VLOOKUP(CB4&amp;"gol",Aux!$AD$1:$AE$50,2,0)</f>
        <v>0</v>
      </c>
      <c r="CC5" s="111">
        <f>+VLOOKUP(CC4&amp;"gol",Aux!$AD$1:$AE$50,2,0)</f>
        <v>0</v>
      </c>
      <c r="CD5" s="111">
        <f>+VLOOKUP(CD4&amp;"signo",Aux!$AD$1:$AE$50,2,0)</f>
        <v>3</v>
      </c>
      <c r="CE5" s="111">
        <f>+VLOOKUP(CE4&amp;"gol",Aux!$AD$1:$AE$50,2,0)</f>
        <v>0</v>
      </c>
      <c r="CF5" s="111">
        <f>+VLOOKUP(CF4&amp;"gol",Aux!$AD$1:$AE$50,2,0)</f>
        <v>0</v>
      </c>
      <c r="CG5" s="111">
        <f>+VLOOKUP(CG4&amp;"signo",Aux!$AD$1:$AE$50,2,0)</f>
        <v>3</v>
      </c>
      <c r="CH5" s="111">
        <f>+VLOOKUP(CH4&amp;"gol",Aux!$AD$1:$AE$50,2,0)</f>
        <v>0</v>
      </c>
      <c r="CI5" s="111">
        <f>+VLOOKUP(CI4&amp;"gol",Aux!$AD$1:$AE$50,2,0)</f>
        <v>0</v>
      </c>
      <c r="CJ5" s="111">
        <f>+VLOOKUP(CJ4&amp;"signo",Aux!$AD$1:$AE$50,2,0)</f>
        <v>3</v>
      </c>
      <c r="CK5" s="111">
        <f>+VLOOKUP(CK4&amp;"gol",Aux!$AD$1:$AE$50,2,0)</f>
        <v>0</v>
      </c>
      <c r="CL5" s="111">
        <f>+VLOOKUP(CL4&amp;"gol",Aux!$AD$1:$AE$50,2,0)</f>
        <v>0</v>
      </c>
      <c r="CM5" s="111">
        <f>+VLOOKUP(CM4&amp;"signo",Aux!$AD$1:$AE$50,2,0)</f>
        <v>3</v>
      </c>
      <c r="CN5" s="111">
        <f>+VLOOKUP(CN4&amp;"gol",Aux!$AD$1:$AE$50,2,0)</f>
        <v>0</v>
      </c>
      <c r="CO5" s="111">
        <f>+VLOOKUP(CO4&amp;"gol",Aux!$AD$1:$AE$50,2,0)</f>
        <v>0</v>
      </c>
      <c r="CP5" s="111">
        <f>+VLOOKUP(CP4&amp;"signo",Aux!$AD$1:$AE$50,2,0)</f>
        <v>3</v>
      </c>
      <c r="CQ5" s="111">
        <f>+VLOOKUP(CQ4&amp;"gol",Aux!$AD$1:$AE$50,2,0)</f>
        <v>0</v>
      </c>
      <c r="CR5" s="111">
        <f>+VLOOKUP(CR4&amp;"gol",Aux!$AD$1:$AE$50,2,0)</f>
        <v>0</v>
      </c>
      <c r="CS5" s="111">
        <f>+VLOOKUP(CS4&amp;"signo",Aux!$AD$1:$AE$50,2,0)</f>
        <v>3</v>
      </c>
      <c r="CT5" s="111">
        <f>+VLOOKUP(CT4&amp;"gol",Aux!$AD$1:$AE$50,2,0)</f>
        <v>0</v>
      </c>
      <c r="CU5" s="111">
        <f>+VLOOKUP(CU4&amp;"gol",Aux!$AD$1:$AE$50,2,0)</f>
        <v>0</v>
      </c>
      <c r="CV5" s="111">
        <f>+VLOOKUP(CV4&amp;"signo",Aux!$AD$1:$AE$50,2,0)</f>
        <v>3</v>
      </c>
      <c r="CW5" s="111">
        <f>+VLOOKUP(CW4&amp;"gol",Aux!$AD$1:$AE$50,2,0)</f>
        <v>0</v>
      </c>
      <c r="CX5" s="111">
        <f>+VLOOKUP(CX4&amp;"gol",Aux!$AD$1:$AE$50,2,0)</f>
        <v>0</v>
      </c>
      <c r="CY5" s="111">
        <f>+VLOOKUP(CY4&amp;"signo",Aux!$AD$1:$AE$50,2,0)</f>
        <v>3</v>
      </c>
      <c r="CZ5" s="111">
        <f>+VLOOKUP(CZ4&amp;"gol",Aux!$AD$1:$AE$50,2,0)</f>
        <v>0</v>
      </c>
      <c r="DA5" s="111">
        <f>+VLOOKUP(DA4&amp;"gol",Aux!$AD$1:$AE$50,2,0)</f>
        <v>0</v>
      </c>
      <c r="DB5" s="111">
        <f>+VLOOKUP(DB4&amp;"signo",Aux!$AD$1:$AE$50,2,0)</f>
        <v>3</v>
      </c>
      <c r="DC5" s="111">
        <f>+VLOOKUP(DC4&amp;"gol",Aux!$AD$1:$AE$50,2,0)</f>
        <v>0</v>
      </c>
      <c r="DD5" s="111">
        <f>+VLOOKUP(DD4&amp;"gol",Aux!$AD$1:$AE$50,2,0)</f>
        <v>0</v>
      </c>
      <c r="DE5" s="111">
        <f>+VLOOKUP(DE4&amp;"signo",Aux!$AD$1:$AE$50,2,0)</f>
        <v>3</v>
      </c>
      <c r="DF5" s="111">
        <f>+VLOOKUP(DF4&amp;"gol",Aux!$AD$1:$AE$50,2,0)</f>
        <v>0</v>
      </c>
      <c r="DG5" s="111">
        <f>+VLOOKUP(DG4&amp;"gol",Aux!$AD$1:$AE$50,2,0)</f>
        <v>0</v>
      </c>
      <c r="DH5" s="111">
        <f>+VLOOKUP(DH4&amp;"signo",Aux!$AD$1:$AE$50,2,0)</f>
        <v>3</v>
      </c>
      <c r="DI5" s="111">
        <f>+VLOOKUP(DI4&amp;"gol",Aux!$AD$1:$AE$50,2,0)</f>
        <v>0</v>
      </c>
      <c r="DJ5" s="111">
        <f>+VLOOKUP(DJ4&amp;"gol",Aux!$AD$1:$AE$50,2,0)</f>
        <v>0</v>
      </c>
      <c r="DK5" s="111">
        <f>+VLOOKUP(DK4&amp;"signo",Aux!$AD$1:$AE$50,2,0)</f>
        <v>3</v>
      </c>
      <c r="DL5" s="111">
        <f>+VLOOKUP(DL4&amp;"gol",Aux!$AD$1:$AE$50,2,0)</f>
        <v>0</v>
      </c>
      <c r="DM5" s="111">
        <f>+VLOOKUP(DM4&amp;"gol",Aux!$AD$1:$AE$50,2,0)</f>
        <v>0</v>
      </c>
      <c r="DN5" s="111">
        <f>+VLOOKUP(DN4&amp;"signo",Aux!$AD$1:$AE$50,2,0)</f>
        <v>3</v>
      </c>
      <c r="DO5" s="111">
        <f>+VLOOKUP(DO4&amp;"gol",Aux!$AD$1:$AE$50,2,0)</f>
        <v>0</v>
      </c>
      <c r="DP5" s="111">
        <f>+VLOOKUP(DP4&amp;"gol",Aux!$AD$1:$AE$50,2,0)</f>
        <v>0</v>
      </c>
      <c r="DQ5" s="111">
        <f>+VLOOKUP(DQ4&amp;"signo",Aux!$AD$1:$AE$50,2,0)</f>
        <v>3</v>
      </c>
      <c r="DR5" s="111">
        <f>+VLOOKUP(DR4&amp;"gol",Aux!$AD$1:$AE$50,2,0)</f>
        <v>0</v>
      </c>
      <c r="DS5" s="111">
        <f>+VLOOKUP(DS4&amp;"gol",Aux!$AD$1:$AE$50,2,0)</f>
        <v>0</v>
      </c>
      <c r="DT5" s="111">
        <f>+VLOOKUP(DT4&amp;"signo",Aux!$AD$1:$AE$50,2,0)</f>
        <v>3</v>
      </c>
      <c r="DU5" s="111">
        <f>+VLOOKUP(DU4&amp;"gol",Aux!$AD$1:$AE$50,2,0)</f>
        <v>0</v>
      </c>
      <c r="DV5" s="111">
        <f>+VLOOKUP(DV4&amp;"gol",Aux!$AD$1:$AE$50,2,0)</f>
        <v>0</v>
      </c>
      <c r="DW5" s="111">
        <f>+VLOOKUP(DW4&amp;"signo",Aux!$AD$1:$AE$50,2,0)</f>
        <v>3</v>
      </c>
      <c r="DX5" s="111">
        <f>+VLOOKUP(DX4&amp;"gol",Aux!$AD$1:$AE$50,2,0)</f>
        <v>0</v>
      </c>
      <c r="DY5" s="111">
        <f>+VLOOKUP(DY4&amp;"gol",Aux!$AD$1:$AE$50,2,0)</f>
        <v>0</v>
      </c>
      <c r="DZ5" s="111">
        <f>+VLOOKUP(DZ4&amp;"signo",Aux!$AD$1:$AE$50,2,0)</f>
        <v>3</v>
      </c>
      <c r="EA5" s="111">
        <f>+VLOOKUP(EA4&amp;"gol",Aux!$AD$1:$AE$50,2,0)</f>
        <v>0</v>
      </c>
      <c r="EB5" s="111">
        <f>+VLOOKUP(EB4&amp;"gol",Aux!$AD$1:$AE$50,2,0)</f>
        <v>0</v>
      </c>
      <c r="EC5" s="111">
        <f>+VLOOKUP(EC4&amp;"signo",Aux!$AD$1:$AE$50,2,0)</f>
        <v>3</v>
      </c>
      <c r="ED5" s="111">
        <f>+VLOOKUP(ED4&amp;"gol",Aux!$AD$1:$AE$50,2,0)</f>
        <v>0</v>
      </c>
      <c r="EE5" s="111">
        <f>+VLOOKUP(EE4&amp;"gol",Aux!$AD$1:$AE$50,2,0)</f>
        <v>0</v>
      </c>
      <c r="EF5" s="111">
        <f>+VLOOKUP(EF4&amp;"signo",Aux!$AD$1:$AE$50,2,0)</f>
        <v>3</v>
      </c>
      <c r="EG5" s="111">
        <f>+VLOOKUP(EG4&amp;"gol",Aux!$AD$1:$AE$50,2,0)</f>
        <v>0</v>
      </c>
      <c r="EH5" s="111">
        <f>+VLOOKUP(EH4&amp;"gol",Aux!$AD$1:$AE$50,2,0)</f>
        <v>0</v>
      </c>
      <c r="EI5" s="111">
        <f>+VLOOKUP(EI4&amp;"signo",Aux!$AD$1:$AE$50,2,0)</f>
        <v>3</v>
      </c>
      <c r="EJ5" s="111">
        <f>+VLOOKUP(EJ4&amp;"gol",Aux!$AD$1:$AE$50,2,0)</f>
        <v>0</v>
      </c>
      <c r="EK5" s="111">
        <f>+VLOOKUP(EK4&amp;"gol",Aux!$AD$1:$AE$50,2,0)</f>
        <v>0</v>
      </c>
      <c r="EL5" s="111">
        <f>+VLOOKUP(EL4&amp;"signo",Aux!$AD$1:$AE$50,2,0)</f>
        <v>3</v>
      </c>
      <c r="EM5" s="111">
        <f>+VLOOKUP(EM4&amp;"gol",Aux!$AD$1:$AE$50,2,0)</f>
        <v>0</v>
      </c>
      <c r="EN5" s="111">
        <f>+VLOOKUP(EN4&amp;"gol",Aux!$AD$1:$AE$50,2,0)</f>
        <v>0</v>
      </c>
      <c r="EO5" s="111">
        <f>+VLOOKUP(EO4&amp;"signo",Aux!$AD$1:$AE$50,2,0)</f>
        <v>3</v>
      </c>
      <c r="EP5" s="111">
        <f>+VLOOKUP(EP4&amp;"gol",Aux!$AD$1:$AE$50,2,0)</f>
        <v>0</v>
      </c>
      <c r="EQ5" s="111">
        <f>+VLOOKUP(EQ4&amp;"gol",Aux!$AD$1:$AE$50,2,0)</f>
        <v>0</v>
      </c>
      <c r="ER5" s="111">
        <f>+VLOOKUP(ER4&amp;"signo",Aux!$AD$1:$AE$50,2,0)</f>
        <v>3</v>
      </c>
      <c r="ES5" s="111">
        <f>+VLOOKUP(ES4,Aux!$AD$1:$AE$50,2,0)</f>
        <v>15</v>
      </c>
      <c r="ET5" s="111">
        <f>+VLOOKUP(ET4,Aux!$AD$1:$AE$50,2,0)</f>
        <v>15</v>
      </c>
      <c r="EU5" s="111">
        <f>+VLOOKUP(EU4,Aux!$AD$1:$AE$50,2,0)</f>
        <v>15</v>
      </c>
      <c r="EV5" s="111">
        <f>+VLOOKUP(EV4,Aux!$AD$1:$AE$50,2,0)</f>
        <v>15</v>
      </c>
      <c r="EW5" s="111">
        <f>+VLOOKUP(EW4,Aux!$AD$1:$AE$50,2,0)</f>
        <v>15</v>
      </c>
      <c r="EX5" s="111">
        <f>+VLOOKUP(EX4,Aux!$AD$1:$AE$50,2,0)</f>
        <v>15</v>
      </c>
      <c r="EY5" s="111">
        <f>+VLOOKUP(EY4,Aux!$AD$1:$AE$50,2,0)</f>
        <v>15</v>
      </c>
      <c r="EZ5" s="111">
        <f>+VLOOKUP(EZ4,Aux!$AD$1:$AE$50,2,0)</f>
        <v>15</v>
      </c>
      <c r="FA5" s="111">
        <f>+VLOOKUP(FA4,Aux!$AD$1:$AE$50,2,0)</f>
        <v>20</v>
      </c>
      <c r="FB5" s="111">
        <f>+VLOOKUP(FB4,Aux!$AD$1:$AE$50,2,0)</f>
        <v>20</v>
      </c>
      <c r="FC5" s="111">
        <f>+VLOOKUP(FC4,Aux!$AD$1:$AE$50,2,0)</f>
        <v>20</v>
      </c>
      <c r="FD5" s="111">
        <f>+VLOOKUP(FD4,Aux!$AD$1:$AE$50,2,0)</f>
        <v>20</v>
      </c>
      <c r="FE5" s="111">
        <f>+VLOOKUP(FE4,Aux!$AD$1:$AE$50,2,0)</f>
        <v>20</v>
      </c>
      <c r="FF5" s="111">
        <f>+VLOOKUP(FF4,Aux!$AD$1:$AE$50,2,0)</f>
        <v>20</v>
      </c>
      <c r="FG5" s="111">
        <f>+VLOOKUP(FG4,Aux!$AD$1:$AE$50,2,0)</f>
        <v>20</v>
      </c>
      <c r="FH5" s="111">
        <f>+VLOOKUP(FH4,Aux!$AD$1:$AE$50,2,0)</f>
        <v>20</v>
      </c>
      <c r="FI5" s="111">
        <f>+VLOOKUP(FI4,Aux!$AD$1:$AE$50,2,0)</f>
        <v>25</v>
      </c>
      <c r="FJ5" s="111">
        <f>+VLOOKUP(FJ4,Aux!$AD$1:$AE$50,2,0)</f>
        <v>25</v>
      </c>
      <c r="FK5" s="111">
        <f>+VLOOKUP(FK4,Aux!$AD$1:$AE$50,2,0)</f>
        <v>25</v>
      </c>
      <c r="FL5" s="111">
        <f>+VLOOKUP(FL4,Aux!$AD$1:$AE$50,2,0)</f>
        <v>25</v>
      </c>
      <c r="FM5" s="111">
        <f>+VLOOKUP(FM4,Aux!$AD$1:$AE$50,2,0)</f>
        <v>25</v>
      </c>
      <c r="FN5" s="111">
        <f>+VLOOKUP(FN4,Aux!$AD$1:$AE$50,2,0)</f>
        <v>25</v>
      </c>
      <c r="FO5" s="111">
        <f>+VLOOKUP(FO4,Aux!$AD$1:$AE$50,2,0)</f>
        <v>25</v>
      </c>
      <c r="FP5" s="111">
        <f>+VLOOKUP(FP4,Aux!$AD$1:$AE$50,2,0)</f>
        <v>25</v>
      </c>
      <c r="FQ5" s="111">
        <f>+VLOOKUP(FQ4,Aux!$AD$1:$AE$50,2,0)</f>
        <v>30</v>
      </c>
      <c r="FR5" s="111">
        <f>+VLOOKUP(FR4,Aux!$AD$1:$AE$50,2,0)</f>
        <v>30</v>
      </c>
      <c r="FS5" s="111">
        <f>+VLOOKUP(FS4,Aux!$AD$1:$AE$50,2,0)</f>
        <v>30</v>
      </c>
      <c r="FT5" s="111">
        <f>+VLOOKUP(FT4,Aux!$AD$1:$AE$50,2,0)</f>
        <v>30</v>
      </c>
      <c r="FU5" s="111">
        <f>+VLOOKUP(FU4,Aux!$AD$1:$AE$50,2,0)</f>
        <v>35</v>
      </c>
      <c r="FV5" s="111">
        <f>+VLOOKUP(FV4,Aux!$AD$1:$AE$50,2,0)</f>
        <v>35</v>
      </c>
      <c r="FW5" s="111">
        <f>+VLOOKUP(FW4,Aux!$AD$1:$AE$50,2,0)</f>
        <v>50</v>
      </c>
      <c r="FX5" s="111">
        <f>+VLOOKUP(FX4&amp;"gol",Aux!$AD$1:$AE$50,2,0)</f>
        <v>0</v>
      </c>
      <c r="FY5" s="111">
        <f>+VLOOKUP(FY4&amp;"gol",Aux!$AD$1:$AE$50,2,0)</f>
        <v>0</v>
      </c>
      <c r="FZ5" s="111">
        <f>+VLOOKUP(FZ4&amp;"signo",Aux!$AD$1:$AE$50,2,0)</f>
        <v>9</v>
      </c>
      <c r="GA5" s="111">
        <f>+VLOOKUP(GA4&amp;"gol",Aux!$AD$1:$AE$50,2,0)</f>
        <v>0</v>
      </c>
      <c r="GB5" s="111">
        <f>+VLOOKUP(GB4&amp;"gol",Aux!$AD$1:$AE$50,2,0)</f>
        <v>0</v>
      </c>
      <c r="GC5" s="111">
        <f>+VLOOKUP(GC4&amp;"signo",Aux!$AD$1:$AE$50,2,0)</f>
        <v>9</v>
      </c>
      <c r="GD5" s="111">
        <f>+VLOOKUP(GD4&amp;"gol",Aux!$AD$1:$AE$50,2,0)</f>
        <v>0</v>
      </c>
      <c r="GE5" s="111">
        <f>+VLOOKUP(GE4&amp;"gol",Aux!$AD$1:$AE$50,2,0)</f>
        <v>0</v>
      </c>
      <c r="GF5" s="111">
        <f>+VLOOKUP(GF4&amp;"signo",Aux!$AD$1:$AE$50,2,0)</f>
        <v>9</v>
      </c>
      <c r="GG5" s="111">
        <f>+VLOOKUP(GG4&amp;"gol",Aux!$AD$1:$AE$50,2,0)</f>
        <v>0</v>
      </c>
      <c r="GH5" s="111">
        <f>+VLOOKUP(GH4&amp;"gol",Aux!$AD$1:$AE$50,2,0)</f>
        <v>0</v>
      </c>
      <c r="GI5" s="111">
        <f>+VLOOKUP(GI4&amp;"signo",Aux!$AD$1:$AE$50,2,0)</f>
        <v>9</v>
      </c>
      <c r="GJ5" s="111">
        <f>+VLOOKUP(GJ4&amp;"gol",Aux!$AD$1:$AE$50,2,0)</f>
        <v>0</v>
      </c>
      <c r="GK5" s="111">
        <f>+VLOOKUP(GK4&amp;"gol",Aux!$AD$1:$AE$50,2,0)</f>
        <v>0</v>
      </c>
      <c r="GL5" s="111">
        <f>+VLOOKUP(GL4&amp;"signo",Aux!$AD$1:$AE$50,2,0)</f>
        <v>9</v>
      </c>
      <c r="GM5" s="111">
        <f>+VLOOKUP(GM4&amp;"gol",Aux!$AD$1:$AE$50,2,0)</f>
        <v>0</v>
      </c>
      <c r="GN5" s="111">
        <f>+VLOOKUP(GN4&amp;"gol",Aux!$AD$1:$AE$50,2,0)</f>
        <v>0</v>
      </c>
      <c r="GO5" s="111">
        <f>+VLOOKUP(GO4&amp;"signo",Aux!$AD$1:$AE$50,2,0)</f>
        <v>9</v>
      </c>
      <c r="GP5" s="111">
        <f>+VLOOKUP(GP4&amp;"gol",Aux!$AD$1:$AE$50,2,0)</f>
        <v>0</v>
      </c>
      <c r="GQ5" s="111">
        <f>+VLOOKUP(GQ4&amp;"gol",Aux!$AD$1:$AE$50,2,0)</f>
        <v>0</v>
      </c>
      <c r="GR5" s="111">
        <f>+VLOOKUP(GR4&amp;"signo",Aux!$AD$1:$AE$50,2,0)</f>
        <v>9</v>
      </c>
      <c r="GS5" s="111">
        <f>+VLOOKUP(GS4&amp;"gol",Aux!$AD$1:$AE$50,2,0)</f>
        <v>0</v>
      </c>
      <c r="GT5" s="111">
        <f>+VLOOKUP(GT4&amp;"gol",Aux!$AD$1:$AE$50,2,0)</f>
        <v>0</v>
      </c>
      <c r="GU5" s="111">
        <f>+VLOOKUP(GU4&amp;"signo",Aux!$AD$1:$AE$50,2,0)</f>
        <v>9</v>
      </c>
      <c r="GV5" s="111">
        <f>+VLOOKUP(GV4&amp;"gol",Aux!$AD$1:$AE$50,2,0)</f>
        <v>0</v>
      </c>
      <c r="GW5" s="111">
        <f>+VLOOKUP(GW4&amp;"gol",Aux!$AD$1:$AE$50,2,0)</f>
        <v>0</v>
      </c>
      <c r="GX5" s="111">
        <f>+VLOOKUP(GX4&amp;"signo",Aux!$AD$1:$AE$50,2,0)</f>
        <v>9</v>
      </c>
      <c r="GY5" s="111">
        <f>+VLOOKUP(GY4&amp;"gol",Aux!$AD$1:$AE$50,2,0)</f>
        <v>0</v>
      </c>
      <c r="GZ5" s="111">
        <f>+VLOOKUP(GZ4&amp;"gol",Aux!$AD$1:$AE$50,2,0)</f>
        <v>0</v>
      </c>
      <c r="HA5" s="111">
        <f>+VLOOKUP(HA4&amp;"signo",Aux!$AD$1:$AE$50,2,0)</f>
        <v>9</v>
      </c>
      <c r="HB5" s="111">
        <f>+VLOOKUP(HB4&amp;"gol",Aux!$AD$1:$AE$50,2,0)</f>
        <v>0</v>
      </c>
      <c r="HC5" s="111">
        <f>+VLOOKUP(HC4&amp;"gol",Aux!$AD$1:$AE$50,2,0)</f>
        <v>0</v>
      </c>
      <c r="HD5" s="111">
        <f>+VLOOKUP(HD4&amp;"signo",Aux!$AD$1:$AE$50,2,0)</f>
        <v>9</v>
      </c>
      <c r="HE5" s="111">
        <f>+VLOOKUP(HE4&amp;"gol",Aux!$AD$1:$AE$50,2,0)</f>
        <v>0</v>
      </c>
      <c r="HF5" s="111">
        <f>+VLOOKUP(HF4&amp;"gol",Aux!$AD$1:$AE$50,2,0)</f>
        <v>0</v>
      </c>
      <c r="HG5" s="111">
        <f>+VLOOKUP(HG4&amp;"signo",Aux!$AD$1:$AE$50,2,0)</f>
        <v>9</v>
      </c>
      <c r="HH5" s="111">
        <f>+VLOOKUP(HH4&amp;"gol",Aux!$AD$1:$AE$50,2,0)</f>
        <v>0</v>
      </c>
      <c r="HI5" s="111">
        <f>+VLOOKUP(HI4&amp;"gol",Aux!$AD$1:$AE$50,2,0)</f>
        <v>0</v>
      </c>
      <c r="HJ5" s="111">
        <f>+VLOOKUP(HJ4&amp;"signo",Aux!$AD$1:$AE$50,2,0)</f>
        <v>9</v>
      </c>
      <c r="HK5" s="111">
        <f>+VLOOKUP(HK4&amp;"gol",Aux!$AD$1:$AE$50,2,0)</f>
        <v>0</v>
      </c>
      <c r="HL5" s="111">
        <f>+VLOOKUP(HL4&amp;"gol",Aux!$AD$1:$AE$50,2,0)</f>
        <v>0</v>
      </c>
      <c r="HM5" s="111">
        <f>+VLOOKUP(HM4&amp;"signo",Aux!$AD$1:$AE$50,2,0)</f>
        <v>9</v>
      </c>
      <c r="HN5" s="111">
        <f>+VLOOKUP(HN4&amp;"gol",Aux!$AD$1:$AE$50,2,0)</f>
        <v>0</v>
      </c>
      <c r="HO5" s="111">
        <f>+VLOOKUP(HO4&amp;"gol",Aux!$AD$1:$AE$50,2,0)</f>
        <v>0</v>
      </c>
      <c r="HP5" s="111">
        <f>+VLOOKUP(HP4&amp;"signo",Aux!$AD$1:$AE$50,2,0)</f>
        <v>9</v>
      </c>
    </row>
    <row r="6" spans="2:224" x14ac:dyDescent="0.25">
      <c r="B6" s="87" t="s">
        <v>88</v>
      </c>
      <c r="C6" s="87" t="s">
        <v>89</v>
      </c>
      <c r="D6" s="87" t="s">
        <v>90</v>
      </c>
    </row>
    <row r="7" spans="2:224" x14ac:dyDescent="0.25">
      <c r="B7">
        <f>+TotalApuestas!B2</f>
        <v>0</v>
      </c>
      <c r="E7" s="75">
        <f>IF($B7=0,0,IF(E$3=TotalApuestas!E2,E$5,0))</f>
        <v>0</v>
      </c>
      <c r="F7" s="75">
        <f>IF($B7=0,0,IF(F$3=TotalApuestas!F2,F$5,0))</f>
        <v>0</v>
      </c>
      <c r="G7" s="75">
        <f>IF($B7=0,0,IF(AND(E$3=TotalApuestas!E2,Resultado!F$3=TotalApuestas!F2),Resultado!G$5+VLOOKUP(G$4&amp;"bonus",Aux!$AD$1:$AE$46,2,0),IF(G$3=TotalApuestas!G2,G$5,0)))</f>
        <v>0</v>
      </c>
      <c r="H7" s="75">
        <f>IF($B7=0,0,IF(H$3=TotalApuestas!H2,H$5,0))</f>
        <v>0</v>
      </c>
      <c r="I7" s="75">
        <f>IF($B7=0,0,IF(I$3=TotalApuestas!I2,I$5,0))</f>
        <v>0</v>
      </c>
      <c r="J7" s="75">
        <f>IF($B7=0,0,IF(AND(H$3=TotalApuestas!H2,Resultado!I$3=TotalApuestas!I2),Resultado!J$5+VLOOKUP(J$4&amp;"bonus",Aux!$AD$1:$AE$46,2,0),IF(J$3=TotalApuestas!J2,J$5,0)))</f>
        <v>0</v>
      </c>
      <c r="K7" s="75">
        <f>IF($B7=0,0,IF(K$3=TotalApuestas!K2,K$5,0))</f>
        <v>0</v>
      </c>
      <c r="L7" s="75">
        <f>IF($B7=0,0,IF(L$3=TotalApuestas!L2,L$5,0))</f>
        <v>0</v>
      </c>
      <c r="M7" s="75">
        <f>IF($B7=0,0,IF(AND(K$3=TotalApuestas!K2,Resultado!L$3=TotalApuestas!L2),Resultado!M$5+VLOOKUP(M$4&amp;"bonus",Aux!$AD$1:$AE$46,2,0),IF(M$3=TotalApuestas!M2,M$5,0)))</f>
        <v>0</v>
      </c>
      <c r="N7" s="75">
        <f>IF($B7=0,0,IF(N$3=TotalApuestas!N2,N$5,0))</f>
        <v>0</v>
      </c>
      <c r="O7" s="75">
        <f>IF($B7=0,0,IF(O$3=TotalApuestas!O2,O$5,0))</f>
        <v>0</v>
      </c>
      <c r="P7" s="75">
        <f>IF($B7=0,0,IF(AND(N$3=TotalApuestas!N2,Resultado!O$3=TotalApuestas!O2),Resultado!P$5+VLOOKUP(P$4&amp;"bonus",Aux!$AD$1:$AE$46,2,0),IF(P$3=TotalApuestas!P2,P$5,0)))</f>
        <v>0</v>
      </c>
      <c r="Q7" s="75">
        <f>IF($B7=0,0,IF(Q$3=TotalApuestas!Q2,Q$5,0))</f>
        <v>0</v>
      </c>
      <c r="R7" s="75">
        <f>IF($B7=0,0,IF(R$3=TotalApuestas!R2,R$5,0))</f>
        <v>0</v>
      </c>
      <c r="S7" s="75">
        <f>IF($B7=0,0,IF(AND(Q$3=TotalApuestas!Q2,Resultado!R$3=TotalApuestas!R2),Resultado!S$5+VLOOKUP(S$4&amp;"bonus",Aux!$AD$1:$AE$46,2,0),IF(S$3=TotalApuestas!S2,S$5,0)))</f>
        <v>0</v>
      </c>
      <c r="T7" s="75">
        <f>IF($B7=0,0,IF(T$3=TotalApuestas!T2,T$5,0))</f>
        <v>0</v>
      </c>
      <c r="U7" s="75">
        <f>IF($B7=0,0,IF(U$3=TotalApuestas!U2,U$5,0))</f>
        <v>0</v>
      </c>
      <c r="V7" s="75">
        <f>IF($B7=0,0,IF(AND(T$3=TotalApuestas!T2,Resultado!U$3=TotalApuestas!U2),Resultado!V$5+VLOOKUP(V$4&amp;"bonus",Aux!$AD$1:$AE$46,2,0),IF(V$3=TotalApuestas!V2,V$5,0)))</f>
        <v>0</v>
      </c>
      <c r="W7" s="75">
        <f>IF($B7=0,0,IF(W$3=TotalApuestas!W2,W$5,0))</f>
        <v>0</v>
      </c>
      <c r="X7" s="75">
        <f>IF($B7=0,0,IF(X$3=TotalApuestas!X2,X$5,0))</f>
        <v>0</v>
      </c>
      <c r="Y7" s="75">
        <f>IF($B7=0,0,IF(AND(W$3=TotalApuestas!W2,Resultado!X$3=TotalApuestas!X2),Resultado!Y$5+VLOOKUP(Y$4&amp;"bonus",Aux!$AD$1:$AE$46,2,0),IF(Y$3=TotalApuestas!Y2,Y$5,0)))</f>
        <v>0</v>
      </c>
      <c r="Z7" s="75">
        <f>IF($B7=0,0,IF(Z$3=TotalApuestas!Z2,Z$5,0))</f>
        <v>0</v>
      </c>
      <c r="AA7" s="75">
        <f>IF($B7=0,0,IF(AA$3=TotalApuestas!AA2,AA$5,0))</f>
        <v>0</v>
      </c>
      <c r="AB7" s="75">
        <f>IF($B7=0,0,IF(AND(Z$3=TotalApuestas!Z2,Resultado!AA$3=TotalApuestas!AA2),Resultado!AB$5+VLOOKUP(AB$4&amp;"bonus",Aux!$AD$1:$AE$46,2,0),IF(AB$3=TotalApuestas!AB2,AB$5,0)))</f>
        <v>0</v>
      </c>
      <c r="AC7" s="75">
        <f>IF($B7=0,0,IF(AC$3=TotalApuestas!AC2,AC$5,0))</f>
        <v>0</v>
      </c>
      <c r="AD7" s="75">
        <f>IF($B7=0,0,IF(AD$3=TotalApuestas!AD2,AD$5,0))</f>
        <v>0</v>
      </c>
      <c r="AE7" s="75">
        <f>IF($B7=0,0,IF(AND(AC$3=TotalApuestas!AC2,Resultado!AD$3=TotalApuestas!AD2),Resultado!AE$5+VLOOKUP(AE$4&amp;"bonus",Aux!$AD$1:$AE$46,2,0),IF(AE$3=TotalApuestas!AE2,AE$5,0)))</f>
        <v>0</v>
      </c>
      <c r="AF7" s="75">
        <f>IF($B7=0,0,IF(AF$3=TotalApuestas!AF2,AF$5,0))</f>
        <v>0</v>
      </c>
      <c r="AG7" s="75">
        <f>IF($B7=0,0,IF(AG$3=TotalApuestas!AG2,AG$5,0))</f>
        <v>0</v>
      </c>
      <c r="AH7" s="75">
        <f>IF($B7=0,0,IF(AND(AF$3=TotalApuestas!AF2,Resultado!AG$3=TotalApuestas!AG2),Resultado!AH$5+VLOOKUP(AH$4&amp;"bonus",Aux!$AD$1:$AE$46,2,0),IF(AH$3=TotalApuestas!AH2,AH$5,0)))</f>
        <v>0</v>
      </c>
      <c r="AI7" s="75">
        <f>IF($B7=0,0,IF(AI$3=TotalApuestas!AI2,AI$5,0))</f>
        <v>0</v>
      </c>
      <c r="AJ7" s="75">
        <f>IF($B7=0,0,IF(AJ$3=TotalApuestas!AJ2,AJ$5,0))</f>
        <v>0</v>
      </c>
      <c r="AK7" s="75">
        <f>IF($B7=0,0,IF(AND(AI$3=TotalApuestas!AI2,Resultado!AJ$3=TotalApuestas!AJ2),Resultado!AK$5+VLOOKUP(AK$4&amp;"bonus",Aux!$AD$1:$AE$46,2,0),IF(AK$3=TotalApuestas!AK2,AK$5,0)))</f>
        <v>0</v>
      </c>
      <c r="AL7" s="75">
        <f>IF($B7=0,0,IF(AL$3=TotalApuestas!AL2,AL$5,0))</f>
        <v>0</v>
      </c>
      <c r="AM7" s="75">
        <f>IF($B7=0,0,IF(AM$3=TotalApuestas!AM2,AM$5,0))</f>
        <v>0</v>
      </c>
      <c r="AN7" s="75">
        <f>IF($B7=0,0,IF(AND(AL$3=TotalApuestas!AL2,Resultado!AM$3=TotalApuestas!AM2),Resultado!AN$5+VLOOKUP(AN$4&amp;"bonus",Aux!$AD$1:$AE$46,2,0),IF(AN$3=TotalApuestas!AN2,AN$5,0)))</f>
        <v>0</v>
      </c>
      <c r="AO7" s="75">
        <f>IF($B7=0,0,IF(AO$3=TotalApuestas!AO2,AO$5,0))</f>
        <v>0</v>
      </c>
      <c r="AP7" s="75">
        <f>IF($B7=0,0,IF(AP$3=TotalApuestas!AP2,AP$5,0))</f>
        <v>0</v>
      </c>
      <c r="AQ7" s="75">
        <f>IF($B7=0,0,IF(AND(AO$3=TotalApuestas!AO2,Resultado!AP$3=TotalApuestas!AP2),Resultado!AQ$5+VLOOKUP(AQ$4&amp;"bonus",Aux!$AD$1:$AE$46,2,0),IF(AQ$3=TotalApuestas!AQ2,AQ$5,0)))</f>
        <v>0</v>
      </c>
      <c r="AR7" s="75">
        <f>IF($B7=0,0,IF(AR$3=TotalApuestas!AR2,AR$5,0))</f>
        <v>0</v>
      </c>
      <c r="AS7" s="75">
        <f>IF($B7=0,0,IF(AS$3=TotalApuestas!AS2,AS$5,0))</f>
        <v>0</v>
      </c>
      <c r="AT7" s="75">
        <f>IF($B7=0,0,IF(AND(AR$3=TotalApuestas!AR2,Resultado!AS$3=TotalApuestas!AS2),Resultado!AT$5+VLOOKUP(AT$4&amp;"bonus",Aux!$AD$1:$AE$46,2,0),IF(AT$3=TotalApuestas!AT2,AT$5,0)))</f>
        <v>0</v>
      </c>
      <c r="AU7" s="75">
        <f>IF($B7=0,0,IF(AU$3=TotalApuestas!AU2,AU$5,0))</f>
        <v>0</v>
      </c>
      <c r="AV7" s="75">
        <f>IF($B7=0,0,IF(AV$3=TotalApuestas!AV2,AV$5,0))</f>
        <v>0</v>
      </c>
      <c r="AW7" s="75">
        <f>IF($B7=0,0,IF(AND(AU$3=TotalApuestas!AU2,Resultado!AV$3=TotalApuestas!AV2),Resultado!AW$5+VLOOKUP(AW$4&amp;"bonus",Aux!$AD$1:$AE$46,2,0),IF(AW$3=TotalApuestas!AW2,AW$5,0)))</f>
        <v>0</v>
      </c>
      <c r="AX7" s="75">
        <f>IF($B7=0,0,IF(AX$3=TotalApuestas!AX2,AX$5,0))</f>
        <v>0</v>
      </c>
      <c r="AY7" s="75">
        <f>IF($B7=0,0,IF(AY$3=TotalApuestas!AY2,AY$5,0))</f>
        <v>0</v>
      </c>
      <c r="AZ7" s="75">
        <f>IF($B7=0,0,IF(AND(AX$3=TotalApuestas!AX2,Resultado!AY$3=TotalApuestas!AY2),Resultado!AZ$5+VLOOKUP(AZ$4&amp;"bonus",Aux!$AD$1:$AE$46,2,0),IF(AZ$3=TotalApuestas!AZ2,AZ$5,0)))</f>
        <v>0</v>
      </c>
      <c r="BA7" s="75">
        <f>IF($B7=0,0,IF(BA$3=TotalApuestas!BA2,BA$5,0))</f>
        <v>0</v>
      </c>
      <c r="BB7" s="75">
        <f>IF($B7=0,0,IF(BB$3=TotalApuestas!BB2,BB$5,0))</f>
        <v>0</v>
      </c>
      <c r="BC7" s="75">
        <f>IF($B7=0,0,IF(AND(BA$3=TotalApuestas!BA2,Resultado!BB$3=TotalApuestas!BB2),Resultado!BC$5+VLOOKUP(BC$4&amp;"bonus",Aux!$AD$1:$AE$46,2,0),IF(BC$3=TotalApuestas!BC2,BC$5,0)))</f>
        <v>0</v>
      </c>
      <c r="BD7" s="75">
        <f>IF($B7=0,0,IF(BD$3=TotalApuestas!BD2,BD$5,0))</f>
        <v>0</v>
      </c>
      <c r="BE7" s="75">
        <f>IF($B7=0,0,IF(BE$3=TotalApuestas!BE2,BE$5,0))</f>
        <v>0</v>
      </c>
      <c r="BF7" s="75">
        <f>IF($B7=0,0,IF(AND(BD$3=TotalApuestas!BD2,Resultado!BE$3=TotalApuestas!BE2),Resultado!BF$5+VLOOKUP(BF$4&amp;"bonus",Aux!$AD$1:$AE$46,2,0),IF(BF$3=TotalApuestas!BF2,BF$5,0)))</f>
        <v>0</v>
      </c>
      <c r="BG7" s="75">
        <f>IF($B7=0,0,IF(BG$3=TotalApuestas!BG2,BG$5,0))</f>
        <v>0</v>
      </c>
      <c r="BH7" s="75">
        <f>IF($B7=0,0,IF(BH$3=TotalApuestas!BH2,BH$5,0))</f>
        <v>0</v>
      </c>
      <c r="BI7" s="75">
        <f>IF($B7=0,0,IF(AND(BG$3=TotalApuestas!BG2,Resultado!BH$3=TotalApuestas!BH2),Resultado!BI$5+VLOOKUP(BI$4&amp;"bonus",Aux!$AD$1:$AE$46,2,0),IF(BI$3=TotalApuestas!BI2,BI$5,0)))</f>
        <v>0</v>
      </c>
      <c r="BJ7" s="75">
        <f>IF($B7=0,0,IF(BJ$3=TotalApuestas!BJ2,BJ$5,0))</f>
        <v>0</v>
      </c>
      <c r="BK7" s="75">
        <f>IF($B7=0,0,IF(BK$3=TotalApuestas!BK2,BK$5,0))</f>
        <v>0</v>
      </c>
      <c r="BL7" s="75">
        <f>IF($B7=0,0,IF(AND(BJ$3=TotalApuestas!BJ2,Resultado!BK$3=TotalApuestas!BK2),Resultado!BL$5+VLOOKUP(BL$4&amp;"bonus",Aux!$AD$1:$AE$46,2,0),IF(BL$3=TotalApuestas!BL2,BL$5,0)))</f>
        <v>0</v>
      </c>
      <c r="BM7" s="75">
        <f>IF($B7=0,0,IF(BM$3=TotalApuestas!BM2,BM$5,0))</f>
        <v>0</v>
      </c>
      <c r="BN7" s="75">
        <f>IF($B7=0,0,IF(BN$3=TotalApuestas!BN2,BN$5,0))</f>
        <v>0</v>
      </c>
      <c r="BO7" s="75">
        <f>IF($B7=0,0,IF(AND(BM$3=TotalApuestas!BM2,Resultado!BN$3=TotalApuestas!BN2),Resultado!BO$5+VLOOKUP(BO$4&amp;"bonus",Aux!$AD$1:$AE$46,2,0),IF(BO$3=TotalApuestas!BO2,BO$5,0)))</f>
        <v>0</v>
      </c>
      <c r="BP7" s="75">
        <f>IF($B7=0,0,IF(BP$3=TotalApuestas!BP2,BP$5,0))</f>
        <v>0</v>
      </c>
      <c r="BQ7" s="75">
        <f>IF($B7=0,0,IF(BQ$3=TotalApuestas!BQ2,BQ$5,0))</f>
        <v>0</v>
      </c>
      <c r="BR7" s="75">
        <f>IF($B7=0,0,IF(AND(BP$3=TotalApuestas!BP2,Resultado!BQ$3=TotalApuestas!BQ2),Resultado!BR$5+VLOOKUP(BR$4&amp;"bonus",Aux!$AD$1:$AE$46,2,0),IF(BR$3=TotalApuestas!BR2,BR$5,0)))</f>
        <v>0</v>
      </c>
      <c r="BS7" s="75">
        <f>IF($B7=0,0,IF(BS$3=TotalApuestas!BS2,BS$5,0))</f>
        <v>0</v>
      </c>
      <c r="BT7" s="75">
        <f>IF($B7=0,0,IF(BT$3=TotalApuestas!BT2,BT$5,0))</f>
        <v>0</v>
      </c>
      <c r="BU7" s="75">
        <f>IF($B7=0,0,IF(AND(BS$3=TotalApuestas!BS2,Resultado!BT$3=TotalApuestas!BT2),Resultado!BU$5+VLOOKUP(BU$4&amp;"bonus",Aux!$AD$1:$AE$46,2,0),IF(BU$3=TotalApuestas!BU2,BU$5,0)))</f>
        <v>0</v>
      </c>
      <c r="BV7" s="75">
        <f>IF($B7=0,0,IF(BV$3=TotalApuestas!BV2,BV$5,0))</f>
        <v>0</v>
      </c>
      <c r="BW7" s="75">
        <f>IF($B7=0,0,IF(BW$3=TotalApuestas!BW2,BW$5,0))</f>
        <v>0</v>
      </c>
      <c r="BX7" s="75">
        <f>IF($B7=0,0,IF(AND(BV$3=TotalApuestas!BV2,Resultado!BW$3=TotalApuestas!BW2),Resultado!BX$5+VLOOKUP(BX$4&amp;"bonus",Aux!$AD$1:$AE$46,2,0),IF(BX$3=TotalApuestas!BX2,BX$5,0)))</f>
        <v>0</v>
      </c>
      <c r="BY7" s="75">
        <f>IF($B7=0,0,IF(BY$3=TotalApuestas!BY2,BY$5,0))</f>
        <v>0</v>
      </c>
      <c r="BZ7" s="75">
        <f>IF($B7=0,0,IF(BZ$3=TotalApuestas!BZ2,BZ$5,0))</f>
        <v>0</v>
      </c>
      <c r="CA7" s="75">
        <f>IF($B7=0,0,IF(AND(BY$3=TotalApuestas!BY2,Resultado!BZ$3=TotalApuestas!BZ2),Resultado!CA$5+VLOOKUP(CA$4&amp;"bonus",Aux!$AD$1:$AE$46,2,0),IF(CA$3=TotalApuestas!CA2,CA$5,0)))</f>
        <v>0</v>
      </c>
      <c r="CB7" s="75">
        <f>IF($B7=0,0,IF(CB$3=TotalApuestas!CB2,CB$5,0))</f>
        <v>0</v>
      </c>
      <c r="CC7" s="75">
        <f>IF($B7=0,0,IF(CC$3=TotalApuestas!CC2,CC$5,0))</f>
        <v>0</v>
      </c>
      <c r="CD7" s="75">
        <f>IF($B7=0,0,IF(AND(CB$3=TotalApuestas!CB2,Resultado!CC$3=TotalApuestas!CC2),Resultado!CD$5+VLOOKUP(CD$4&amp;"bonus",Aux!$AD$1:$AE$46,2,0),IF(CD$3=TotalApuestas!CD2,CD$5,0)))</f>
        <v>0</v>
      </c>
      <c r="CE7" s="75">
        <f>IF($B7=0,0,IF(CE$3=TotalApuestas!CE2,CE$5,0))</f>
        <v>0</v>
      </c>
      <c r="CF7" s="75">
        <f>IF($B7=0,0,IF(CF$3=TotalApuestas!CF2,CF$5,0))</f>
        <v>0</v>
      </c>
      <c r="CG7" s="75">
        <f>IF($B7=0,0,IF(AND(CE$3=TotalApuestas!CE2,Resultado!CF$3=TotalApuestas!CF2),Resultado!CG$5+VLOOKUP(CG$4&amp;"bonus",Aux!$AD$1:$AE$46,2,0),IF(CG$3=TotalApuestas!CG2,CG$5,0)))</f>
        <v>0</v>
      </c>
      <c r="CH7" s="75">
        <f>IF($B7=0,0,IF(CH$3=TotalApuestas!CH2,CH$5,0))</f>
        <v>0</v>
      </c>
      <c r="CI7" s="75">
        <f>IF($B7=0,0,IF(CI$3=TotalApuestas!CI2,CI$5,0))</f>
        <v>0</v>
      </c>
      <c r="CJ7" s="75">
        <f>IF($B7=0,0,IF(AND(CH$3=TotalApuestas!CH2,Resultado!CI$3=TotalApuestas!CI2),Resultado!CJ$5+VLOOKUP(CJ$4&amp;"bonus",Aux!$AD$1:$AE$46,2,0),IF(CJ$3=TotalApuestas!CJ2,CJ$5,0)))</f>
        <v>0</v>
      </c>
      <c r="CK7" s="75">
        <f>IF($B7=0,0,IF(CK$3=TotalApuestas!CK2,CK$5,0))</f>
        <v>0</v>
      </c>
      <c r="CL7" s="75">
        <f>IF($B7=0,0,IF(CL$3=TotalApuestas!CL2,CL$5,0))</f>
        <v>0</v>
      </c>
      <c r="CM7" s="75">
        <f>IF($B7=0,0,IF(AND(CK$3=TotalApuestas!CK2,Resultado!CL$3=TotalApuestas!CL2),Resultado!CM$5+VLOOKUP(CM$4&amp;"bonus",Aux!$AD$1:$AE$46,2,0),IF(CM$3=TotalApuestas!CM2,CM$5,0)))</f>
        <v>0</v>
      </c>
      <c r="CN7" s="75">
        <f>IF($B7=0,0,IF(CN$3=TotalApuestas!CN2,CN$5,0))</f>
        <v>0</v>
      </c>
      <c r="CO7" s="75">
        <f>IF($B7=0,0,IF(CO$3=TotalApuestas!CO2,CO$5,0))</f>
        <v>0</v>
      </c>
      <c r="CP7" s="75">
        <f>IF($B7=0,0,IF(AND(CN$3=TotalApuestas!CN2,Resultado!CO$3=TotalApuestas!CO2),Resultado!CP$5+VLOOKUP(CP$4&amp;"bonus",Aux!$AD$1:$AE$46,2,0),IF(CP$3=TotalApuestas!CP2,CP$5,0)))</f>
        <v>0</v>
      </c>
      <c r="CQ7" s="75">
        <f>IF($B7=0,0,IF(CQ$3=TotalApuestas!CQ2,CQ$5,0))</f>
        <v>0</v>
      </c>
      <c r="CR7" s="75">
        <f>IF($B7=0,0,IF(CR$3=TotalApuestas!CR2,CR$5,0))</f>
        <v>0</v>
      </c>
      <c r="CS7" s="75">
        <f>IF($B7=0,0,IF(AND(CQ$3=TotalApuestas!CQ2,Resultado!CR$3=TotalApuestas!CR2),Resultado!CS$5+VLOOKUP(CS$4&amp;"bonus",Aux!$AD$1:$AE$46,2,0),IF(CS$3=TotalApuestas!CS2,CS$5,0)))</f>
        <v>0</v>
      </c>
      <c r="CT7" s="75">
        <f>IF($B7=0,0,IF(CT$3=TotalApuestas!CT2,CT$5,0))</f>
        <v>0</v>
      </c>
      <c r="CU7" s="75">
        <f>IF($B7=0,0,IF(CU$3=TotalApuestas!CU2,CU$5,0))</f>
        <v>0</v>
      </c>
      <c r="CV7" s="75">
        <f>IF($B7=0,0,IF(AND(CT$3=TotalApuestas!CT2,Resultado!CU$3=TotalApuestas!CU2),Resultado!CV$5+VLOOKUP(CV$4&amp;"bonus",Aux!$AD$1:$AE$46,2,0),IF(CV$3=TotalApuestas!CV2,CV$5,0)))</f>
        <v>0</v>
      </c>
      <c r="CW7" s="75">
        <f>IF($B7=0,0,IF(CW$3=TotalApuestas!CW2,CW$5,0))</f>
        <v>0</v>
      </c>
      <c r="CX7" s="75">
        <f>IF($B7=0,0,IF(CX$3=TotalApuestas!CX2,CX$5,0))</f>
        <v>0</v>
      </c>
      <c r="CY7" s="75">
        <f>IF($B7=0,0,IF(AND(CW$3=TotalApuestas!CW2,Resultado!CX$3=TotalApuestas!CX2),Resultado!CY$5+VLOOKUP(CY$4&amp;"bonus",Aux!$AD$1:$AE$46,2,0),IF(CY$3=TotalApuestas!CY2,CY$5,0)))</f>
        <v>0</v>
      </c>
      <c r="CZ7" s="75">
        <f>IF($B7=0,0,IF(CZ$3=TotalApuestas!CZ2,CZ$5,0))</f>
        <v>0</v>
      </c>
      <c r="DA7" s="75">
        <f>IF($B7=0,0,IF(DA$3=TotalApuestas!DA2,DA$5,0))</f>
        <v>0</v>
      </c>
      <c r="DB7" s="75">
        <f>IF($B7=0,0,IF(AND(CZ$3=TotalApuestas!CZ2,Resultado!DA$3=TotalApuestas!DA2),Resultado!DB$5+VLOOKUP(DB$4&amp;"bonus",Aux!$AD$1:$AE$46,2,0),IF(DB$3=TotalApuestas!DB2,DB$5,0)))</f>
        <v>0</v>
      </c>
      <c r="DC7" s="75">
        <f>IF($B7=0,0,IF(DC$3=TotalApuestas!DC2,DC$5,0))</f>
        <v>0</v>
      </c>
      <c r="DD7" s="75">
        <f>IF($B7=0,0,IF(DD$3=TotalApuestas!DD2,DD$5,0))</f>
        <v>0</v>
      </c>
      <c r="DE7" s="75">
        <f>IF($B7=0,0,IF(AND(DC$3=TotalApuestas!DC2,Resultado!DD$3=TotalApuestas!DD2),Resultado!DE$5+VLOOKUP(DE$4&amp;"bonus",Aux!$AD$1:$AE$46,2,0),IF(DE$3=TotalApuestas!DE2,DE$5,0)))</f>
        <v>0</v>
      </c>
      <c r="DF7" s="75">
        <f>IF($B7=0,0,IF(DF$3=TotalApuestas!DF2,DF$5,0))</f>
        <v>0</v>
      </c>
      <c r="DG7" s="75">
        <f>IF($B7=0,0,IF(DG$3=TotalApuestas!DG2,DG$5,0))</f>
        <v>0</v>
      </c>
      <c r="DH7" s="75">
        <f>IF($B7=0,0,IF(AND(DF$3=TotalApuestas!DF2,Resultado!DG$3=TotalApuestas!DG2),Resultado!DH$5+VLOOKUP(DH$4&amp;"bonus",Aux!$AD$1:$AE$46,2,0),IF(DH$3=TotalApuestas!DH2,DH$5,0)))</f>
        <v>0</v>
      </c>
      <c r="DI7" s="75">
        <f>IF($B7=0,0,IF(DI$3=TotalApuestas!DI2,DI$5,0))</f>
        <v>0</v>
      </c>
      <c r="DJ7" s="75">
        <f>IF($B7=0,0,IF(DJ$3=TotalApuestas!DJ2,DJ$5,0))</f>
        <v>0</v>
      </c>
      <c r="DK7" s="75">
        <f>IF($B7=0,0,IF(AND(DI$3=TotalApuestas!DI2,Resultado!DJ$3=TotalApuestas!DJ2),Resultado!DK$5+VLOOKUP(DK$4&amp;"bonus",Aux!$AD$1:$AE$46,2,0),IF(DK$3=TotalApuestas!DK2,DK$5,0)))</f>
        <v>0</v>
      </c>
      <c r="DL7" s="75">
        <f>IF($B7=0,0,IF(DL$3=TotalApuestas!DL2,DL$5,0))</f>
        <v>0</v>
      </c>
      <c r="DM7" s="75">
        <f>IF($B7=0,0,IF(DM$3=TotalApuestas!DM2,DM$5,0))</f>
        <v>0</v>
      </c>
      <c r="DN7" s="75">
        <f>IF($B7=0,0,IF(AND(DL$3=TotalApuestas!DL2,Resultado!DM$3=TotalApuestas!DM2),Resultado!DN$5+VLOOKUP(DN$4&amp;"bonus",Aux!$AD$1:$AE$46,2,0),IF(DN$3=TotalApuestas!DN2,DN$5,0)))</f>
        <v>0</v>
      </c>
      <c r="DO7" s="75">
        <f>IF($B7=0,0,IF(DO$3=TotalApuestas!DO2,DO$5,0))</f>
        <v>0</v>
      </c>
      <c r="DP7" s="75">
        <f>IF($B7=0,0,IF(DP$3=TotalApuestas!DP2,DP$5,0))</f>
        <v>0</v>
      </c>
      <c r="DQ7" s="75">
        <f>IF($B7=0,0,IF(AND(DO$3=TotalApuestas!DO2,Resultado!DP$3=TotalApuestas!DP2),Resultado!DQ$5+VLOOKUP(DQ$4&amp;"bonus",Aux!$AD$1:$AE$46,2,0),IF(DQ$3=TotalApuestas!DQ2,DQ$5,0)))</f>
        <v>0</v>
      </c>
      <c r="DR7" s="75">
        <f>IF($B7=0,0,IF(DR$3=TotalApuestas!DR2,DR$5,0))</f>
        <v>0</v>
      </c>
      <c r="DS7" s="75">
        <f>IF($B7=0,0,IF(DS$3=TotalApuestas!DS2,DS$5,0))</f>
        <v>0</v>
      </c>
      <c r="DT7" s="75">
        <f>IF($B7=0,0,IF(AND(DR$3=TotalApuestas!DR2,Resultado!DS$3=TotalApuestas!DS2),Resultado!DT$5+VLOOKUP(DT$4&amp;"bonus",Aux!$AD$1:$AE$46,2,0),IF(DT$3=TotalApuestas!DT2,DT$5,0)))</f>
        <v>0</v>
      </c>
      <c r="DU7" s="75">
        <f>IF($B7=0,0,IF(DU$3=TotalApuestas!DU2,DU$5,0))</f>
        <v>0</v>
      </c>
      <c r="DV7" s="75">
        <f>IF($B7=0,0,IF(DV$3=TotalApuestas!DV2,DV$5,0))</f>
        <v>0</v>
      </c>
      <c r="DW7" s="75">
        <f>IF($B7=0,0,IF(AND(DU$3=TotalApuestas!DU2,Resultado!DV$3=TotalApuestas!DV2),Resultado!DW$5+VLOOKUP(DW$4&amp;"bonus",Aux!$AD$1:$AE$46,2,0),IF(DW$3=TotalApuestas!DW2,DW$5,0)))</f>
        <v>0</v>
      </c>
      <c r="DX7" s="75">
        <f>IF($B7=0,0,IF(DX$3=TotalApuestas!DX2,DX$5,0))</f>
        <v>0</v>
      </c>
      <c r="DY7" s="75">
        <f>IF($B7=0,0,IF(DY$3=TotalApuestas!DY2,DY$5,0))</f>
        <v>0</v>
      </c>
      <c r="DZ7" s="75">
        <f>IF($B7=0,0,IF(AND(DX$3=TotalApuestas!DX2,Resultado!DY$3=TotalApuestas!DY2),Resultado!DZ$5+VLOOKUP(DZ$4&amp;"bonus",Aux!$AD$1:$AE$46,2,0),IF(DZ$3=TotalApuestas!DZ2,DZ$5,0)))</f>
        <v>0</v>
      </c>
      <c r="EA7" s="75">
        <f>IF($B7=0,0,IF(EA$3=TotalApuestas!EA2,EA$5,0))</f>
        <v>0</v>
      </c>
      <c r="EB7" s="75">
        <f>IF($B7=0,0,IF(EB$3=TotalApuestas!EB2,EB$5,0))</f>
        <v>0</v>
      </c>
      <c r="EC7" s="75">
        <f>IF($B7=0,0,IF(AND(EA$3=TotalApuestas!EA2,Resultado!EB$3=TotalApuestas!EB2),Resultado!EC$5+VLOOKUP(EC$4&amp;"bonus",Aux!$AD$1:$AE$46,2,0),IF(EC$3=TotalApuestas!EC2,EC$5,0)))</f>
        <v>0</v>
      </c>
      <c r="ED7" s="75">
        <f>IF($B7=0,0,IF(ED$3=TotalApuestas!ED2,ED$5,0))</f>
        <v>0</v>
      </c>
      <c r="EE7" s="75">
        <f>IF($B7=0,0,IF(EE$3=TotalApuestas!EE2,EE$5,0))</f>
        <v>0</v>
      </c>
      <c r="EF7" s="75">
        <f>IF($B7=0,0,IF(AND(ED$3=TotalApuestas!ED2,Resultado!EE$3=TotalApuestas!EE2),Resultado!EF$5+VLOOKUP(EF$4&amp;"bonus",Aux!$AD$1:$AE$46,2,0),IF(EF$3=TotalApuestas!EF2,EF$5,0)))</f>
        <v>0</v>
      </c>
      <c r="EG7" s="75">
        <f>IF($B7=0,0,IF(EG$3=TotalApuestas!EG2,EG$5,0))</f>
        <v>0</v>
      </c>
      <c r="EH7" s="75">
        <f>IF($B7=0,0,IF(EH$3=TotalApuestas!EH2,EH$5,0))</f>
        <v>0</v>
      </c>
      <c r="EI7" s="75">
        <f>IF($B7=0,0,IF(AND(EG$3=TotalApuestas!EG2,Resultado!EH$3=TotalApuestas!EH2),Resultado!EI$5+VLOOKUP(EI$4&amp;"bonus",Aux!$AD$1:$AE$46,2,0),IF(EI$3=TotalApuestas!EI2,EI$5,0)))</f>
        <v>0</v>
      </c>
      <c r="EJ7" s="75">
        <f>IF($B7=0,0,IF(EJ$3=TotalApuestas!EJ2,EJ$5,0))</f>
        <v>0</v>
      </c>
      <c r="EK7" s="75">
        <f>IF($B7=0,0,IF(EK$3=TotalApuestas!EK2,EK$5,0))</f>
        <v>0</v>
      </c>
      <c r="EL7" s="75">
        <f>IF($B7=0,0,IF(AND(EJ$3=TotalApuestas!EJ2,Resultado!EK$3=TotalApuestas!EK2),Resultado!EL$5+VLOOKUP(EL$4&amp;"bonus",Aux!$AD$1:$AE$46,2,0),IF(EL$3=TotalApuestas!EL2,EL$5,0)))</f>
        <v>0</v>
      </c>
      <c r="EM7" s="75">
        <f>IF($B7=0,0,IF(EM$3=TotalApuestas!EM2,EM$5,0))</f>
        <v>0</v>
      </c>
      <c r="EN7" s="75">
        <f>IF($B7=0,0,IF(EN$3=TotalApuestas!EN2,EN$5,0))</f>
        <v>0</v>
      </c>
      <c r="EO7" s="75">
        <f>IF($B7=0,0,IF(AND(EM$3=TotalApuestas!EM2,Resultado!EN$3=TotalApuestas!EN2),Resultado!EO$5+VLOOKUP(EO$4&amp;"bonus",Aux!$AD$1:$AE$46,2,0),IF(EO$3=TotalApuestas!EO2,EO$5,0)))</f>
        <v>0</v>
      </c>
      <c r="EP7" s="75">
        <f>IF($B7=0,0,IF(EP$3=TotalApuestas!EP2,EP$5,0))</f>
        <v>0</v>
      </c>
      <c r="EQ7" s="75">
        <f>IF($B7=0,0,IF(EQ$3=TotalApuestas!EQ2,EQ$5,0))</f>
        <v>0</v>
      </c>
      <c r="ER7" s="75">
        <f>IF($B7=0,0,IF(AND(EP$3=TotalApuestas!EP2,Resultado!EQ$3=TotalApuestas!EQ2),Resultado!ER$5+VLOOKUP(ER$4&amp;"bonus",Aux!$AD$1:$AE$46,2,0),IF(ER$3=TotalApuestas!ER2,ER$5,0)))</f>
        <v>0</v>
      </c>
      <c r="ES7" s="75">
        <f>IF($B7=0,0,IF(ES$3=TotalApuestas!ES2,ES$5,0))</f>
        <v>0</v>
      </c>
      <c r="ET7" s="75">
        <f>IF($B7=0,0,IF(ET$3=TotalApuestas!ET2,ET$5,0))</f>
        <v>0</v>
      </c>
      <c r="EU7" s="75">
        <f>IF($B7=0,0,IF(EU$3=TotalApuestas!EU2,EU$5,0))</f>
        <v>0</v>
      </c>
      <c r="EV7" s="75">
        <f>IF($B7=0,0,IF(EV$3=TotalApuestas!EV2,EV$5,0))</f>
        <v>0</v>
      </c>
      <c r="EW7" s="75">
        <f>IF($B7=0,0,IF(EW$3=TotalApuestas!EW2,EW$5,0))</f>
        <v>0</v>
      </c>
      <c r="EX7" s="75">
        <f>IF($B7=0,0,IF(EX$3=TotalApuestas!EX2,EX$5,0))</f>
        <v>0</v>
      </c>
      <c r="EY7" s="75">
        <f>IF($B7=0,0,IF(EY$3=TotalApuestas!EY2,EY$5,0))</f>
        <v>0</v>
      </c>
      <c r="EZ7" s="75">
        <f>IF($B7=0,0,IF(EZ$3=TotalApuestas!EZ2,EZ$5,0))</f>
        <v>0</v>
      </c>
      <c r="FA7" s="75">
        <f>IF($B7=0,0,IF(FA$3=TotalApuestas!FA2,FA$5,0))</f>
        <v>0</v>
      </c>
      <c r="FB7" s="75">
        <f>IF($B7=0,0,IF(FB$3=TotalApuestas!FB2,FB$5,0))</f>
        <v>0</v>
      </c>
      <c r="FC7" s="75">
        <f>IF($B7=0,0,IF(FC$3=TotalApuestas!FC2,FC$5,0))</f>
        <v>0</v>
      </c>
      <c r="FD7" s="75">
        <f>IF($B7=0,0,IF(FD$3=TotalApuestas!FD2,FD$5,0))</f>
        <v>0</v>
      </c>
      <c r="FE7" s="75">
        <f>IF($B7=0,0,IF(FE$3=TotalApuestas!FE2,FE$5,0))</f>
        <v>0</v>
      </c>
      <c r="FF7" s="75">
        <f>IF($B7=0,0,IF(FF$3=TotalApuestas!FF2,FF$5,0))</f>
        <v>0</v>
      </c>
      <c r="FG7" s="75">
        <f>IF($B7=0,0,IF(FG$3=TotalApuestas!FG2,FG$5,0))</f>
        <v>0</v>
      </c>
      <c r="FH7" s="75">
        <f>IF($B7=0,0,IF(FH$3=TotalApuestas!FH2,FH$5,0))</f>
        <v>0</v>
      </c>
      <c r="FI7" s="75">
        <f>IF($B7=0,0,IF(FI$3=TotalApuestas!FI2,FI$5,0))</f>
        <v>0</v>
      </c>
      <c r="FJ7" s="75">
        <f>IF($B7=0,0,IF(FJ$3=TotalApuestas!FJ2,FJ$5,0))</f>
        <v>0</v>
      </c>
      <c r="FK7" s="75">
        <f>IF($B7=0,0,IF(FK$3=TotalApuestas!FK2,FK$5,0))</f>
        <v>0</v>
      </c>
      <c r="FL7" s="75">
        <f>IF($B7=0,0,IF(FL$3=TotalApuestas!FL2,FL$5,0))</f>
        <v>0</v>
      </c>
      <c r="FM7" s="75">
        <f>IF($B7=0,0,IF(FM$3=TotalApuestas!FM2,FM$5,0))</f>
        <v>0</v>
      </c>
      <c r="FN7" s="75">
        <f>IF($B7=0,0,IF(FN$3=TotalApuestas!FN2,FN$5,0))</f>
        <v>0</v>
      </c>
      <c r="FO7" s="75">
        <f>IF($B7=0,0,IF(FO$3=TotalApuestas!FO2,FO$5,0))</f>
        <v>0</v>
      </c>
      <c r="FP7" s="75">
        <f>IF($B7=0,0,IF(FP$3=TotalApuestas!FP2,FP$5,0))</f>
        <v>0</v>
      </c>
      <c r="FQ7" s="75">
        <f>IF($B7=0,0,IF(FQ$3=TotalApuestas!FQ2,FQ$5,0))</f>
        <v>0</v>
      </c>
      <c r="FR7" s="75">
        <f>IF($B7=0,0,IF(FR$3=TotalApuestas!FR2,FR$5,0))</f>
        <v>0</v>
      </c>
      <c r="FS7" s="75">
        <f>IF($B7=0,0,IF(FS$3=TotalApuestas!FS2,FS$5,0))</f>
        <v>0</v>
      </c>
      <c r="FT7" s="75">
        <f>IF($B7=0,0,IF(FT$3=TotalApuestas!FT2,FT$5,0))</f>
        <v>0</v>
      </c>
      <c r="FU7" s="75">
        <f>IF($B7=0,0,IF(FU$3=TotalApuestas!FU2,FU$5,0))</f>
        <v>0</v>
      </c>
      <c r="FV7" s="75">
        <f>IF($B7=0,0,IF(FV$3=TotalApuestas!FV2,FV$5,0))</f>
        <v>0</v>
      </c>
      <c r="FW7" s="75">
        <f>IF($B7=0,0,IF(FW$3=TotalApuestas!FW2,FW$5,0))</f>
        <v>0</v>
      </c>
      <c r="FX7" s="75">
        <f>IF($B7=0,0,IF(FX$3=TotalApuestas!FX2,FX$5,0))</f>
        <v>0</v>
      </c>
      <c r="FY7" s="75">
        <f>IF($B7=0,0,IF(FY$3=TotalApuestas!FY2,FY$5,0))</f>
        <v>0</v>
      </c>
      <c r="FZ7" s="75">
        <f>IF($B7=0,0,IF(AND(FX$3=TotalApuestas!FX2,Resultado!FY$3=TotalApuestas!FY2),Resultado!FZ$5+VLOOKUP(FZ$4&amp;"bonus",Aux!$AD$1:$AE$46,2,0),IF(FZ$3=TotalApuestas!FZ2,FZ$5,0)))</f>
        <v>0</v>
      </c>
      <c r="GA7" s="75">
        <f>IF($B7=0,0,IF(GA$3=TotalApuestas!GA2,GA$5,0))</f>
        <v>0</v>
      </c>
      <c r="GB7" s="75">
        <f>IF($B7=0,0,IF(GB$3=TotalApuestas!GB2,GB$5,0))</f>
        <v>0</v>
      </c>
      <c r="GC7" s="75">
        <f>IF($B7=0,0,IF(AND(GA$3=TotalApuestas!GA2,Resultado!GB$3=TotalApuestas!GB2),Resultado!GC$5+VLOOKUP(GC$4&amp;"bonus",Aux!$AD$1:$AE$46,2,0),IF(GC$3=TotalApuestas!GC2,GC$5,0)))</f>
        <v>0</v>
      </c>
      <c r="GD7" s="75">
        <f>IF($B7=0,0,IF(GD$3=TotalApuestas!GD2,GD$5,0))</f>
        <v>0</v>
      </c>
      <c r="GE7" s="75">
        <f>IF($B7=0,0,IF(GE$3=TotalApuestas!GE2,GE$5,0))</f>
        <v>0</v>
      </c>
      <c r="GF7" s="75">
        <f>IF($B7=0,0,IF(AND(GD$3=TotalApuestas!GD2,Resultado!GE$3=TotalApuestas!GE2),Resultado!GF$5+VLOOKUP(GF$4&amp;"bonus",Aux!$AD$1:$AE$46,2,0),IF(GF$3=TotalApuestas!GF2,GF$5,0)))</f>
        <v>0</v>
      </c>
      <c r="GG7" s="75">
        <f>IF($B7=0,0,IF(GG$3=TotalApuestas!GG2,GG$5,0))</f>
        <v>0</v>
      </c>
      <c r="GH7" s="75">
        <f>IF($B7=0,0,IF(GH$3=TotalApuestas!GH2,GH$5,0))</f>
        <v>0</v>
      </c>
      <c r="GI7" s="75">
        <f>IF($B7=0,0,IF(AND(GG$3=TotalApuestas!GG2,Resultado!GH$3=TotalApuestas!GH2),Resultado!GI$5+VLOOKUP(GI$4&amp;"bonus",Aux!$AD$1:$AE$46,2,0),IF(GI$3=TotalApuestas!GI2,GI$5,0)))</f>
        <v>0</v>
      </c>
      <c r="GJ7" s="75">
        <f>IF($B7=0,0,IF(GJ$3=TotalApuestas!GJ2,GJ$5,0))</f>
        <v>0</v>
      </c>
      <c r="GK7" s="75">
        <f>IF($B7=0,0,IF(GK$3=TotalApuestas!GK2,GK$5,0))</f>
        <v>0</v>
      </c>
      <c r="GL7" s="75">
        <f>IF($B7=0,0,IF(AND(GJ$3=TotalApuestas!GJ2,Resultado!GK$3=TotalApuestas!GK2),Resultado!GL$5+VLOOKUP(GL$4&amp;"bonus",Aux!$AD$1:$AE$46,2,0),IF(GL$3=TotalApuestas!GL2,GL$5,0)))</f>
        <v>0</v>
      </c>
      <c r="GM7" s="75">
        <f>IF($B7=0,0,IF(GM$3=TotalApuestas!GM2,GM$5,0))</f>
        <v>0</v>
      </c>
      <c r="GN7" s="75">
        <f>IF($B7=0,0,IF(GN$3=TotalApuestas!GN2,GN$5,0))</f>
        <v>0</v>
      </c>
      <c r="GO7" s="75">
        <f>IF($B7=0,0,IF(AND(GM$3=TotalApuestas!GM2,Resultado!GN$3=TotalApuestas!GN2),Resultado!GO$5+VLOOKUP(GO$4&amp;"bonus",Aux!$AD$1:$AE$46,2,0),IF(GO$3=TotalApuestas!GO2,GO$5,0)))</f>
        <v>0</v>
      </c>
      <c r="GP7" s="75">
        <f>IF($B7=0,0,IF(GP$3=TotalApuestas!GP2,GP$5,0))</f>
        <v>0</v>
      </c>
      <c r="GQ7" s="75">
        <f>IF($B7=0,0,IF(GQ$3=TotalApuestas!GQ2,GQ$5,0))</f>
        <v>0</v>
      </c>
      <c r="GR7" s="75">
        <f>IF($B7=0,0,IF(AND(GP$3=TotalApuestas!GP2,Resultado!GQ$3=TotalApuestas!GQ2),Resultado!GR$5+VLOOKUP(GR$4&amp;"bonus",Aux!$AD$1:$AE$46,2,0),IF(GR$3=TotalApuestas!GR2,GR$5,0)))</f>
        <v>0</v>
      </c>
      <c r="GS7" s="75">
        <f>IF($B7=0,0,IF(GS$3=TotalApuestas!GS2,GS$5,0))</f>
        <v>0</v>
      </c>
      <c r="GT7" s="75">
        <f>IF($B7=0,0,IF(GT$3=TotalApuestas!GT2,GT$5,0))</f>
        <v>0</v>
      </c>
      <c r="GU7" s="75">
        <f>IF($B7=0,0,IF(AND(GS$3=TotalApuestas!GS2,Resultado!GT$3=TotalApuestas!GT2),Resultado!GU$5+VLOOKUP(GU$4&amp;"bonus",Aux!$AD$1:$AE$46,2,0),IF(GU$3=TotalApuestas!GU2,GU$5,0)))</f>
        <v>0</v>
      </c>
      <c r="GV7" s="75">
        <f>IF($B7=0,0,IF(GV$3=TotalApuestas!GV2,GV$5,0))</f>
        <v>0</v>
      </c>
      <c r="GW7" s="75">
        <f>IF($B7=0,0,IF(GW$3=TotalApuestas!GW2,GW$5,0))</f>
        <v>0</v>
      </c>
      <c r="GX7" s="75">
        <f>IF($B7=0,0,IF(AND(GV$3=TotalApuestas!GV2,Resultado!GW$3=TotalApuestas!GW2),Resultado!GX$5+VLOOKUP(GX$4&amp;"bonus",Aux!$AD$1:$AE$46,2,0),IF(GX$3=TotalApuestas!GX2,GX$5,0)))</f>
        <v>0</v>
      </c>
      <c r="GY7" s="75">
        <f>IF($B7=0,0,IF(GY$3=TotalApuestas!GY2,GY$5,0))</f>
        <v>0</v>
      </c>
      <c r="GZ7" s="75">
        <f>IF($B7=0,0,IF(GZ$3=TotalApuestas!GZ2,GZ$5,0))</f>
        <v>0</v>
      </c>
      <c r="HA7" s="75">
        <f>IF($B7=0,0,IF(AND(GY$3=TotalApuestas!GY2,Resultado!GZ$3=TotalApuestas!GZ2),Resultado!HA$5+VLOOKUP(HA$4&amp;"bonus",Aux!$AD$1:$AE$46,2,0),IF(HA$3=TotalApuestas!HA2,HA$5,0)))</f>
        <v>0</v>
      </c>
      <c r="HB7" s="75">
        <f>IF($B7=0,0,IF(HB$3=TotalApuestas!HB2,HB$5,0))</f>
        <v>0</v>
      </c>
      <c r="HC7" s="75">
        <f>IF($B7=0,0,IF(HC$3=TotalApuestas!HC2,HC$5,0))</f>
        <v>0</v>
      </c>
      <c r="HD7" s="75">
        <f>IF($B7=0,0,IF(AND(HB$3=TotalApuestas!HB2,Resultado!HC$3=TotalApuestas!HC2),Resultado!HD$5+VLOOKUP(HD$4&amp;"bonus",Aux!$AD$1:$AE$46,2,0),IF(HD$3=TotalApuestas!HD2,HD$5,0)))</f>
        <v>0</v>
      </c>
      <c r="HE7" s="75">
        <f>IF($B7=0,0,IF(HE$3=TotalApuestas!HE2,HE$5,0))</f>
        <v>0</v>
      </c>
      <c r="HF7" s="75">
        <f>IF($B7=0,0,IF(HF$3=TotalApuestas!HF2,HF$5,0))</f>
        <v>0</v>
      </c>
      <c r="HG7" s="75">
        <f>IF($B7=0,0,IF(AND(HE$3=TotalApuestas!HE2,Resultado!HF$3=TotalApuestas!HF2),Resultado!HG$5+VLOOKUP(HG$4&amp;"bonus",Aux!$AD$1:$AE$46,2,0),IF(HG$3=TotalApuestas!HG2,HG$5,0)))</f>
        <v>0</v>
      </c>
      <c r="HH7" s="75">
        <f>IF($B7=0,0,IF(HH$3=TotalApuestas!HH2,HH$5,0))</f>
        <v>0</v>
      </c>
      <c r="HI7" s="75">
        <f>IF($B7=0,0,IF(HI$3=TotalApuestas!HI2,HI$5,0))</f>
        <v>0</v>
      </c>
      <c r="HJ7" s="75">
        <f>IF($B7=0,0,IF(AND(HH$3=TotalApuestas!HH2,Resultado!HI$3=TotalApuestas!HI2),Resultado!HJ$5+VLOOKUP(HJ$4&amp;"bonus",Aux!$AD$1:$AE$46,2,0),IF(HJ$3=TotalApuestas!HJ2,HJ$5,0)))</f>
        <v>0</v>
      </c>
      <c r="HK7" s="75">
        <f>IF($B7=0,0,IF(HK$3=TotalApuestas!HK2,HK$5,0))</f>
        <v>0</v>
      </c>
      <c r="HL7" s="75">
        <f>IF($B7=0,0,IF(HL$3=TotalApuestas!HL2,HL$5,0))</f>
        <v>0</v>
      </c>
      <c r="HM7" s="75">
        <f>IF($B7=0,0,IF(AND(HK$3=TotalApuestas!HK2,Resultado!HL$3=TotalApuestas!HL2),Resultado!HM$5+VLOOKUP(HM$4&amp;"bonus",Aux!$AD$1:$AE$46,2,0),IF(HM$3=TotalApuestas!HM2,HM$5,0)))</f>
        <v>0</v>
      </c>
      <c r="HN7" s="75">
        <f>IF($B7=0,0,IF(HN$3=TotalApuestas!HN2,HN$5,0))</f>
        <v>0</v>
      </c>
      <c r="HO7" s="75">
        <f>IF($B7=0,0,IF(HO$3=TotalApuestas!HO2,HO$5,0))</f>
        <v>0</v>
      </c>
      <c r="HP7" s="75">
        <f>IF($B7=0,0,IF(AND(HN$3=TotalApuestas!HN2,Resultado!HO$3=TotalApuestas!HO2),Resultado!HP$5+VLOOKUP(HP$4&amp;"bonus",Aux!$AD$1:$AE$46,2,0),IF(HP$3=TotalApuestas!HP2,HP$5,0)))</f>
        <v>0</v>
      </c>
    </row>
    <row r="8" spans="2:224" x14ac:dyDescent="0.25">
      <c r="B8">
        <f>+TotalApuestas!B3</f>
        <v>0</v>
      </c>
      <c r="E8" s="75">
        <f>IF($B8=0,0,IF(E$3=TotalApuestas!E3,E$5,0))</f>
        <v>0</v>
      </c>
      <c r="F8" s="75">
        <f>IF($B8=0,0,IF(F$3=TotalApuestas!F3,F$5,0))</f>
        <v>0</v>
      </c>
      <c r="G8" s="75">
        <f>IF($B8=0,0,IF(AND(E$3=TotalApuestas!E3,Resultado!F$3=TotalApuestas!F3),Resultado!G$5+VLOOKUP(G$4&amp;"bonus",Aux!$AD$1:$AE$46,2,0),IF(G$3=TotalApuestas!G3,G$5,0)))</f>
        <v>0</v>
      </c>
      <c r="H8" s="75">
        <f>IF($B8=0,0,IF(H$3=TotalApuestas!H3,H$5,0))</f>
        <v>0</v>
      </c>
      <c r="I8" s="75">
        <f>IF($B8=0,0,IF(I$3=TotalApuestas!I3,I$5,0))</f>
        <v>0</v>
      </c>
      <c r="J8" s="75">
        <f>IF($B8=0,0,IF(AND(H$3=TotalApuestas!H3,Resultado!I$3=TotalApuestas!I3),Resultado!J$5+VLOOKUP(J$4&amp;"bonus",Aux!$AD$1:$AE$46,2,0),IF(J$3=TotalApuestas!J3,J$5,0)))</f>
        <v>0</v>
      </c>
      <c r="K8" s="75">
        <f>IF($B8=0,0,IF(K$3=TotalApuestas!K3,K$5,0))</f>
        <v>0</v>
      </c>
      <c r="L8" s="75">
        <f>IF($B8=0,0,IF(L$3=TotalApuestas!L3,L$5,0))</f>
        <v>0</v>
      </c>
      <c r="M8" s="75">
        <f>IF($B8=0,0,IF(AND(K$3=TotalApuestas!K3,Resultado!L$3=TotalApuestas!L3),Resultado!M$5+VLOOKUP(M$4&amp;"bonus",Aux!$AD$1:$AE$46,2,0),IF(M$3=TotalApuestas!M3,M$5,0)))</f>
        <v>0</v>
      </c>
      <c r="N8" s="75">
        <f>IF($B8=0,0,IF(N$3=TotalApuestas!N3,N$5,0))</f>
        <v>0</v>
      </c>
      <c r="O8" s="75">
        <f>IF($B8=0,0,IF(O$3=TotalApuestas!O3,O$5,0))</f>
        <v>0</v>
      </c>
      <c r="P8" s="75">
        <f>IF($B8=0,0,IF(AND(N$3=TotalApuestas!N3,Resultado!O$3=TotalApuestas!O3),Resultado!P$5+VLOOKUP(P$4&amp;"bonus",Aux!$AD$1:$AE$46,2,0),IF(P$3=TotalApuestas!P3,P$5,0)))</f>
        <v>0</v>
      </c>
      <c r="Q8" s="75">
        <f>IF($B8=0,0,IF(Q$3=TotalApuestas!Q3,Q$5,0))</f>
        <v>0</v>
      </c>
      <c r="R8" s="75">
        <f>IF($B8=0,0,IF(R$3=TotalApuestas!R3,R$5,0))</f>
        <v>0</v>
      </c>
      <c r="S8" s="75">
        <f>IF($B8=0,0,IF(AND(Q$3=TotalApuestas!Q3,Resultado!R$3=TotalApuestas!R3),Resultado!S$5+VLOOKUP(S$4&amp;"bonus",Aux!$AD$1:$AE$46,2,0),IF(S$3=TotalApuestas!S3,S$5,0)))</f>
        <v>0</v>
      </c>
      <c r="T8" s="75">
        <f>IF($B8=0,0,IF(T$3=TotalApuestas!T3,T$5,0))</f>
        <v>0</v>
      </c>
      <c r="U8" s="75">
        <f>IF($B8=0,0,IF(U$3=TotalApuestas!U3,U$5,0))</f>
        <v>0</v>
      </c>
      <c r="V8" s="75">
        <f>IF($B8=0,0,IF(AND(T$3=TotalApuestas!T3,Resultado!U$3=TotalApuestas!U3),Resultado!V$5+VLOOKUP(V$4&amp;"bonus",Aux!$AD$1:$AE$46,2,0),IF(V$3=TotalApuestas!V3,V$5,0)))</f>
        <v>0</v>
      </c>
      <c r="W8" s="75">
        <f>IF($B8=0,0,IF(W$3=TotalApuestas!W3,W$5,0))</f>
        <v>0</v>
      </c>
      <c r="X8" s="75">
        <f>IF($B8=0,0,IF(X$3=TotalApuestas!X3,X$5,0))</f>
        <v>0</v>
      </c>
      <c r="Y8" s="75">
        <f>IF($B8=0,0,IF(AND(W$3=TotalApuestas!W3,Resultado!X$3=TotalApuestas!X3),Resultado!Y$5+VLOOKUP(Y$4&amp;"bonus",Aux!$AD$1:$AE$46,2,0),IF(Y$3=TotalApuestas!Y3,Y$5,0)))</f>
        <v>0</v>
      </c>
      <c r="Z8" s="75">
        <f>IF($B8=0,0,IF(Z$3=TotalApuestas!Z3,Z$5,0))</f>
        <v>0</v>
      </c>
      <c r="AA8" s="75">
        <f>IF($B8=0,0,IF(AA$3=TotalApuestas!AA3,AA$5,0))</f>
        <v>0</v>
      </c>
      <c r="AB8" s="75">
        <f>IF($B8=0,0,IF(AND(Z$3=TotalApuestas!Z3,Resultado!AA$3=TotalApuestas!AA3),Resultado!AB$5+VLOOKUP(AB$4&amp;"bonus",Aux!$AD$1:$AE$46,2,0),IF(AB$3=TotalApuestas!AB3,AB$5,0)))</f>
        <v>0</v>
      </c>
      <c r="AC8" s="75">
        <f>IF($B8=0,0,IF(AC$3=TotalApuestas!AC3,AC$5,0))</f>
        <v>0</v>
      </c>
      <c r="AD8" s="75">
        <f>IF($B8=0,0,IF(AD$3=TotalApuestas!AD3,AD$5,0))</f>
        <v>0</v>
      </c>
      <c r="AE8" s="75">
        <f>IF($B8=0,0,IF(AND(AC$3=TotalApuestas!AC3,Resultado!AD$3=TotalApuestas!AD3),Resultado!AE$5+VLOOKUP(AE$4&amp;"bonus",Aux!$AD$1:$AE$46,2,0),IF(AE$3=TotalApuestas!AE3,AE$5,0)))</f>
        <v>0</v>
      </c>
      <c r="AF8" s="75">
        <f>IF($B8=0,0,IF(AF$3=TotalApuestas!AF3,AF$5,0))</f>
        <v>0</v>
      </c>
      <c r="AG8" s="75">
        <f>IF($B8=0,0,IF(AG$3=TotalApuestas!AG3,AG$5,0))</f>
        <v>0</v>
      </c>
      <c r="AH8" s="75">
        <f>IF($B8=0,0,IF(AND(AF$3=TotalApuestas!AF3,Resultado!AG$3=TotalApuestas!AG3),Resultado!AH$5+VLOOKUP(AH$4&amp;"bonus",Aux!$AD$1:$AE$46,2,0),IF(AH$3=TotalApuestas!AH3,AH$5,0)))</f>
        <v>0</v>
      </c>
      <c r="AI8" s="75">
        <f>IF($B8=0,0,IF(AI$3=TotalApuestas!AI3,AI$5,0))</f>
        <v>0</v>
      </c>
      <c r="AJ8" s="75">
        <f>IF($B8=0,0,IF(AJ$3=TotalApuestas!AJ3,AJ$5,0))</f>
        <v>0</v>
      </c>
      <c r="AK8" s="75">
        <f>IF($B8=0,0,IF(AND(AI$3=TotalApuestas!AI3,Resultado!AJ$3=TotalApuestas!AJ3),Resultado!AK$5+VLOOKUP(AK$4&amp;"bonus",Aux!$AD$1:$AE$46,2,0),IF(AK$3=TotalApuestas!AK3,AK$5,0)))</f>
        <v>0</v>
      </c>
      <c r="AL8" s="75">
        <f>IF($B8=0,0,IF(AL$3=TotalApuestas!AL3,AL$5,0))</f>
        <v>0</v>
      </c>
      <c r="AM8" s="75">
        <f>IF($B8=0,0,IF(AM$3=TotalApuestas!AM3,AM$5,0))</f>
        <v>0</v>
      </c>
      <c r="AN8" s="75">
        <f>IF($B8=0,0,IF(AND(AL$3=TotalApuestas!AL3,Resultado!AM$3=TotalApuestas!AM3),Resultado!AN$5+VLOOKUP(AN$4&amp;"bonus",Aux!$AD$1:$AE$46,2,0),IF(AN$3=TotalApuestas!AN3,AN$5,0)))</f>
        <v>0</v>
      </c>
      <c r="AO8" s="75">
        <f>IF($B8=0,0,IF(AO$3=TotalApuestas!AO3,AO$5,0))</f>
        <v>0</v>
      </c>
      <c r="AP8" s="75">
        <f>IF($B8=0,0,IF(AP$3=TotalApuestas!AP3,AP$5,0))</f>
        <v>0</v>
      </c>
      <c r="AQ8" s="75">
        <f>IF($B8=0,0,IF(AND(AO$3=TotalApuestas!AO3,Resultado!AP$3=TotalApuestas!AP3),Resultado!AQ$5+VLOOKUP(AQ$4&amp;"bonus",Aux!$AD$1:$AE$46,2,0),IF(AQ$3=TotalApuestas!AQ3,AQ$5,0)))</f>
        <v>0</v>
      </c>
      <c r="AR8" s="75">
        <f>IF($B8=0,0,IF(AR$3=TotalApuestas!AR3,AR$5,0))</f>
        <v>0</v>
      </c>
      <c r="AS8" s="75">
        <f>IF($B8=0,0,IF(AS$3=TotalApuestas!AS3,AS$5,0))</f>
        <v>0</v>
      </c>
      <c r="AT8" s="75">
        <f>IF($B8=0,0,IF(AND(AR$3=TotalApuestas!AR3,Resultado!AS$3=TotalApuestas!AS3),Resultado!AT$5+VLOOKUP(AT$4&amp;"bonus",Aux!$AD$1:$AE$46,2,0),IF(AT$3=TotalApuestas!AT3,AT$5,0)))</f>
        <v>0</v>
      </c>
      <c r="AU8" s="75">
        <f>IF($B8=0,0,IF(AU$3=TotalApuestas!AU3,AU$5,0))</f>
        <v>0</v>
      </c>
      <c r="AV8" s="75">
        <f>IF($B8=0,0,IF(AV$3=TotalApuestas!AV3,AV$5,0))</f>
        <v>0</v>
      </c>
      <c r="AW8" s="75">
        <f>IF($B8=0,0,IF(AND(AU$3=TotalApuestas!AU3,Resultado!AV$3=TotalApuestas!AV3),Resultado!AW$5+VLOOKUP(AW$4&amp;"bonus",Aux!$AD$1:$AE$46,2,0),IF(AW$3=TotalApuestas!AW3,AW$5,0)))</f>
        <v>0</v>
      </c>
      <c r="AX8" s="75">
        <f>IF($B8=0,0,IF(AX$3=TotalApuestas!AX3,AX$5,0))</f>
        <v>0</v>
      </c>
      <c r="AY8" s="75">
        <f>IF($B8=0,0,IF(AY$3=TotalApuestas!AY3,AY$5,0))</f>
        <v>0</v>
      </c>
      <c r="AZ8" s="75">
        <f>IF($B8=0,0,IF(AND(AX$3=TotalApuestas!AX3,Resultado!AY$3=TotalApuestas!AY3),Resultado!AZ$5+VLOOKUP(AZ$4&amp;"bonus",Aux!$AD$1:$AE$46,2,0),IF(AZ$3=TotalApuestas!AZ3,AZ$5,0)))</f>
        <v>0</v>
      </c>
      <c r="BA8" s="75">
        <f>IF($B8=0,0,IF(BA$3=TotalApuestas!BA3,BA$5,0))</f>
        <v>0</v>
      </c>
      <c r="BB8" s="75">
        <f>IF($B8=0,0,IF(BB$3=TotalApuestas!BB3,BB$5,0))</f>
        <v>0</v>
      </c>
      <c r="BC8" s="75">
        <f>IF($B8=0,0,IF(AND(BA$3=TotalApuestas!BA3,Resultado!BB$3=TotalApuestas!BB3),Resultado!BC$5+VLOOKUP(BC$4&amp;"bonus",Aux!$AD$1:$AE$46,2,0),IF(BC$3=TotalApuestas!BC3,BC$5,0)))</f>
        <v>0</v>
      </c>
      <c r="BD8" s="75">
        <f>IF($B8=0,0,IF(BD$3=TotalApuestas!BD3,BD$5,0))</f>
        <v>0</v>
      </c>
      <c r="BE8" s="75">
        <f>IF($B8=0,0,IF(BE$3=TotalApuestas!BE3,BE$5,0))</f>
        <v>0</v>
      </c>
      <c r="BF8" s="75">
        <f>IF($B8=0,0,IF(AND(BD$3=TotalApuestas!BD3,Resultado!BE$3=TotalApuestas!BE3),Resultado!BF$5+VLOOKUP(BF$4&amp;"bonus",Aux!$AD$1:$AE$46,2,0),IF(BF$3=TotalApuestas!BF3,BF$5,0)))</f>
        <v>0</v>
      </c>
      <c r="BG8" s="75">
        <f>IF($B8=0,0,IF(BG$3=TotalApuestas!BG3,BG$5,0))</f>
        <v>0</v>
      </c>
      <c r="BH8" s="75">
        <f>IF($B8=0,0,IF(BH$3=TotalApuestas!BH3,BH$5,0))</f>
        <v>0</v>
      </c>
      <c r="BI8" s="75">
        <f>IF($B8=0,0,IF(AND(BG$3=TotalApuestas!BG3,Resultado!BH$3=TotalApuestas!BH3),Resultado!BI$5+VLOOKUP(BI$4&amp;"bonus",Aux!$AD$1:$AE$46,2,0),IF(BI$3=TotalApuestas!BI3,BI$5,0)))</f>
        <v>0</v>
      </c>
      <c r="BJ8" s="75">
        <f>IF($B8=0,0,IF(BJ$3=TotalApuestas!BJ3,BJ$5,0))</f>
        <v>0</v>
      </c>
      <c r="BK8" s="75">
        <f>IF($B8=0,0,IF(BK$3=TotalApuestas!BK3,BK$5,0))</f>
        <v>0</v>
      </c>
      <c r="BL8" s="75">
        <f>IF($B8=0,0,IF(AND(BJ$3=TotalApuestas!BJ3,Resultado!BK$3=TotalApuestas!BK3),Resultado!BL$5+VLOOKUP(BL$4&amp;"bonus",Aux!$AD$1:$AE$46,2,0),IF(BL$3=TotalApuestas!BL3,BL$5,0)))</f>
        <v>0</v>
      </c>
      <c r="BM8" s="75">
        <f>IF($B8=0,0,IF(BM$3=TotalApuestas!BM3,BM$5,0))</f>
        <v>0</v>
      </c>
      <c r="BN8" s="75">
        <f>IF($B8=0,0,IF(BN$3=TotalApuestas!BN3,BN$5,0))</f>
        <v>0</v>
      </c>
      <c r="BO8" s="75">
        <f>IF($B8=0,0,IF(AND(BM$3=TotalApuestas!BM3,Resultado!BN$3=TotalApuestas!BN3),Resultado!BO$5+VLOOKUP(BO$4&amp;"bonus",Aux!$AD$1:$AE$46,2,0),IF(BO$3=TotalApuestas!BO3,BO$5,0)))</f>
        <v>0</v>
      </c>
      <c r="BP8" s="75">
        <f>IF($B8=0,0,IF(BP$3=TotalApuestas!BP3,BP$5,0))</f>
        <v>0</v>
      </c>
      <c r="BQ8" s="75">
        <f>IF($B8=0,0,IF(BQ$3=TotalApuestas!BQ3,BQ$5,0))</f>
        <v>0</v>
      </c>
      <c r="BR8" s="75">
        <f>IF($B8=0,0,IF(AND(BP$3=TotalApuestas!BP3,Resultado!BQ$3=TotalApuestas!BQ3),Resultado!BR$5+VLOOKUP(BR$4&amp;"bonus",Aux!$AD$1:$AE$46,2,0),IF(BR$3=TotalApuestas!BR3,BR$5,0)))</f>
        <v>0</v>
      </c>
      <c r="BS8" s="75">
        <f>IF($B8=0,0,IF(BS$3=TotalApuestas!BS3,BS$5,0))</f>
        <v>0</v>
      </c>
      <c r="BT8" s="75">
        <f>IF($B8=0,0,IF(BT$3=TotalApuestas!BT3,BT$5,0))</f>
        <v>0</v>
      </c>
      <c r="BU8" s="75">
        <f>IF($B8=0,0,IF(AND(BS$3=TotalApuestas!BS3,Resultado!BT$3=TotalApuestas!BT3),Resultado!BU$5+VLOOKUP(BU$4&amp;"bonus",Aux!$AD$1:$AE$46,2,0),IF(BU$3=TotalApuestas!BU3,BU$5,0)))</f>
        <v>0</v>
      </c>
      <c r="BV8" s="75">
        <f>IF($B8=0,0,IF(BV$3=TotalApuestas!BV3,BV$5,0))</f>
        <v>0</v>
      </c>
      <c r="BW8" s="75">
        <f>IF($B8=0,0,IF(BW$3=TotalApuestas!BW3,BW$5,0))</f>
        <v>0</v>
      </c>
      <c r="BX8" s="75">
        <f>IF($B8=0,0,IF(AND(BV$3=TotalApuestas!BV3,Resultado!BW$3=TotalApuestas!BW3),Resultado!BX$5+VLOOKUP(BX$4&amp;"bonus",Aux!$AD$1:$AE$46,2,0),IF(BX$3=TotalApuestas!BX3,BX$5,0)))</f>
        <v>0</v>
      </c>
      <c r="BY8" s="75">
        <f>IF($B8=0,0,IF(BY$3=TotalApuestas!BY3,BY$5,0))</f>
        <v>0</v>
      </c>
      <c r="BZ8" s="75">
        <f>IF($B8=0,0,IF(BZ$3=TotalApuestas!BZ3,BZ$5,0))</f>
        <v>0</v>
      </c>
      <c r="CA8" s="75">
        <f>IF($B8=0,0,IF(AND(BY$3=TotalApuestas!BY3,Resultado!BZ$3=TotalApuestas!BZ3),Resultado!CA$5+VLOOKUP(CA$4&amp;"bonus",Aux!$AD$1:$AE$46,2,0),IF(CA$3=TotalApuestas!CA3,CA$5,0)))</f>
        <v>0</v>
      </c>
      <c r="CB8" s="75">
        <f>IF($B8=0,0,IF(CB$3=TotalApuestas!CB3,CB$5,0))</f>
        <v>0</v>
      </c>
      <c r="CC8" s="75">
        <f>IF($B8=0,0,IF(CC$3=TotalApuestas!CC3,CC$5,0))</f>
        <v>0</v>
      </c>
      <c r="CD8" s="75">
        <f>IF($B8=0,0,IF(AND(CB$3=TotalApuestas!CB3,Resultado!CC$3=TotalApuestas!CC3),Resultado!CD$5+VLOOKUP(CD$4&amp;"bonus",Aux!$AD$1:$AE$46,2,0),IF(CD$3=TotalApuestas!CD3,CD$5,0)))</f>
        <v>0</v>
      </c>
      <c r="CE8" s="75">
        <f>IF($B8=0,0,IF(CE$3=TotalApuestas!CE3,CE$5,0))</f>
        <v>0</v>
      </c>
      <c r="CF8" s="75">
        <f>IF($B8=0,0,IF(CF$3=TotalApuestas!CF3,CF$5,0))</f>
        <v>0</v>
      </c>
      <c r="CG8" s="75">
        <f>IF($B8=0,0,IF(AND(CE$3=TotalApuestas!CE3,Resultado!CF$3=TotalApuestas!CF3),Resultado!CG$5+VLOOKUP(CG$4&amp;"bonus",Aux!$AD$1:$AE$46,2,0),IF(CG$3=TotalApuestas!CG3,CG$5,0)))</f>
        <v>0</v>
      </c>
      <c r="CH8" s="75">
        <f>IF($B8=0,0,IF(CH$3=TotalApuestas!CH3,CH$5,0))</f>
        <v>0</v>
      </c>
      <c r="CI8" s="75">
        <f>IF($B8=0,0,IF(CI$3=TotalApuestas!CI3,CI$5,0))</f>
        <v>0</v>
      </c>
      <c r="CJ8" s="75">
        <f>IF($B8=0,0,IF(AND(CH$3=TotalApuestas!CH3,Resultado!CI$3=TotalApuestas!CI3),Resultado!CJ$5+VLOOKUP(CJ$4&amp;"bonus",Aux!$AD$1:$AE$46,2,0),IF(CJ$3=TotalApuestas!CJ3,CJ$5,0)))</f>
        <v>0</v>
      </c>
      <c r="CK8" s="75">
        <f>IF($B8=0,0,IF(CK$3=TotalApuestas!CK3,CK$5,0))</f>
        <v>0</v>
      </c>
      <c r="CL8" s="75">
        <f>IF($B8=0,0,IF(CL$3=TotalApuestas!CL3,CL$5,0))</f>
        <v>0</v>
      </c>
      <c r="CM8" s="75">
        <f>IF($B8=0,0,IF(AND(CK$3=TotalApuestas!CK3,Resultado!CL$3=TotalApuestas!CL3),Resultado!CM$5+VLOOKUP(CM$4&amp;"bonus",Aux!$AD$1:$AE$46,2,0),IF(CM$3=TotalApuestas!CM3,CM$5,0)))</f>
        <v>0</v>
      </c>
      <c r="CN8" s="75">
        <f>IF($B8=0,0,IF(CN$3=TotalApuestas!CN3,CN$5,0))</f>
        <v>0</v>
      </c>
      <c r="CO8" s="75">
        <f>IF($B8=0,0,IF(CO$3=TotalApuestas!CO3,CO$5,0))</f>
        <v>0</v>
      </c>
      <c r="CP8" s="75">
        <f>IF($B8=0,0,IF(AND(CN$3=TotalApuestas!CN3,Resultado!CO$3=TotalApuestas!CO3),Resultado!CP$5+VLOOKUP(CP$4&amp;"bonus",Aux!$AD$1:$AE$46,2,0),IF(CP$3=TotalApuestas!CP3,CP$5,0)))</f>
        <v>0</v>
      </c>
      <c r="CQ8" s="75">
        <f>IF($B8=0,0,IF(CQ$3=TotalApuestas!CQ3,CQ$5,0))</f>
        <v>0</v>
      </c>
      <c r="CR8" s="75">
        <f>IF($B8=0,0,IF(CR$3=TotalApuestas!CR3,CR$5,0))</f>
        <v>0</v>
      </c>
      <c r="CS8" s="75">
        <f>IF($B8=0,0,IF(AND(CQ$3=TotalApuestas!CQ3,Resultado!CR$3=TotalApuestas!CR3),Resultado!CS$5+VLOOKUP(CS$4&amp;"bonus",Aux!$AD$1:$AE$46,2,0),IF(CS$3=TotalApuestas!CS3,CS$5,0)))</f>
        <v>0</v>
      </c>
      <c r="CT8" s="75">
        <f>IF($B8=0,0,IF(CT$3=TotalApuestas!CT3,CT$5,0))</f>
        <v>0</v>
      </c>
      <c r="CU8" s="75">
        <f>IF($B8=0,0,IF(CU$3=TotalApuestas!CU3,CU$5,0))</f>
        <v>0</v>
      </c>
      <c r="CV8" s="75">
        <f>IF($B8=0,0,IF(AND(CT$3=TotalApuestas!CT3,Resultado!CU$3=TotalApuestas!CU3),Resultado!CV$5+VLOOKUP(CV$4&amp;"bonus",Aux!$AD$1:$AE$46,2,0),IF(CV$3=TotalApuestas!CV3,CV$5,0)))</f>
        <v>0</v>
      </c>
      <c r="CW8" s="75">
        <f>IF($B8=0,0,IF(CW$3=TotalApuestas!CW3,CW$5,0))</f>
        <v>0</v>
      </c>
      <c r="CX8" s="75">
        <f>IF($B8=0,0,IF(CX$3=TotalApuestas!CX3,CX$5,0))</f>
        <v>0</v>
      </c>
      <c r="CY8" s="75">
        <f>IF($B8=0,0,IF(AND(CW$3=TotalApuestas!CW3,Resultado!CX$3=TotalApuestas!CX3),Resultado!CY$5+VLOOKUP(CY$4&amp;"bonus",Aux!$AD$1:$AE$46,2,0),IF(CY$3=TotalApuestas!CY3,CY$5,0)))</f>
        <v>0</v>
      </c>
      <c r="CZ8" s="75">
        <f>IF($B8=0,0,IF(CZ$3=TotalApuestas!CZ3,CZ$5,0))</f>
        <v>0</v>
      </c>
      <c r="DA8" s="75">
        <f>IF($B8=0,0,IF(DA$3=TotalApuestas!DA3,DA$5,0))</f>
        <v>0</v>
      </c>
      <c r="DB8" s="75">
        <f>IF($B8=0,0,IF(AND(CZ$3=TotalApuestas!CZ3,Resultado!DA$3=TotalApuestas!DA3),Resultado!DB$5+VLOOKUP(DB$4&amp;"bonus",Aux!$AD$1:$AE$46,2,0),IF(DB$3=TotalApuestas!DB3,DB$5,0)))</f>
        <v>0</v>
      </c>
      <c r="DC8" s="75">
        <f>IF($B8=0,0,IF(DC$3=TotalApuestas!DC3,DC$5,0))</f>
        <v>0</v>
      </c>
      <c r="DD8" s="75">
        <f>IF($B8=0,0,IF(DD$3=TotalApuestas!DD3,DD$5,0))</f>
        <v>0</v>
      </c>
      <c r="DE8" s="75">
        <f>IF($B8=0,0,IF(AND(DC$3=TotalApuestas!DC3,Resultado!DD$3=TotalApuestas!DD3),Resultado!DE$5+VLOOKUP(DE$4&amp;"bonus",Aux!$AD$1:$AE$46,2,0),IF(DE$3=TotalApuestas!DE3,DE$5,0)))</f>
        <v>0</v>
      </c>
      <c r="DF8" s="75">
        <f>IF($B8=0,0,IF(DF$3=TotalApuestas!DF3,DF$5,0))</f>
        <v>0</v>
      </c>
      <c r="DG8" s="75">
        <f>IF($B8=0,0,IF(DG$3=TotalApuestas!DG3,DG$5,0))</f>
        <v>0</v>
      </c>
      <c r="DH8" s="75">
        <f>IF($B8=0,0,IF(AND(DF$3=TotalApuestas!DF3,Resultado!DG$3=TotalApuestas!DG3),Resultado!DH$5+VLOOKUP(DH$4&amp;"bonus",Aux!$AD$1:$AE$46,2,0),IF(DH$3=TotalApuestas!DH3,DH$5,0)))</f>
        <v>0</v>
      </c>
      <c r="DI8" s="75">
        <f>IF($B8=0,0,IF(DI$3=TotalApuestas!DI3,DI$5,0))</f>
        <v>0</v>
      </c>
      <c r="DJ8" s="75">
        <f>IF($B8=0,0,IF(DJ$3=TotalApuestas!DJ3,DJ$5,0))</f>
        <v>0</v>
      </c>
      <c r="DK8" s="75">
        <f>IF($B8=0,0,IF(AND(DI$3=TotalApuestas!DI3,Resultado!DJ$3=TotalApuestas!DJ3),Resultado!DK$5+VLOOKUP(DK$4&amp;"bonus",Aux!$AD$1:$AE$46,2,0),IF(DK$3=TotalApuestas!DK3,DK$5,0)))</f>
        <v>0</v>
      </c>
      <c r="DL8" s="75">
        <f>IF($B8=0,0,IF(DL$3=TotalApuestas!DL3,DL$5,0))</f>
        <v>0</v>
      </c>
      <c r="DM8" s="75">
        <f>IF($B8=0,0,IF(DM$3=TotalApuestas!DM3,DM$5,0))</f>
        <v>0</v>
      </c>
      <c r="DN8" s="75">
        <f>IF($B8=0,0,IF(AND(DL$3=TotalApuestas!DL3,Resultado!DM$3=TotalApuestas!DM3),Resultado!DN$5+VLOOKUP(DN$4&amp;"bonus",Aux!$AD$1:$AE$46,2,0),IF(DN$3=TotalApuestas!DN3,DN$5,0)))</f>
        <v>0</v>
      </c>
      <c r="DO8" s="75">
        <f>IF($B8=0,0,IF(DO$3=TotalApuestas!DO3,DO$5,0))</f>
        <v>0</v>
      </c>
      <c r="DP8" s="75">
        <f>IF($B8=0,0,IF(DP$3=TotalApuestas!DP3,DP$5,0))</f>
        <v>0</v>
      </c>
      <c r="DQ8" s="75">
        <f>IF($B8=0,0,IF(AND(DO$3=TotalApuestas!DO3,Resultado!DP$3=TotalApuestas!DP3),Resultado!DQ$5+VLOOKUP(DQ$4&amp;"bonus",Aux!$AD$1:$AE$46,2,0),IF(DQ$3=TotalApuestas!DQ3,DQ$5,0)))</f>
        <v>0</v>
      </c>
      <c r="DR8" s="75">
        <f>IF($B8=0,0,IF(DR$3=TotalApuestas!DR3,DR$5,0))</f>
        <v>0</v>
      </c>
      <c r="DS8" s="75">
        <f>IF($B8=0,0,IF(DS$3=TotalApuestas!DS3,DS$5,0))</f>
        <v>0</v>
      </c>
      <c r="DT8" s="75">
        <f>IF($B8=0,0,IF(AND(DR$3=TotalApuestas!DR3,Resultado!DS$3=TotalApuestas!DS3),Resultado!DT$5+VLOOKUP(DT$4&amp;"bonus",Aux!$AD$1:$AE$46,2,0),IF(DT$3=TotalApuestas!DT3,DT$5,0)))</f>
        <v>0</v>
      </c>
      <c r="DU8" s="75">
        <f>IF($B8=0,0,IF(DU$3=TotalApuestas!DU3,DU$5,0))</f>
        <v>0</v>
      </c>
      <c r="DV8" s="75">
        <f>IF($B8=0,0,IF(DV$3=TotalApuestas!DV3,DV$5,0))</f>
        <v>0</v>
      </c>
      <c r="DW8" s="75">
        <f>IF($B8=0,0,IF(AND(DU$3=TotalApuestas!DU3,Resultado!DV$3=TotalApuestas!DV3),Resultado!DW$5+VLOOKUP(DW$4&amp;"bonus",Aux!$AD$1:$AE$46,2,0),IF(DW$3=TotalApuestas!DW3,DW$5,0)))</f>
        <v>0</v>
      </c>
      <c r="DX8" s="75">
        <f>IF($B8=0,0,IF(DX$3=TotalApuestas!DX3,DX$5,0))</f>
        <v>0</v>
      </c>
      <c r="DY8" s="75">
        <f>IF($B8=0,0,IF(DY$3=TotalApuestas!DY3,DY$5,0))</f>
        <v>0</v>
      </c>
      <c r="DZ8" s="75">
        <f>IF($B8=0,0,IF(AND(DX$3=TotalApuestas!DX3,Resultado!DY$3=TotalApuestas!DY3),Resultado!DZ$5+VLOOKUP(DZ$4&amp;"bonus",Aux!$AD$1:$AE$46,2,0),IF(DZ$3=TotalApuestas!DZ3,DZ$5,0)))</f>
        <v>0</v>
      </c>
      <c r="EA8" s="75">
        <f>IF($B8=0,0,IF(EA$3=TotalApuestas!EA3,EA$5,0))</f>
        <v>0</v>
      </c>
      <c r="EB8" s="75">
        <f>IF($B8=0,0,IF(EB$3=TotalApuestas!EB3,EB$5,0))</f>
        <v>0</v>
      </c>
      <c r="EC8" s="75">
        <f>IF($B8=0,0,IF(AND(EA$3=TotalApuestas!EA3,Resultado!EB$3=TotalApuestas!EB3),Resultado!EC$5+VLOOKUP(EC$4&amp;"bonus",Aux!$AD$1:$AE$46,2,0),IF(EC$3=TotalApuestas!EC3,EC$5,0)))</f>
        <v>0</v>
      </c>
      <c r="ED8" s="75">
        <f>IF($B8=0,0,IF(ED$3=TotalApuestas!ED3,ED$5,0))</f>
        <v>0</v>
      </c>
      <c r="EE8" s="75">
        <f>IF($B8=0,0,IF(EE$3=TotalApuestas!EE3,EE$5,0))</f>
        <v>0</v>
      </c>
      <c r="EF8" s="75">
        <f>IF($B8=0,0,IF(AND(ED$3=TotalApuestas!ED3,Resultado!EE$3=TotalApuestas!EE3),Resultado!EF$5+VLOOKUP(EF$4&amp;"bonus",Aux!$AD$1:$AE$46,2,0),IF(EF$3=TotalApuestas!EF3,EF$5,0)))</f>
        <v>0</v>
      </c>
      <c r="EG8" s="75">
        <f>IF($B8=0,0,IF(EG$3=TotalApuestas!EG3,EG$5,0))</f>
        <v>0</v>
      </c>
      <c r="EH8" s="75">
        <f>IF($B8=0,0,IF(EH$3=TotalApuestas!EH3,EH$5,0))</f>
        <v>0</v>
      </c>
      <c r="EI8" s="75">
        <f>IF($B8=0,0,IF(AND(EG$3=TotalApuestas!EG3,Resultado!EH$3=TotalApuestas!EH3),Resultado!EI$5+VLOOKUP(EI$4&amp;"bonus",Aux!$AD$1:$AE$46,2,0),IF(EI$3=TotalApuestas!EI3,EI$5,0)))</f>
        <v>0</v>
      </c>
      <c r="EJ8" s="75">
        <f>IF($B8=0,0,IF(EJ$3=TotalApuestas!EJ3,EJ$5,0))</f>
        <v>0</v>
      </c>
      <c r="EK8" s="75">
        <f>IF($B8=0,0,IF(EK$3=TotalApuestas!EK3,EK$5,0))</f>
        <v>0</v>
      </c>
      <c r="EL8" s="75">
        <f>IF($B8=0,0,IF(AND(EJ$3=TotalApuestas!EJ3,Resultado!EK$3=TotalApuestas!EK3),Resultado!EL$5+VLOOKUP(EL$4&amp;"bonus",Aux!$AD$1:$AE$46,2,0),IF(EL$3=TotalApuestas!EL3,EL$5,0)))</f>
        <v>0</v>
      </c>
      <c r="EM8" s="75">
        <f>IF($B8=0,0,IF(EM$3=TotalApuestas!EM3,EM$5,0))</f>
        <v>0</v>
      </c>
      <c r="EN8" s="75">
        <f>IF($B8=0,0,IF(EN$3=TotalApuestas!EN3,EN$5,0))</f>
        <v>0</v>
      </c>
      <c r="EO8" s="75">
        <f>IF($B8=0,0,IF(AND(EM$3=TotalApuestas!EM3,Resultado!EN$3=TotalApuestas!EN3),Resultado!EO$5+VLOOKUP(EO$4&amp;"bonus",Aux!$AD$1:$AE$46,2,0),IF(EO$3=TotalApuestas!EO3,EO$5,0)))</f>
        <v>0</v>
      </c>
      <c r="EP8" s="75">
        <f>IF($B8=0,0,IF(EP$3=TotalApuestas!EP3,EP$5,0))</f>
        <v>0</v>
      </c>
      <c r="EQ8" s="75">
        <f>IF($B8=0,0,IF(EQ$3=TotalApuestas!EQ3,EQ$5,0))</f>
        <v>0</v>
      </c>
      <c r="ER8" s="75">
        <f>IF($B8=0,0,IF(AND(EP$3=TotalApuestas!EP3,Resultado!EQ$3=TotalApuestas!EQ3),Resultado!ER$5+VLOOKUP(ER$4&amp;"bonus",Aux!$AD$1:$AE$46,2,0),IF(ER$3=TotalApuestas!ER3,ER$5,0)))</f>
        <v>0</v>
      </c>
      <c r="ES8" s="75">
        <f>IF($B8=0,0,IF(ES$3=TotalApuestas!ES3,ES$5,0))</f>
        <v>0</v>
      </c>
      <c r="ET8" s="75">
        <f>IF($B8=0,0,IF(ET$3=TotalApuestas!ET3,ET$5,0))</f>
        <v>0</v>
      </c>
      <c r="EU8" s="75">
        <f>IF($B8=0,0,IF(EU$3=TotalApuestas!EU3,EU$5,0))</f>
        <v>0</v>
      </c>
      <c r="EV8" s="75">
        <f>IF($B8=0,0,IF(EV$3=TotalApuestas!EV3,EV$5,0))</f>
        <v>0</v>
      </c>
      <c r="EW8" s="75">
        <f>IF($B8=0,0,IF(EW$3=TotalApuestas!EW3,EW$5,0))</f>
        <v>0</v>
      </c>
      <c r="EX8" s="75">
        <f>IF($B8=0,0,IF(EX$3=TotalApuestas!EX3,EX$5,0))</f>
        <v>0</v>
      </c>
      <c r="EY8" s="75">
        <f>IF($B8=0,0,IF(EY$3=TotalApuestas!EY3,EY$5,0))</f>
        <v>0</v>
      </c>
      <c r="EZ8" s="75">
        <f>IF($B8=0,0,IF(EZ$3=TotalApuestas!EZ3,EZ$5,0))</f>
        <v>0</v>
      </c>
      <c r="FA8" s="75">
        <f>IF($B8=0,0,IF(FA$3=TotalApuestas!FA3,FA$5,0))</f>
        <v>0</v>
      </c>
      <c r="FB8" s="75">
        <f>IF($B8=0,0,IF(FB$3=TotalApuestas!FB3,FB$5,0))</f>
        <v>0</v>
      </c>
      <c r="FC8" s="75">
        <f>IF($B8=0,0,IF(FC$3=TotalApuestas!FC3,FC$5,0))</f>
        <v>0</v>
      </c>
      <c r="FD8" s="75">
        <f>IF($B8=0,0,IF(FD$3=TotalApuestas!FD3,FD$5,0))</f>
        <v>0</v>
      </c>
      <c r="FE8" s="75">
        <f>IF($B8=0,0,IF(FE$3=TotalApuestas!FE3,FE$5,0))</f>
        <v>0</v>
      </c>
      <c r="FF8" s="75">
        <f>IF($B8=0,0,IF(FF$3=TotalApuestas!FF3,FF$5,0))</f>
        <v>0</v>
      </c>
      <c r="FG8" s="75">
        <f>IF($B8=0,0,IF(FG$3=TotalApuestas!FG3,FG$5,0))</f>
        <v>0</v>
      </c>
      <c r="FH8" s="75">
        <f>IF($B8=0,0,IF(FH$3=TotalApuestas!FH3,FH$5,0))</f>
        <v>0</v>
      </c>
      <c r="FI8" s="75">
        <f>IF($B8=0,0,IF(FI$3=TotalApuestas!FI3,FI$5,0))</f>
        <v>0</v>
      </c>
      <c r="FJ8" s="75">
        <f>IF($B8=0,0,IF(FJ$3=TotalApuestas!FJ3,FJ$5,0))</f>
        <v>0</v>
      </c>
      <c r="FK8" s="75">
        <f>IF($B8=0,0,IF(FK$3=TotalApuestas!FK3,FK$5,0))</f>
        <v>0</v>
      </c>
      <c r="FL8" s="75">
        <f>IF($B8=0,0,IF(FL$3=TotalApuestas!FL3,FL$5,0))</f>
        <v>0</v>
      </c>
      <c r="FM8" s="75">
        <f>IF($B8=0,0,IF(FM$3=TotalApuestas!FM3,FM$5,0))</f>
        <v>0</v>
      </c>
      <c r="FN8" s="75">
        <f>IF($B8=0,0,IF(FN$3=TotalApuestas!FN3,FN$5,0))</f>
        <v>0</v>
      </c>
      <c r="FO8" s="75">
        <f>IF($B8=0,0,IF(FO$3=TotalApuestas!FO3,FO$5,0))</f>
        <v>0</v>
      </c>
      <c r="FP8" s="75">
        <f>IF($B8=0,0,IF(FP$3=TotalApuestas!FP3,FP$5,0))</f>
        <v>0</v>
      </c>
      <c r="FQ8" s="75">
        <f>IF($B8=0,0,IF(FQ$3=TotalApuestas!FQ3,FQ$5,0))</f>
        <v>0</v>
      </c>
      <c r="FR8" s="75">
        <f>IF($B8=0,0,IF(FR$3=TotalApuestas!FR3,FR$5,0))</f>
        <v>0</v>
      </c>
      <c r="FS8" s="75">
        <f>IF($B8=0,0,IF(FS$3=TotalApuestas!FS3,FS$5,0))</f>
        <v>0</v>
      </c>
      <c r="FT8" s="75">
        <f>IF($B8=0,0,IF(FT$3=TotalApuestas!FT3,FT$5,0))</f>
        <v>0</v>
      </c>
      <c r="FU8" s="75">
        <f>IF($B8=0,0,IF(FU$3=TotalApuestas!FU3,FU$5,0))</f>
        <v>0</v>
      </c>
      <c r="FV8" s="75">
        <f>IF($B8=0,0,IF(FV$3=TotalApuestas!FV3,FV$5,0))</f>
        <v>0</v>
      </c>
      <c r="FW8" s="75">
        <f>IF($B8=0,0,IF(FW$3=TotalApuestas!FW3,FW$5,0))</f>
        <v>0</v>
      </c>
      <c r="FX8" s="75">
        <f>IF($B8=0,0,IF(FX$3=TotalApuestas!FX3,FX$5,0))</f>
        <v>0</v>
      </c>
      <c r="FY8" s="75">
        <f>IF($B8=0,0,IF(FY$3=TotalApuestas!FY3,FY$5,0))</f>
        <v>0</v>
      </c>
      <c r="FZ8" s="75">
        <f>IF($B8=0,0,IF(AND(FX$3=TotalApuestas!FX3,Resultado!FY$3=TotalApuestas!FY3),Resultado!FZ$5+VLOOKUP(FZ$4&amp;"bonus",Aux!$AD$1:$AE$46,2,0),IF(FZ$3=TotalApuestas!FZ3,FZ$5,0)))</f>
        <v>0</v>
      </c>
      <c r="GA8" s="75">
        <f>IF($B8=0,0,IF(GA$3=TotalApuestas!GA3,GA$5,0))</f>
        <v>0</v>
      </c>
      <c r="GB8" s="75">
        <f>IF($B8=0,0,IF(GB$3=TotalApuestas!GB3,GB$5,0))</f>
        <v>0</v>
      </c>
      <c r="GC8" s="75">
        <f>IF($B8=0,0,IF(AND(GA$3=TotalApuestas!GA3,Resultado!GB$3=TotalApuestas!GB3),Resultado!GC$5+VLOOKUP(GC$4&amp;"bonus",Aux!$AD$1:$AE$46,2,0),IF(GC$3=TotalApuestas!GC3,GC$5,0)))</f>
        <v>0</v>
      </c>
      <c r="GD8" s="75">
        <f>IF($B8=0,0,IF(GD$3=TotalApuestas!GD3,GD$5,0))</f>
        <v>0</v>
      </c>
      <c r="GE8" s="75">
        <f>IF($B8=0,0,IF(GE$3=TotalApuestas!GE3,GE$5,0))</f>
        <v>0</v>
      </c>
      <c r="GF8" s="75">
        <f>IF($B8=0,0,IF(AND(GD$3=TotalApuestas!GD3,Resultado!GE$3=TotalApuestas!GE3),Resultado!GF$5+VLOOKUP(GF$4&amp;"bonus",Aux!$AD$1:$AE$46,2,0),IF(GF$3=TotalApuestas!GF3,GF$5,0)))</f>
        <v>0</v>
      </c>
      <c r="GG8" s="75">
        <f>IF($B8=0,0,IF(GG$3=TotalApuestas!GG3,GG$5,0))</f>
        <v>0</v>
      </c>
      <c r="GH8" s="75">
        <f>IF($B8=0,0,IF(GH$3=TotalApuestas!GH3,GH$5,0))</f>
        <v>0</v>
      </c>
      <c r="GI8" s="75">
        <f>IF($B8=0,0,IF(AND(GG$3=TotalApuestas!GG3,Resultado!GH$3=TotalApuestas!GH3),Resultado!GI$5+VLOOKUP(GI$4&amp;"bonus",Aux!$AD$1:$AE$46,2,0),IF(GI$3=TotalApuestas!GI3,GI$5,0)))</f>
        <v>0</v>
      </c>
      <c r="GJ8" s="75">
        <f>IF($B8=0,0,IF(GJ$3=TotalApuestas!GJ3,GJ$5,0))</f>
        <v>0</v>
      </c>
      <c r="GK8" s="75">
        <f>IF($B8=0,0,IF(GK$3=TotalApuestas!GK3,GK$5,0))</f>
        <v>0</v>
      </c>
      <c r="GL8" s="75">
        <f>IF($B8=0,0,IF(AND(GJ$3=TotalApuestas!GJ3,Resultado!GK$3=TotalApuestas!GK3),Resultado!GL$5+VLOOKUP(GL$4&amp;"bonus",Aux!$AD$1:$AE$46,2,0),IF(GL$3=TotalApuestas!GL3,GL$5,0)))</f>
        <v>0</v>
      </c>
      <c r="GM8" s="75">
        <f>IF($B8=0,0,IF(GM$3=TotalApuestas!GM3,GM$5,0))</f>
        <v>0</v>
      </c>
      <c r="GN8" s="75">
        <f>IF($B8=0,0,IF(GN$3=TotalApuestas!GN3,GN$5,0))</f>
        <v>0</v>
      </c>
      <c r="GO8" s="75">
        <f>IF($B8=0,0,IF(AND(GM$3=TotalApuestas!GM3,Resultado!GN$3=TotalApuestas!GN3),Resultado!GO$5+VLOOKUP(GO$4&amp;"bonus",Aux!$AD$1:$AE$46,2,0),IF(GO$3=TotalApuestas!GO3,GO$5,0)))</f>
        <v>0</v>
      </c>
      <c r="GP8" s="75">
        <f>IF($B8=0,0,IF(GP$3=TotalApuestas!GP3,GP$5,0))</f>
        <v>0</v>
      </c>
      <c r="GQ8" s="75">
        <f>IF($B8=0,0,IF(GQ$3=TotalApuestas!GQ3,GQ$5,0))</f>
        <v>0</v>
      </c>
      <c r="GR8" s="75">
        <f>IF($B8=0,0,IF(AND(GP$3=TotalApuestas!GP3,Resultado!GQ$3=TotalApuestas!GQ3),Resultado!GR$5+VLOOKUP(GR$4&amp;"bonus",Aux!$AD$1:$AE$46,2,0),IF(GR$3=TotalApuestas!GR3,GR$5,0)))</f>
        <v>0</v>
      </c>
      <c r="GS8" s="75">
        <f>IF($B8=0,0,IF(GS$3=TotalApuestas!GS3,GS$5,0))</f>
        <v>0</v>
      </c>
      <c r="GT8" s="75">
        <f>IF($B8=0,0,IF(GT$3=TotalApuestas!GT3,GT$5,0))</f>
        <v>0</v>
      </c>
      <c r="GU8" s="75">
        <f>IF($B8=0,0,IF(AND(GS$3=TotalApuestas!GS3,Resultado!GT$3=TotalApuestas!GT3),Resultado!GU$5+VLOOKUP(GU$4&amp;"bonus",Aux!$AD$1:$AE$46,2,0),IF(GU$3=TotalApuestas!GU3,GU$5,0)))</f>
        <v>0</v>
      </c>
      <c r="GV8" s="75">
        <f>IF($B8=0,0,IF(GV$3=TotalApuestas!GV3,GV$5,0))</f>
        <v>0</v>
      </c>
      <c r="GW8" s="75">
        <f>IF($B8=0,0,IF(GW$3=TotalApuestas!GW3,GW$5,0))</f>
        <v>0</v>
      </c>
      <c r="GX8" s="75">
        <f>IF($B8=0,0,IF(AND(GV$3=TotalApuestas!GV3,Resultado!GW$3=TotalApuestas!GW3),Resultado!GX$5+VLOOKUP(GX$4&amp;"bonus",Aux!$AD$1:$AE$46,2,0),IF(GX$3=TotalApuestas!GX3,GX$5,0)))</f>
        <v>0</v>
      </c>
      <c r="GY8" s="75">
        <f>IF($B8=0,0,IF(GY$3=TotalApuestas!GY3,GY$5,0))</f>
        <v>0</v>
      </c>
      <c r="GZ8" s="75">
        <f>IF($B8=0,0,IF(GZ$3=TotalApuestas!GZ3,GZ$5,0))</f>
        <v>0</v>
      </c>
      <c r="HA8" s="75">
        <f>IF($B8=0,0,IF(AND(GY$3=TotalApuestas!GY3,Resultado!GZ$3=TotalApuestas!GZ3),Resultado!HA$5+VLOOKUP(HA$4&amp;"bonus",Aux!$AD$1:$AE$46,2,0),IF(HA$3=TotalApuestas!HA3,HA$5,0)))</f>
        <v>0</v>
      </c>
      <c r="HB8" s="75">
        <f>IF($B8=0,0,IF(HB$3=TotalApuestas!HB3,HB$5,0))</f>
        <v>0</v>
      </c>
      <c r="HC8" s="75">
        <f>IF($B8=0,0,IF(HC$3=TotalApuestas!HC3,HC$5,0))</f>
        <v>0</v>
      </c>
      <c r="HD8" s="75">
        <f>IF($B8=0,0,IF(AND(HB$3=TotalApuestas!HB3,Resultado!HC$3=TotalApuestas!HC3),Resultado!HD$5+VLOOKUP(HD$4&amp;"bonus",Aux!$AD$1:$AE$46,2,0),IF(HD$3=TotalApuestas!HD3,HD$5,0)))</f>
        <v>0</v>
      </c>
      <c r="HE8" s="75">
        <f>IF($B8=0,0,IF(HE$3=TotalApuestas!HE3,HE$5,0))</f>
        <v>0</v>
      </c>
      <c r="HF8" s="75">
        <f>IF($B8=0,0,IF(HF$3=TotalApuestas!HF3,HF$5,0))</f>
        <v>0</v>
      </c>
      <c r="HG8" s="75">
        <f>IF($B8=0,0,IF(AND(HE$3=TotalApuestas!HE3,Resultado!HF$3=TotalApuestas!HF3),Resultado!HG$5+VLOOKUP(HG$4&amp;"bonus",Aux!$AD$1:$AE$46,2,0),IF(HG$3=TotalApuestas!HG3,HG$5,0)))</f>
        <v>0</v>
      </c>
      <c r="HH8" s="75">
        <f>IF($B8=0,0,IF(HH$3=TotalApuestas!HH3,HH$5,0))</f>
        <v>0</v>
      </c>
      <c r="HI8" s="75">
        <f>IF($B8=0,0,IF(HI$3=TotalApuestas!HI3,HI$5,0))</f>
        <v>0</v>
      </c>
      <c r="HJ8" s="75">
        <f>IF($B8=0,0,IF(AND(HH$3=TotalApuestas!HH3,Resultado!HI$3=TotalApuestas!HI3),Resultado!HJ$5+VLOOKUP(HJ$4&amp;"bonus",Aux!$AD$1:$AE$46,2,0),IF(HJ$3=TotalApuestas!HJ3,HJ$5,0)))</f>
        <v>0</v>
      </c>
      <c r="HK8" s="75">
        <f>IF($B8=0,0,IF(HK$3=TotalApuestas!HK3,HK$5,0))</f>
        <v>0</v>
      </c>
      <c r="HL8" s="75">
        <f>IF($B8=0,0,IF(HL$3=TotalApuestas!HL3,HL$5,0))</f>
        <v>0</v>
      </c>
      <c r="HM8" s="75">
        <f>IF($B8=0,0,IF(AND(HK$3=TotalApuestas!HK3,Resultado!HL$3=TotalApuestas!HL3),Resultado!HM$5+VLOOKUP(HM$4&amp;"bonus",Aux!$AD$1:$AE$46,2,0),IF(HM$3=TotalApuestas!HM3,HM$5,0)))</f>
        <v>0</v>
      </c>
      <c r="HN8" s="75">
        <f>IF($B8=0,0,IF(HN$3=TotalApuestas!HN3,HN$5,0))</f>
        <v>0</v>
      </c>
      <c r="HO8" s="75">
        <f>IF($B8=0,0,IF(HO$3=TotalApuestas!HO3,HO$5,0))</f>
        <v>0</v>
      </c>
      <c r="HP8" s="75">
        <f>IF($B8=0,0,IF(AND(HN$3=TotalApuestas!HN3,Resultado!HO$3=TotalApuestas!HO3),Resultado!HP$5+VLOOKUP(HP$4&amp;"bonus",Aux!$AD$1:$AE$46,2,0),IF(HP$3=TotalApuestas!HP3,HP$5,0)))</f>
        <v>0</v>
      </c>
    </row>
    <row r="9" spans="2:224" x14ac:dyDescent="0.25">
      <c r="B9">
        <f>+TotalApuestas!B4</f>
        <v>0</v>
      </c>
      <c r="E9" s="75">
        <f>IF($B9=0,0,IF(E$3=TotalApuestas!E4,E$5,0))</f>
        <v>0</v>
      </c>
      <c r="F9" s="75">
        <f>IF($B9=0,0,IF(F$3=TotalApuestas!F4,F$5,0))</f>
        <v>0</v>
      </c>
      <c r="G9" s="75">
        <f>IF($B9=0,0,IF(AND(E$3=TotalApuestas!E4,Resultado!F$3=TotalApuestas!F4),Resultado!G$5+VLOOKUP(G$4&amp;"bonus",Aux!$AD$1:$AE$46,2,0),IF(G$3=TotalApuestas!G4,G$5,0)))</f>
        <v>0</v>
      </c>
      <c r="H9" s="75">
        <f>IF($B9=0,0,IF(H$3=TotalApuestas!H4,H$5,0))</f>
        <v>0</v>
      </c>
      <c r="I9" s="75">
        <f>IF($B9=0,0,IF(I$3=TotalApuestas!I4,I$5,0))</f>
        <v>0</v>
      </c>
      <c r="J9" s="75">
        <f>IF($B9=0,0,IF(AND(H$3=TotalApuestas!H4,Resultado!I$3=TotalApuestas!I4),Resultado!J$5+VLOOKUP(J$4&amp;"bonus",Aux!$AD$1:$AE$46,2,0),IF(J$3=TotalApuestas!J4,J$5,0)))</f>
        <v>0</v>
      </c>
      <c r="K9" s="75">
        <f>IF($B9=0,0,IF(K$3=TotalApuestas!K4,K$5,0))</f>
        <v>0</v>
      </c>
      <c r="L9" s="75">
        <f>IF($B9=0,0,IF(L$3=TotalApuestas!L4,L$5,0))</f>
        <v>0</v>
      </c>
      <c r="M9" s="75">
        <f>IF($B9=0,0,IF(AND(K$3=TotalApuestas!K4,Resultado!L$3=TotalApuestas!L4),Resultado!M$5+VLOOKUP(M$4&amp;"bonus",Aux!$AD$1:$AE$46,2,0),IF(M$3=TotalApuestas!M4,M$5,0)))</f>
        <v>0</v>
      </c>
      <c r="N9" s="75">
        <f>IF($B9=0,0,IF(N$3=TotalApuestas!N4,N$5,0))</f>
        <v>0</v>
      </c>
      <c r="O9" s="75">
        <f>IF($B9=0,0,IF(O$3=TotalApuestas!O4,O$5,0))</f>
        <v>0</v>
      </c>
      <c r="P9" s="75">
        <f>IF($B9=0,0,IF(AND(N$3=TotalApuestas!N4,Resultado!O$3=TotalApuestas!O4),Resultado!P$5+VLOOKUP(P$4&amp;"bonus",Aux!$AD$1:$AE$46,2,0),IF(P$3=TotalApuestas!P4,P$5,0)))</f>
        <v>0</v>
      </c>
      <c r="Q9" s="75">
        <f>IF($B9=0,0,IF(Q$3=TotalApuestas!Q4,Q$5,0))</f>
        <v>0</v>
      </c>
      <c r="R9" s="75">
        <f>IF($B9=0,0,IF(R$3=TotalApuestas!R4,R$5,0))</f>
        <v>0</v>
      </c>
      <c r="S9" s="75">
        <f>IF($B9=0,0,IF(AND(Q$3=TotalApuestas!Q4,Resultado!R$3=TotalApuestas!R4),Resultado!S$5+VLOOKUP(S$4&amp;"bonus",Aux!$AD$1:$AE$46,2,0),IF(S$3=TotalApuestas!S4,S$5,0)))</f>
        <v>0</v>
      </c>
      <c r="T9" s="75">
        <f>IF($B9=0,0,IF(T$3=TotalApuestas!T4,T$5,0))</f>
        <v>0</v>
      </c>
      <c r="U9" s="75">
        <f>IF($B9=0,0,IF(U$3=TotalApuestas!U4,U$5,0))</f>
        <v>0</v>
      </c>
      <c r="V9" s="75">
        <f>IF($B9=0,0,IF(AND(T$3=TotalApuestas!T4,Resultado!U$3=TotalApuestas!U4),Resultado!V$5+VLOOKUP(V$4&amp;"bonus",Aux!$AD$1:$AE$46,2,0),IF(V$3=TotalApuestas!V4,V$5,0)))</f>
        <v>0</v>
      </c>
      <c r="W9" s="75">
        <f>IF($B9=0,0,IF(W$3=TotalApuestas!W4,W$5,0))</f>
        <v>0</v>
      </c>
      <c r="X9" s="75">
        <f>IF($B9=0,0,IF(X$3=TotalApuestas!X4,X$5,0))</f>
        <v>0</v>
      </c>
      <c r="Y9" s="75">
        <f>IF($B9=0,0,IF(AND(W$3=TotalApuestas!W4,Resultado!X$3=TotalApuestas!X4),Resultado!Y$5+VLOOKUP(Y$4&amp;"bonus",Aux!$AD$1:$AE$46,2,0),IF(Y$3=TotalApuestas!Y4,Y$5,0)))</f>
        <v>0</v>
      </c>
      <c r="Z9" s="75">
        <f>IF($B9=0,0,IF(Z$3=TotalApuestas!Z4,Z$5,0))</f>
        <v>0</v>
      </c>
      <c r="AA9" s="75">
        <f>IF($B9=0,0,IF(AA$3=TotalApuestas!AA4,AA$5,0))</f>
        <v>0</v>
      </c>
      <c r="AB9" s="75">
        <f>IF($B9=0,0,IF(AND(Z$3=TotalApuestas!Z4,Resultado!AA$3=TotalApuestas!AA4),Resultado!AB$5+VLOOKUP(AB$4&amp;"bonus",Aux!$AD$1:$AE$46,2,0),IF(AB$3=TotalApuestas!AB4,AB$5,0)))</f>
        <v>0</v>
      </c>
      <c r="AC9" s="75">
        <f>IF($B9=0,0,IF(AC$3=TotalApuestas!AC4,AC$5,0))</f>
        <v>0</v>
      </c>
      <c r="AD9" s="75">
        <f>IF($B9=0,0,IF(AD$3=TotalApuestas!AD4,AD$5,0))</f>
        <v>0</v>
      </c>
      <c r="AE9" s="75">
        <f>IF($B9=0,0,IF(AND(AC$3=TotalApuestas!AC4,Resultado!AD$3=TotalApuestas!AD4),Resultado!AE$5+VLOOKUP(AE$4&amp;"bonus",Aux!$AD$1:$AE$46,2,0),IF(AE$3=TotalApuestas!AE4,AE$5,0)))</f>
        <v>0</v>
      </c>
      <c r="AF9" s="75">
        <f>IF($B9=0,0,IF(AF$3=TotalApuestas!AF4,AF$5,0))</f>
        <v>0</v>
      </c>
      <c r="AG9" s="75">
        <f>IF($B9=0,0,IF(AG$3=TotalApuestas!AG4,AG$5,0))</f>
        <v>0</v>
      </c>
      <c r="AH9" s="75">
        <f>IF($B9=0,0,IF(AND(AF$3=TotalApuestas!AF4,Resultado!AG$3=TotalApuestas!AG4),Resultado!AH$5+VLOOKUP(AH$4&amp;"bonus",Aux!$AD$1:$AE$46,2,0),IF(AH$3=TotalApuestas!AH4,AH$5,0)))</f>
        <v>0</v>
      </c>
      <c r="AI9" s="75">
        <f>IF($B9=0,0,IF(AI$3=TotalApuestas!AI4,AI$5,0))</f>
        <v>0</v>
      </c>
      <c r="AJ9" s="75">
        <f>IF($B9=0,0,IF(AJ$3=TotalApuestas!AJ4,AJ$5,0))</f>
        <v>0</v>
      </c>
      <c r="AK9" s="75">
        <f>IF($B9=0,0,IF(AND(AI$3=TotalApuestas!AI4,Resultado!AJ$3=TotalApuestas!AJ4),Resultado!AK$5+VLOOKUP(AK$4&amp;"bonus",Aux!$AD$1:$AE$46,2,0),IF(AK$3=TotalApuestas!AK4,AK$5,0)))</f>
        <v>0</v>
      </c>
      <c r="AL9" s="75">
        <f>IF($B9=0,0,IF(AL$3=TotalApuestas!AL4,AL$5,0))</f>
        <v>0</v>
      </c>
      <c r="AM9" s="75">
        <f>IF($B9=0,0,IF(AM$3=TotalApuestas!AM4,AM$5,0))</f>
        <v>0</v>
      </c>
      <c r="AN9" s="75">
        <f>IF($B9=0,0,IF(AND(AL$3=TotalApuestas!AL4,Resultado!AM$3=TotalApuestas!AM4),Resultado!AN$5+VLOOKUP(AN$4&amp;"bonus",Aux!$AD$1:$AE$46,2,0),IF(AN$3=TotalApuestas!AN4,AN$5,0)))</f>
        <v>0</v>
      </c>
      <c r="AO9" s="75">
        <f>IF($B9=0,0,IF(AO$3=TotalApuestas!AO4,AO$5,0))</f>
        <v>0</v>
      </c>
      <c r="AP9" s="75">
        <f>IF($B9=0,0,IF(AP$3=TotalApuestas!AP4,AP$5,0))</f>
        <v>0</v>
      </c>
      <c r="AQ9" s="75">
        <f>IF($B9=0,0,IF(AND(AO$3=TotalApuestas!AO4,Resultado!AP$3=TotalApuestas!AP4),Resultado!AQ$5+VLOOKUP(AQ$4&amp;"bonus",Aux!$AD$1:$AE$46,2,0),IF(AQ$3=TotalApuestas!AQ4,AQ$5,0)))</f>
        <v>0</v>
      </c>
      <c r="AR9" s="75">
        <f>IF($B9=0,0,IF(AR$3=TotalApuestas!AR4,AR$5,0))</f>
        <v>0</v>
      </c>
      <c r="AS9" s="75">
        <f>IF($B9=0,0,IF(AS$3=TotalApuestas!AS4,AS$5,0))</f>
        <v>0</v>
      </c>
      <c r="AT9" s="75">
        <f>IF($B9=0,0,IF(AND(AR$3=TotalApuestas!AR4,Resultado!AS$3=TotalApuestas!AS4),Resultado!AT$5+VLOOKUP(AT$4&amp;"bonus",Aux!$AD$1:$AE$46,2,0),IF(AT$3=TotalApuestas!AT4,AT$5,0)))</f>
        <v>0</v>
      </c>
      <c r="AU9" s="75">
        <f>IF($B9=0,0,IF(AU$3=TotalApuestas!AU4,AU$5,0))</f>
        <v>0</v>
      </c>
      <c r="AV9" s="75">
        <f>IF($B9=0,0,IF(AV$3=TotalApuestas!AV4,AV$5,0))</f>
        <v>0</v>
      </c>
      <c r="AW9" s="75">
        <f>IF($B9=0,0,IF(AND(AU$3=TotalApuestas!AU4,Resultado!AV$3=TotalApuestas!AV4),Resultado!AW$5+VLOOKUP(AW$4&amp;"bonus",Aux!$AD$1:$AE$46,2,0),IF(AW$3=TotalApuestas!AW4,AW$5,0)))</f>
        <v>0</v>
      </c>
      <c r="AX9" s="75">
        <f>IF($B9=0,0,IF(AX$3=TotalApuestas!AX4,AX$5,0))</f>
        <v>0</v>
      </c>
      <c r="AY9" s="75">
        <f>IF($B9=0,0,IF(AY$3=TotalApuestas!AY4,AY$5,0))</f>
        <v>0</v>
      </c>
      <c r="AZ9" s="75">
        <f>IF($B9=0,0,IF(AND(AX$3=TotalApuestas!AX4,Resultado!AY$3=TotalApuestas!AY4),Resultado!AZ$5+VLOOKUP(AZ$4&amp;"bonus",Aux!$AD$1:$AE$46,2,0),IF(AZ$3=TotalApuestas!AZ4,AZ$5,0)))</f>
        <v>0</v>
      </c>
      <c r="BA9" s="75">
        <f>IF($B9=0,0,IF(BA$3=TotalApuestas!BA4,BA$5,0))</f>
        <v>0</v>
      </c>
      <c r="BB9" s="75">
        <f>IF($B9=0,0,IF(BB$3=TotalApuestas!BB4,BB$5,0))</f>
        <v>0</v>
      </c>
      <c r="BC9" s="75">
        <f>IF($B9=0,0,IF(AND(BA$3=TotalApuestas!BA4,Resultado!BB$3=TotalApuestas!BB4),Resultado!BC$5+VLOOKUP(BC$4&amp;"bonus",Aux!$AD$1:$AE$46,2,0),IF(BC$3=TotalApuestas!BC4,BC$5,0)))</f>
        <v>0</v>
      </c>
      <c r="BD9" s="75">
        <f>IF($B9=0,0,IF(BD$3=TotalApuestas!BD4,BD$5,0))</f>
        <v>0</v>
      </c>
      <c r="BE9" s="75">
        <f>IF($B9=0,0,IF(BE$3=TotalApuestas!BE4,BE$5,0))</f>
        <v>0</v>
      </c>
      <c r="BF9" s="75">
        <f>IF($B9=0,0,IF(AND(BD$3=TotalApuestas!BD4,Resultado!BE$3=TotalApuestas!BE4),Resultado!BF$5+VLOOKUP(BF$4&amp;"bonus",Aux!$AD$1:$AE$46,2,0),IF(BF$3=TotalApuestas!BF4,BF$5,0)))</f>
        <v>0</v>
      </c>
      <c r="BG9" s="75">
        <f>IF($B9=0,0,IF(BG$3=TotalApuestas!BG4,BG$5,0))</f>
        <v>0</v>
      </c>
      <c r="BH9" s="75">
        <f>IF($B9=0,0,IF(BH$3=TotalApuestas!BH4,BH$5,0))</f>
        <v>0</v>
      </c>
      <c r="BI9" s="75">
        <f>IF($B9=0,0,IF(AND(BG$3=TotalApuestas!BG4,Resultado!BH$3=TotalApuestas!BH4),Resultado!BI$5+VLOOKUP(BI$4&amp;"bonus",Aux!$AD$1:$AE$46,2,0),IF(BI$3=TotalApuestas!BI4,BI$5,0)))</f>
        <v>0</v>
      </c>
      <c r="BJ9" s="75">
        <f>IF($B9=0,0,IF(BJ$3=TotalApuestas!BJ4,BJ$5,0))</f>
        <v>0</v>
      </c>
      <c r="BK9" s="75">
        <f>IF($B9=0,0,IF(BK$3=TotalApuestas!BK4,BK$5,0))</f>
        <v>0</v>
      </c>
      <c r="BL9" s="75">
        <f>IF($B9=0,0,IF(AND(BJ$3=TotalApuestas!BJ4,Resultado!BK$3=TotalApuestas!BK4),Resultado!BL$5+VLOOKUP(BL$4&amp;"bonus",Aux!$AD$1:$AE$46,2,0),IF(BL$3=TotalApuestas!BL4,BL$5,0)))</f>
        <v>0</v>
      </c>
      <c r="BM9" s="75">
        <f>IF($B9=0,0,IF(BM$3=TotalApuestas!BM4,BM$5,0))</f>
        <v>0</v>
      </c>
      <c r="BN9" s="75">
        <f>IF($B9=0,0,IF(BN$3=TotalApuestas!BN4,BN$5,0))</f>
        <v>0</v>
      </c>
      <c r="BO9" s="75">
        <f>IF($B9=0,0,IF(AND(BM$3=TotalApuestas!BM4,Resultado!BN$3=TotalApuestas!BN4),Resultado!BO$5+VLOOKUP(BO$4&amp;"bonus",Aux!$AD$1:$AE$46,2,0),IF(BO$3=TotalApuestas!BO4,BO$5,0)))</f>
        <v>0</v>
      </c>
      <c r="BP9" s="75">
        <f>IF($B9=0,0,IF(BP$3=TotalApuestas!BP4,BP$5,0))</f>
        <v>0</v>
      </c>
      <c r="BQ9" s="75">
        <f>IF($B9=0,0,IF(BQ$3=TotalApuestas!BQ4,BQ$5,0))</f>
        <v>0</v>
      </c>
      <c r="BR9" s="75">
        <f>IF($B9=0,0,IF(AND(BP$3=TotalApuestas!BP4,Resultado!BQ$3=TotalApuestas!BQ4),Resultado!BR$5+VLOOKUP(BR$4&amp;"bonus",Aux!$AD$1:$AE$46,2,0),IF(BR$3=TotalApuestas!BR4,BR$5,0)))</f>
        <v>0</v>
      </c>
      <c r="BS9" s="75">
        <f>IF($B9=0,0,IF(BS$3=TotalApuestas!BS4,BS$5,0))</f>
        <v>0</v>
      </c>
      <c r="BT9" s="75">
        <f>IF($B9=0,0,IF(BT$3=TotalApuestas!BT4,BT$5,0))</f>
        <v>0</v>
      </c>
      <c r="BU9" s="75">
        <f>IF($B9=0,0,IF(AND(BS$3=TotalApuestas!BS4,Resultado!BT$3=TotalApuestas!BT4),Resultado!BU$5+VLOOKUP(BU$4&amp;"bonus",Aux!$AD$1:$AE$46,2,0),IF(BU$3=TotalApuestas!BU4,BU$5,0)))</f>
        <v>0</v>
      </c>
      <c r="BV9" s="75">
        <f>IF($B9=0,0,IF(BV$3=TotalApuestas!BV4,BV$5,0))</f>
        <v>0</v>
      </c>
      <c r="BW9" s="75">
        <f>IF($B9=0,0,IF(BW$3=TotalApuestas!BW4,BW$5,0))</f>
        <v>0</v>
      </c>
      <c r="BX9" s="75">
        <f>IF($B9=0,0,IF(AND(BV$3=TotalApuestas!BV4,Resultado!BW$3=TotalApuestas!BW4),Resultado!BX$5+VLOOKUP(BX$4&amp;"bonus",Aux!$AD$1:$AE$46,2,0),IF(BX$3=TotalApuestas!BX4,BX$5,0)))</f>
        <v>0</v>
      </c>
      <c r="BY9" s="75">
        <f>IF($B9=0,0,IF(BY$3=TotalApuestas!BY4,BY$5,0))</f>
        <v>0</v>
      </c>
      <c r="BZ9" s="75">
        <f>IF($B9=0,0,IF(BZ$3=TotalApuestas!BZ4,BZ$5,0))</f>
        <v>0</v>
      </c>
      <c r="CA9" s="75">
        <f>IF($B9=0,0,IF(AND(BY$3=TotalApuestas!BY4,Resultado!BZ$3=TotalApuestas!BZ4),Resultado!CA$5+VLOOKUP(CA$4&amp;"bonus",Aux!$AD$1:$AE$46,2,0),IF(CA$3=TotalApuestas!CA4,CA$5,0)))</f>
        <v>0</v>
      </c>
      <c r="CB9" s="75">
        <f>IF($B9=0,0,IF(CB$3=TotalApuestas!CB4,CB$5,0))</f>
        <v>0</v>
      </c>
      <c r="CC9" s="75">
        <f>IF($B9=0,0,IF(CC$3=TotalApuestas!CC4,CC$5,0))</f>
        <v>0</v>
      </c>
      <c r="CD9" s="75">
        <f>IF($B9=0,0,IF(AND(CB$3=TotalApuestas!CB4,Resultado!CC$3=TotalApuestas!CC4),Resultado!CD$5+VLOOKUP(CD$4&amp;"bonus",Aux!$AD$1:$AE$46,2,0),IF(CD$3=TotalApuestas!CD4,CD$5,0)))</f>
        <v>0</v>
      </c>
      <c r="CE9" s="75">
        <f>IF($B9=0,0,IF(CE$3=TotalApuestas!CE4,CE$5,0))</f>
        <v>0</v>
      </c>
      <c r="CF9" s="75">
        <f>IF($B9=0,0,IF(CF$3=TotalApuestas!CF4,CF$5,0))</f>
        <v>0</v>
      </c>
      <c r="CG9" s="75">
        <f>IF($B9=0,0,IF(AND(CE$3=TotalApuestas!CE4,Resultado!CF$3=TotalApuestas!CF4),Resultado!CG$5+VLOOKUP(CG$4&amp;"bonus",Aux!$AD$1:$AE$46,2,0),IF(CG$3=TotalApuestas!CG4,CG$5,0)))</f>
        <v>0</v>
      </c>
      <c r="CH9" s="75">
        <f>IF($B9=0,0,IF(CH$3=TotalApuestas!CH4,CH$5,0))</f>
        <v>0</v>
      </c>
      <c r="CI9" s="75">
        <f>IF($B9=0,0,IF(CI$3=TotalApuestas!CI4,CI$5,0))</f>
        <v>0</v>
      </c>
      <c r="CJ9" s="75">
        <f>IF($B9=0,0,IF(AND(CH$3=TotalApuestas!CH4,Resultado!CI$3=TotalApuestas!CI4),Resultado!CJ$5+VLOOKUP(CJ$4&amp;"bonus",Aux!$AD$1:$AE$46,2,0),IF(CJ$3=TotalApuestas!CJ4,CJ$5,0)))</f>
        <v>0</v>
      </c>
      <c r="CK9" s="75">
        <f>IF($B9=0,0,IF(CK$3=TotalApuestas!CK4,CK$5,0))</f>
        <v>0</v>
      </c>
      <c r="CL9" s="75">
        <f>IF($B9=0,0,IF(CL$3=TotalApuestas!CL4,CL$5,0))</f>
        <v>0</v>
      </c>
      <c r="CM9" s="75">
        <f>IF($B9=0,0,IF(AND(CK$3=TotalApuestas!CK4,Resultado!CL$3=TotalApuestas!CL4),Resultado!CM$5+VLOOKUP(CM$4&amp;"bonus",Aux!$AD$1:$AE$46,2,0),IF(CM$3=TotalApuestas!CM4,CM$5,0)))</f>
        <v>0</v>
      </c>
      <c r="CN9" s="75">
        <f>IF($B9=0,0,IF(CN$3=TotalApuestas!CN4,CN$5,0))</f>
        <v>0</v>
      </c>
      <c r="CO9" s="75">
        <f>IF($B9=0,0,IF(CO$3=TotalApuestas!CO4,CO$5,0))</f>
        <v>0</v>
      </c>
      <c r="CP9" s="75">
        <f>IF($B9=0,0,IF(AND(CN$3=TotalApuestas!CN4,Resultado!CO$3=TotalApuestas!CO4),Resultado!CP$5+VLOOKUP(CP$4&amp;"bonus",Aux!$AD$1:$AE$46,2,0),IF(CP$3=TotalApuestas!CP4,CP$5,0)))</f>
        <v>0</v>
      </c>
      <c r="CQ9" s="75">
        <f>IF($B9=0,0,IF(CQ$3=TotalApuestas!CQ4,CQ$5,0))</f>
        <v>0</v>
      </c>
      <c r="CR9" s="75">
        <f>IF($B9=0,0,IF(CR$3=TotalApuestas!CR4,CR$5,0))</f>
        <v>0</v>
      </c>
      <c r="CS9" s="75">
        <f>IF($B9=0,0,IF(AND(CQ$3=TotalApuestas!CQ4,Resultado!CR$3=TotalApuestas!CR4),Resultado!CS$5+VLOOKUP(CS$4&amp;"bonus",Aux!$AD$1:$AE$46,2,0),IF(CS$3=TotalApuestas!CS4,CS$5,0)))</f>
        <v>0</v>
      </c>
      <c r="CT9" s="75">
        <f>IF($B9=0,0,IF(CT$3=TotalApuestas!CT4,CT$5,0))</f>
        <v>0</v>
      </c>
      <c r="CU9" s="75">
        <f>IF($B9=0,0,IF(CU$3=TotalApuestas!CU4,CU$5,0))</f>
        <v>0</v>
      </c>
      <c r="CV9" s="75">
        <f>IF($B9=0,0,IF(AND(CT$3=TotalApuestas!CT4,Resultado!CU$3=TotalApuestas!CU4),Resultado!CV$5+VLOOKUP(CV$4&amp;"bonus",Aux!$AD$1:$AE$46,2,0),IF(CV$3=TotalApuestas!CV4,CV$5,0)))</f>
        <v>0</v>
      </c>
      <c r="CW9" s="75">
        <f>IF($B9=0,0,IF(CW$3=TotalApuestas!CW4,CW$5,0))</f>
        <v>0</v>
      </c>
      <c r="CX9" s="75">
        <f>IF($B9=0,0,IF(CX$3=TotalApuestas!CX4,CX$5,0))</f>
        <v>0</v>
      </c>
      <c r="CY9" s="75">
        <f>IF($B9=0,0,IF(AND(CW$3=TotalApuestas!CW4,Resultado!CX$3=TotalApuestas!CX4),Resultado!CY$5+VLOOKUP(CY$4&amp;"bonus",Aux!$AD$1:$AE$46,2,0),IF(CY$3=TotalApuestas!CY4,CY$5,0)))</f>
        <v>0</v>
      </c>
      <c r="CZ9" s="75">
        <f>IF($B9=0,0,IF(CZ$3=TotalApuestas!CZ4,CZ$5,0))</f>
        <v>0</v>
      </c>
      <c r="DA9" s="75">
        <f>IF($B9=0,0,IF(DA$3=TotalApuestas!DA4,DA$5,0))</f>
        <v>0</v>
      </c>
      <c r="DB9" s="75">
        <f>IF($B9=0,0,IF(AND(CZ$3=TotalApuestas!CZ4,Resultado!DA$3=TotalApuestas!DA4),Resultado!DB$5+VLOOKUP(DB$4&amp;"bonus",Aux!$AD$1:$AE$46,2,0),IF(DB$3=TotalApuestas!DB4,DB$5,0)))</f>
        <v>0</v>
      </c>
      <c r="DC9" s="75">
        <f>IF($B9=0,0,IF(DC$3=TotalApuestas!DC4,DC$5,0))</f>
        <v>0</v>
      </c>
      <c r="DD9" s="75">
        <f>IF($B9=0,0,IF(DD$3=TotalApuestas!DD4,DD$5,0))</f>
        <v>0</v>
      </c>
      <c r="DE9" s="75">
        <f>IF($B9=0,0,IF(AND(DC$3=TotalApuestas!DC4,Resultado!DD$3=TotalApuestas!DD4),Resultado!DE$5+VLOOKUP(DE$4&amp;"bonus",Aux!$AD$1:$AE$46,2,0),IF(DE$3=TotalApuestas!DE4,DE$5,0)))</f>
        <v>0</v>
      </c>
      <c r="DF9" s="75">
        <f>IF($B9=0,0,IF(DF$3=TotalApuestas!DF4,DF$5,0))</f>
        <v>0</v>
      </c>
      <c r="DG9" s="75">
        <f>IF($B9=0,0,IF(DG$3=TotalApuestas!DG4,DG$5,0))</f>
        <v>0</v>
      </c>
      <c r="DH9" s="75">
        <f>IF($B9=0,0,IF(AND(DF$3=TotalApuestas!DF4,Resultado!DG$3=TotalApuestas!DG4),Resultado!DH$5+VLOOKUP(DH$4&amp;"bonus",Aux!$AD$1:$AE$46,2,0),IF(DH$3=TotalApuestas!DH4,DH$5,0)))</f>
        <v>0</v>
      </c>
      <c r="DI9" s="75">
        <f>IF($B9=0,0,IF(DI$3=TotalApuestas!DI4,DI$5,0))</f>
        <v>0</v>
      </c>
      <c r="DJ9" s="75">
        <f>IF($B9=0,0,IF(DJ$3=TotalApuestas!DJ4,DJ$5,0))</f>
        <v>0</v>
      </c>
      <c r="DK9" s="75">
        <f>IF($B9=0,0,IF(AND(DI$3=TotalApuestas!DI4,Resultado!DJ$3=TotalApuestas!DJ4),Resultado!DK$5+VLOOKUP(DK$4&amp;"bonus",Aux!$AD$1:$AE$46,2,0),IF(DK$3=TotalApuestas!DK4,DK$5,0)))</f>
        <v>0</v>
      </c>
      <c r="DL9" s="75">
        <f>IF($B9=0,0,IF(DL$3=TotalApuestas!DL4,DL$5,0))</f>
        <v>0</v>
      </c>
      <c r="DM9" s="75">
        <f>IF($B9=0,0,IF(DM$3=TotalApuestas!DM4,DM$5,0))</f>
        <v>0</v>
      </c>
      <c r="DN9" s="75">
        <f>IF($B9=0,0,IF(AND(DL$3=TotalApuestas!DL4,Resultado!DM$3=TotalApuestas!DM4),Resultado!DN$5+VLOOKUP(DN$4&amp;"bonus",Aux!$AD$1:$AE$46,2,0),IF(DN$3=TotalApuestas!DN4,DN$5,0)))</f>
        <v>0</v>
      </c>
      <c r="DO9" s="75">
        <f>IF($B9=0,0,IF(DO$3=TotalApuestas!DO4,DO$5,0))</f>
        <v>0</v>
      </c>
      <c r="DP9" s="75">
        <f>IF($B9=0,0,IF(DP$3=TotalApuestas!DP4,DP$5,0))</f>
        <v>0</v>
      </c>
      <c r="DQ9" s="75">
        <f>IF($B9=0,0,IF(AND(DO$3=TotalApuestas!DO4,Resultado!DP$3=TotalApuestas!DP4),Resultado!DQ$5+VLOOKUP(DQ$4&amp;"bonus",Aux!$AD$1:$AE$46,2,0),IF(DQ$3=TotalApuestas!DQ4,DQ$5,0)))</f>
        <v>0</v>
      </c>
      <c r="DR9" s="75">
        <f>IF($B9=0,0,IF(DR$3=TotalApuestas!DR4,DR$5,0))</f>
        <v>0</v>
      </c>
      <c r="DS9" s="75">
        <f>IF($B9=0,0,IF(DS$3=TotalApuestas!DS4,DS$5,0))</f>
        <v>0</v>
      </c>
      <c r="DT9" s="75">
        <f>IF($B9=0,0,IF(AND(DR$3=TotalApuestas!DR4,Resultado!DS$3=TotalApuestas!DS4),Resultado!DT$5+VLOOKUP(DT$4&amp;"bonus",Aux!$AD$1:$AE$46,2,0),IF(DT$3=TotalApuestas!DT4,DT$5,0)))</f>
        <v>0</v>
      </c>
      <c r="DU9" s="75">
        <f>IF($B9=0,0,IF(DU$3=TotalApuestas!DU4,DU$5,0))</f>
        <v>0</v>
      </c>
      <c r="DV9" s="75">
        <f>IF($B9=0,0,IF(DV$3=TotalApuestas!DV4,DV$5,0))</f>
        <v>0</v>
      </c>
      <c r="DW9" s="75">
        <f>IF($B9=0,0,IF(AND(DU$3=TotalApuestas!DU4,Resultado!DV$3=TotalApuestas!DV4),Resultado!DW$5+VLOOKUP(DW$4&amp;"bonus",Aux!$AD$1:$AE$46,2,0),IF(DW$3=TotalApuestas!DW4,DW$5,0)))</f>
        <v>0</v>
      </c>
      <c r="DX9" s="75">
        <f>IF($B9=0,0,IF(DX$3=TotalApuestas!DX4,DX$5,0))</f>
        <v>0</v>
      </c>
      <c r="DY9" s="75">
        <f>IF($B9=0,0,IF(DY$3=TotalApuestas!DY4,DY$5,0))</f>
        <v>0</v>
      </c>
      <c r="DZ9" s="75">
        <f>IF($B9=0,0,IF(AND(DX$3=TotalApuestas!DX4,Resultado!DY$3=TotalApuestas!DY4),Resultado!DZ$5+VLOOKUP(DZ$4&amp;"bonus",Aux!$AD$1:$AE$46,2,0),IF(DZ$3=TotalApuestas!DZ4,DZ$5,0)))</f>
        <v>0</v>
      </c>
      <c r="EA9" s="75">
        <f>IF($B9=0,0,IF(EA$3=TotalApuestas!EA4,EA$5,0))</f>
        <v>0</v>
      </c>
      <c r="EB9" s="75">
        <f>IF($B9=0,0,IF(EB$3=TotalApuestas!EB4,EB$5,0))</f>
        <v>0</v>
      </c>
      <c r="EC9" s="75">
        <f>IF($B9=0,0,IF(AND(EA$3=TotalApuestas!EA4,Resultado!EB$3=TotalApuestas!EB4),Resultado!EC$5+VLOOKUP(EC$4&amp;"bonus",Aux!$AD$1:$AE$46,2,0),IF(EC$3=TotalApuestas!EC4,EC$5,0)))</f>
        <v>0</v>
      </c>
      <c r="ED9" s="75">
        <f>IF($B9=0,0,IF(ED$3=TotalApuestas!ED4,ED$5,0))</f>
        <v>0</v>
      </c>
      <c r="EE9" s="75">
        <f>IF($B9=0,0,IF(EE$3=TotalApuestas!EE4,EE$5,0))</f>
        <v>0</v>
      </c>
      <c r="EF9" s="75">
        <f>IF($B9=0,0,IF(AND(ED$3=TotalApuestas!ED4,Resultado!EE$3=TotalApuestas!EE4),Resultado!EF$5+VLOOKUP(EF$4&amp;"bonus",Aux!$AD$1:$AE$46,2,0),IF(EF$3=TotalApuestas!EF4,EF$5,0)))</f>
        <v>0</v>
      </c>
      <c r="EG9" s="75">
        <f>IF($B9=0,0,IF(EG$3=TotalApuestas!EG4,EG$5,0))</f>
        <v>0</v>
      </c>
      <c r="EH9" s="75">
        <f>IF($B9=0,0,IF(EH$3=TotalApuestas!EH4,EH$5,0))</f>
        <v>0</v>
      </c>
      <c r="EI9" s="75">
        <f>IF($B9=0,0,IF(AND(EG$3=TotalApuestas!EG4,Resultado!EH$3=TotalApuestas!EH4),Resultado!EI$5+VLOOKUP(EI$4&amp;"bonus",Aux!$AD$1:$AE$46,2,0),IF(EI$3=TotalApuestas!EI4,EI$5,0)))</f>
        <v>0</v>
      </c>
      <c r="EJ9" s="75">
        <f>IF($B9=0,0,IF(EJ$3=TotalApuestas!EJ4,EJ$5,0))</f>
        <v>0</v>
      </c>
      <c r="EK9" s="75">
        <f>IF($B9=0,0,IF(EK$3=TotalApuestas!EK4,EK$5,0))</f>
        <v>0</v>
      </c>
      <c r="EL9" s="75">
        <f>IF($B9=0,0,IF(AND(EJ$3=TotalApuestas!EJ4,Resultado!EK$3=TotalApuestas!EK4),Resultado!EL$5+VLOOKUP(EL$4&amp;"bonus",Aux!$AD$1:$AE$46,2,0),IF(EL$3=TotalApuestas!EL4,EL$5,0)))</f>
        <v>0</v>
      </c>
      <c r="EM9" s="75">
        <f>IF($B9=0,0,IF(EM$3=TotalApuestas!EM4,EM$5,0))</f>
        <v>0</v>
      </c>
      <c r="EN9" s="75">
        <f>IF($B9=0,0,IF(EN$3=TotalApuestas!EN4,EN$5,0))</f>
        <v>0</v>
      </c>
      <c r="EO9" s="75">
        <f>IF($B9=0,0,IF(AND(EM$3=TotalApuestas!EM4,Resultado!EN$3=TotalApuestas!EN4),Resultado!EO$5+VLOOKUP(EO$4&amp;"bonus",Aux!$AD$1:$AE$46,2,0),IF(EO$3=TotalApuestas!EO4,EO$5,0)))</f>
        <v>0</v>
      </c>
      <c r="EP9" s="75">
        <f>IF($B9=0,0,IF(EP$3=TotalApuestas!EP4,EP$5,0))</f>
        <v>0</v>
      </c>
      <c r="EQ9" s="75">
        <f>IF($B9=0,0,IF(EQ$3=TotalApuestas!EQ4,EQ$5,0))</f>
        <v>0</v>
      </c>
      <c r="ER9" s="75">
        <f>IF($B9=0,0,IF(AND(EP$3=TotalApuestas!EP4,Resultado!EQ$3=TotalApuestas!EQ4),Resultado!ER$5+VLOOKUP(ER$4&amp;"bonus",Aux!$AD$1:$AE$46,2,0),IF(ER$3=TotalApuestas!ER4,ER$5,0)))</f>
        <v>0</v>
      </c>
      <c r="ES9" s="75">
        <f>IF($B9=0,0,IF(ES$3=TotalApuestas!ES4,ES$5,0))</f>
        <v>0</v>
      </c>
      <c r="ET9" s="75">
        <f>IF($B9=0,0,IF(ET$3=TotalApuestas!ET4,ET$5,0))</f>
        <v>0</v>
      </c>
      <c r="EU9" s="75">
        <f>IF($B9=0,0,IF(EU$3=TotalApuestas!EU4,EU$5,0))</f>
        <v>0</v>
      </c>
      <c r="EV9" s="75">
        <f>IF($B9=0,0,IF(EV$3=TotalApuestas!EV4,EV$5,0))</f>
        <v>0</v>
      </c>
      <c r="EW9" s="75">
        <f>IF($B9=0,0,IF(EW$3=TotalApuestas!EW4,EW$5,0))</f>
        <v>0</v>
      </c>
      <c r="EX9" s="75">
        <f>IF($B9=0,0,IF(EX$3=TotalApuestas!EX4,EX$5,0))</f>
        <v>0</v>
      </c>
      <c r="EY9" s="75">
        <f>IF($B9=0,0,IF(EY$3=TotalApuestas!EY4,EY$5,0))</f>
        <v>0</v>
      </c>
      <c r="EZ9" s="75">
        <f>IF($B9=0,0,IF(EZ$3=TotalApuestas!EZ4,EZ$5,0))</f>
        <v>0</v>
      </c>
      <c r="FA9" s="75">
        <f>IF($B9=0,0,IF(FA$3=TotalApuestas!FA4,FA$5,0))</f>
        <v>0</v>
      </c>
      <c r="FB9" s="75">
        <f>IF($B9=0,0,IF(FB$3=TotalApuestas!FB4,FB$5,0))</f>
        <v>0</v>
      </c>
      <c r="FC9" s="75">
        <f>IF($B9=0,0,IF(FC$3=TotalApuestas!FC4,FC$5,0))</f>
        <v>0</v>
      </c>
      <c r="FD9" s="75">
        <f>IF($B9=0,0,IF(FD$3=TotalApuestas!FD4,FD$5,0))</f>
        <v>0</v>
      </c>
      <c r="FE9" s="75">
        <f>IF($B9=0,0,IF(FE$3=TotalApuestas!FE4,FE$5,0))</f>
        <v>0</v>
      </c>
      <c r="FF9" s="75">
        <f>IF($B9=0,0,IF(FF$3=TotalApuestas!FF4,FF$5,0))</f>
        <v>0</v>
      </c>
      <c r="FG9" s="75">
        <f>IF($B9=0,0,IF(FG$3=TotalApuestas!FG4,FG$5,0))</f>
        <v>0</v>
      </c>
      <c r="FH9" s="75">
        <f>IF($B9=0,0,IF(FH$3=TotalApuestas!FH4,FH$5,0))</f>
        <v>0</v>
      </c>
      <c r="FI9" s="75">
        <f>IF($B9=0,0,IF(FI$3=TotalApuestas!FI4,FI$5,0))</f>
        <v>0</v>
      </c>
      <c r="FJ9" s="75">
        <f>IF($B9=0,0,IF(FJ$3=TotalApuestas!FJ4,FJ$5,0))</f>
        <v>0</v>
      </c>
      <c r="FK9" s="75">
        <f>IF($B9=0,0,IF(FK$3=TotalApuestas!FK4,FK$5,0))</f>
        <v>0</v>
      </c>
      <c r="FL9" s="75">
        <f>IF($B9=0,0,IF(FL$3=TotalApuestas!FL4,FL$5,0))</f>
        <v>0</v>
      </c>
      <c r="FM9" s="75">
        <f>IF($B9=0,0,IF(FM$3=TotalApuestas!FM4,FM$5,0))</f>
        <v>0</v>
      </c>
      <c r="FN9" s="75">
        <f>IF($B9=0,0,IF(FN$3=TotalApuestas!FN4,FN$5,0))</f>
        <v>0</v>
      </c>
      <c r="FO9" s="75">
        <f>IF($B9=0,0,IF(FO$3=TotalApuestas!FO4,FO$5,0))</f>
        <v>0</v>
      </c>
      <c r="FP9" s="75">
        <f>IF($B9=0,0,IF(FP$3=TotalApuestas!FP4,FP$5,0))</f>
        <v>0</v>
      </c>
      <c r="FQ9" s="75">
        <f>IF($B9=0,0,IF(FQ$3=TotalApuestas!FQ4,FQ$5,0))</f>
        <v>0</v>
      </c>
      <c r="FR9" s="75">
        <f>IF($B9=0,0,IF(FR$3=TotalApuestas!FR4,FR$5,0))</f>
        <v>0</v>
      </c>
      <c r="FS9" s="75">
        <f>IF($B9=0,0,IF(FS$3=TotalApuestas!FS4,FS$5,0))</f>
        <v>0</v>
      </c>
      <c r="FT9" s="75">
        <f>IF($B9=0,0,IF(FT$3=TotalApuestas!FT4,FT$5,0))</f>
        <v>0</v>
      </c>
      <c r="FU9" s="75">
        <f>IF($B9=0,0,IF(FU$3=TotalApuestas!FU4,FU$5,0))</f>
        <v>0</v>
      </c>
      <c r="FV9" s="75">
        <f>IF($B9=0,0,IF(FV$3=TotalApuestas!FV4,FV$5,0))</f>
        <v>0</v>
      </c>
      <c r="FW9" s="75">
        <f>IF($B9=0,0,IF(FW$3=TotalApuestas!FW4,FW$5,0))</f>
        <v>0</v>
      </c>
      <c r="FX9" s="75">
        <f>IF($B9=0,0,IF(FX$3=TotalApuestas!FX4,FX$5,0))</f>
        <v>0</v>
      </c>
      <c r="FY9" s="75">
        <f>IF($B9=0,0,IF(FY$3=TotalApuestas!FY4,FY$5,0))</f>
        <v>0</v>
      </c>
      <c r="FZ9" s="75">
        <f>IF($B9=0,0,IF(AND(FX$3=TotalApuestas!FX4,Resultado!FY$3=TotalApuestas!FY4),Resultado!FZ$5+VLOOKUP(FZ$4&amp;"bonus",Aux!$AD$1:$AE$46,2,0),IF(FZ$3=TotalApuestas!FZ4,FZ$5,0)))</f>
        <v>0</v>
      </c>
      <c r="GA9" s="75">
        <f>IF($B9=0,0,IF(GA$3=TotalApuestas!GA4,GA$5,0))</f>
        <v>0</v>
      </c>
      <c r="GB9" s="75">
        <f>IF($B9=0,0,IF(GB$3=TotalApuestas!GB4,GB$5,0))</f>
        <v>0</v>
      </c>
      <c r="GC9" s="75">
        <f>IF($B9=0,0,IF(AND(GA$3=TotalApuestas!GA4,Resultado!GB$3=TotalApuestas!GB4),Resultado!GC$5+VLOOKUP(GC$4&amp;"bonus",Aux!$AD$1:$AE$46,2,0),IF(GC$3=TotalApuestas!GC4,GC$5,0)))</f>
        <v>0</v>
      </c>
      <c r="GD9" s="75">
        <f>IF($B9=0,0,IF(GD$3=TotalApuestas!GD4,GD$5,0))</f>
        <v>0</v>
      </c>
      <c r="GE9" s="75">
        <f>IF($B9=0,0,IF(GE$3=TotalApuestas!GE4,GE$5,0))</f>
        <v>0</v>
      </c>
      <c r="GF9" s="75">
        <f>IF($B9=0,0,IF(AND(GD$3=TotalApuestas!GD4,Resultado!GE$3=TotalApuestas!GE4),Resultado!GF$5+VLOOKUP(GF$4&amp;"bonus",Aux!$AD$1:$AE$46,2,0),IF(GF$3=TotalApuestas!GF4,GF$5,0)))</f>
        <v>0</v>
      </c>
      <c r="GG9" s="75">
        <f>IF($B9=0,0,IF(GG$3=TotalApuestas!GG4,GG$5,0))</f>
        <v>0</v>
      </c>
      <c r="GH9" s="75">
        <f>IF($B9=0,0,IF(GH$3=TotalApuestas!GH4,GH$5,0))</f>
        <v>0</v>
      </c>
      <c r="GI9" s="75">
        <f>IF($B9=0,0,IF(AND(GG$3=TotalApuestas!GG4,Resultado!GH$3=TotalApuestas!GH4),Resultado!GI$5+VLOOKUP(GI$4&amp;"bonus",Aux!$AD$1:$AE$46,2,0),IF(GI$3=TotalApuestas!GI4,GI$5,0)))</f>
        <v>0</v>
      </c>
      <c r="GJ9" s="75">
        <f>IF($B9=0,0,IF(GJ$3=TotalApuestas!GJ4,GJ$5,0))</f>
        <v>0</v>
      </c>
      <c r="GK9" s="75">
        <f>IF($B9=0,0,IF(GK$3=TotalApuestas!GK4,GK$5,0))</f>
        <v>0</v>
      </c>
      <c r="GL9" s="75">
        <f>IF($B9=0,0,IF(AND(GJ$3=TotalApuestas!GJ4,Resultado!GK$3=TotalApuestas!GK4),Resultado!GL$5+VLOOKUP(GL$4&amp;"bonus",Aux!$AD$1:$AE$46,2,0),IF(GL$3=TotalApuestas!GL4,GL$5,0)))</f>
        <v>0</v>
      </c>
      <c r="GM9" s="75">
        <f>IF($B9=0,0,IF(GM$3=TotalApuestas!GM4,GM$5,0))</f>
        <v>0</v>
      </c>
      <c r="GN9" s="75">
        <f>IF($B9=0,0,IF(GN$3=TotalApuestas!GN4,GN$5,0))</f>
        <v>0</v>
      </c>
      <c r="GO9" s="75">
        <f>IF($B9=0,0,IF(AND(GM$3=TotalApuestas!GM4,Resultado!GN$3=TotalApuestas!GN4),Resultado!GO$5+VLOOKUP(GO$4&amp;"bonus",Aux!$AD$1:$AE$46,2,0),IF(GO$3=TotalApuestas!GO4,GO$5,0)))</f>
        <v>0</v>
      </c>
      <c r="GP9" s="75">
        <f>IF($B9=0,0,IF(GP$3=TotalApuestas!GP4,GP$5,0))</f>
        <v>0</v>
      </c>
      <c r="GQ9" s="75">
        <f>IF($B9=0,0,IF(GQ$3=TotalApuestas!GQ4,GQ$5,0))</f>
        <v>0</v>
      </c>
      <c r="GR9" s="75">
        <f>IF($B9=0,0,IF(AND(GP$3=TotalApuestas!GP4,Resultado!GQ$3=TotalApuestas!GQ4),Resultado!GR$5+VLOOKUP(GR$4&amp;"bonus",Aux!$AD$1:$AE$46,2,0),IF(GR$3=TotalApuestas!GR4,GR$5,0)))</f>
        <v>0</v>
      </c>
      <c r="GS9" s="75">
        <f>IF($B9=0,0,IF(GS$3=TotalApuestas!GS4,GS$5,0))</f>
        <v>0</v>
      </c>
      <c r="GT9" s="75">
        <f>IF($B9=0,0,IF(GT$3=TotalApuestas!GT4,GT$5,0))</f>
        <v>0</v>
      </c>
      <c r="GU9" s="75">
        <f>IF($B9=0,0,IF(AND(GS$3=TotalApuestas!GS4,Resultado!GT$3=TotalApuestas!GT4),Resultado!GU$5+VLOOKUP(GU$4&amp;"bonus",Aux!$AD$1:$AE$46,2,0),IF(GU$3=TotalApuestas!GU4,GU$5,0)))</f>
        <v>0</v>
      </c>
      <c r="GV9" s="75">
        <f>IF($B9=0,0,IF(GV$3=TotalApuestas!GV4,GV$5,0))</f>
        <v>0</v>
      </c>
      <c r="GW9" s="75">
        <f>IF($B9=0,0,IF(GW$3=TotalApuestas!GW4,GW$5,0))</f>
        <v>0</v>
      </c>
      <c r="GX9" s="75">
        <f>IF($B9=0,0,IF(AND(GV$3=TotalApuestas!GV4,Resultado!GW$3=TotalApuestas!GW4),Resultado!GX$5+VLOOKUP(GX$4&amp;"bonus",Aux!$AD$1:$AE$46,2,0),IF(GX$3=TotalApuestas!GX4,GX$5,0)))</f>
        <v>0</v>
      </c>
      <c r="GY9" s="75">
        <f>IF($B9=0,0,IF(GY$3=TotalApuestas!GY4,GY$5,0))</f>
        <v>0</v>
      </c>
      <c r="GZ9" s="75">
        <f>IF($B9=0,0,IF(GZ$3=TotalApuestas!GZ4,GZ$5,0))</f>
        <v>0</v>
      </c>
      <c r="HA9" s="75">
        <f>IF($B9=0,0,IF(AND(GY$3=TotalApuestas!GY4,Resultado!GZ$3=TotalApuestas!GZ4),Resultado!HA$5+VLOOKUP(HA$4&amp;"bonus",Aux!$AD$1:$AE$46,2,0),IF(HA$3=TotalApuestas!HA4,HA$5,0)))</f>
        <v>0</v>
      </c>
      <c r="HB9" s="75">
        <f>IF($B9=0,0,IF(HB$3=TotalApuestas!HB4,HB$5,0))</f>
        <v>0</v>
      </c>
      <c r="HC9" s="75">
        <f>IF($B9=0,0,IF(HC$3=TotalApuestas!HC4,HC$5,0))</f>
        <v>0</v>
      </c>
      <c r="HD9" s="75">
        <f>IF($B9=0,0,IF(AND(HB$3=TotalApuestas!HB4,Resultado!HC$3=TotalApuestas!HC4),Resultado!HD$5+VLOOKUP(HD$4&amp;"bonus",Aux!$AD$1:$AE$46,2,0),IF(HD$3=TotalApuestas!HD4,HD$5,0)))</f>
        <v>0</v>
      </c>
      <c r="HE9" s="75">
        <f>IF($B9=0,0,IF(HE$3=TotalApuestas!HE4,HE$5,0))</f>
        <v>0</v>
      </c>
      <c r="HF9" s="75">
        <f>IF($B9=0,0,IF(HF$3=TotalApuestas!HF4,HF$5,0))</f>
        <v>0</v>
      </c>
      <c r="HG9" s="75">
        <f>IF($B9=0,0,IF(AND(HE$3=TotalApuestas!HE4,Resultado!HF$3=TotalApuestas!HF4),Resultado!HG$5+VLOOKUP(HG$4&amp;"bonus",Aux!$AD$1:$AE$46,2,0),IF(HG$3=TotalApuestas!HG4,HG$5,0)))</f>
        <v>0</v>
      </c>
      <c r="HH9" s="75">
        <f>IF($B9=0,0,IF(HH$3=TotalApuestas!HH4,HH$5,0))</f>
        <v>0</v>
      </c>
      <c r="HI9" s="75">
        <f>IF($B9=0,0,IF(HI$3=TotalApuestas!HI4,HI$5,0))</f>
        <v>0</v>
      </c>
      <c r="HJ9" s="75">
        <f>IF($B9=0,0,IF(AND(HH$3=TotalApuestas!HH4,Resultado!HI$3=TotalApuestas!HI4),Resultado!HJ$5+VLOOKUP(HJ$4&amp;"bonus",Aux!$AD$1:$AE$46,2,0),IF(HJ$3=TotalApuestas!HJ4,HJ$5,0)))</f>
        <v>0</v>
      </c>
      <c r="HK9" s="75">
        <f>IF($B9=0,0,IF(HK$3=TotalApuestas!HK4,HK$5,0))</f>
        <v>0</v>
      </c>
      <c r="HL9" s="75">
        <f>IF($B9=0,0,IF(HL$3=TotalApuestas!HL4,HL$5,0))</f>
        <v>0</v>
      </c>
      <c r="HM9" s="75">
        <f>IF($B9=0,0,IF(AND(HK$3=TotalApuestas!HK4,Resultado!HL$3=TotalApuestas!HL4),Resultado!HM$5+VLOOKUP(HM$4&amp;"bonus",Aux!$AD$1:$AE$46,2,0),IF(HM$3=TotalApuestas!HM4,HM$5,0)))</f>
        <v>0</v>
      </c>
      <c r="HN9" s="75">
        <f>IF($B9=0,0,IF(HN$3=TotalApuestas!HN4,HN$5,0))</f>
        <v>0</v>
      </c>
      <c r="HO9" s="75">
        <f>IF($B9=0,0,IF(HO$3=TotalApuestas!HO4,HO$5,0))</f>
        <v>0</v>
      </c>
      <c r="HP9" s="75">
        <f>IF($B9=0,0,IF(AND(HN$3=TotalApuestas!HN4,Resultado!HO$3=TotalApuestas!HO4),Resultado!HP$5+VLOOKUP(HP$4&amp;"bonus",Aux!$AD$1:$AE$46,2,0),IF(HP$3=TotalApuestas!HP4,HP$5,0)))</f>
        <v>0</v>
      </c>
    </row>
    <row r="10" spans="2:224" x14ac:dyDescent="0.25">
      <c r="B10">
        <f>+TotalApuestas!B5</f>
        <v>0</v>
      </c>
      <c r="E10" s="75">
        <f>IF($B10=0,0,IF(E$3=TotalApuestas!E5,E$5,0))</f>
        <v>0</v>
      </c>
      <c r="F10" s="75">
        <f>IF($B10=0,0,IF(F$3=TotalApuestas!F5,F$5,0))</f>
        <v>0</v>
      </c>
      <c r="G10" s="75">
        <f>IF($B10=0,0,IF(AND(E$3=TotalApuestas!E5,Resultado!F$3=TotalApuestas!F5),Resultado!G$5+VLOOKUP(G$4&amp;"bonus",Aux!$AD$1:$AE$46,2,0),IF(G$3=TotalApuestas!G5,G$5,0)))</f>
        <v>0</v>
      </c>
      <c r="H10" s="75">
        <f>IF($B10=0,0,IF(H$3=TotalApuestas!H5,H$5,0))</f>
        <v>0</v>
      </c>
      <c r="I10" s="75">
        <f>IF($B10=0,0,IF(I$3=TotalApuestas!I5,I$5,0))</f>
        <v>0</v>
      </c>
      <c r="J10" s="75">
        <f>IF($B10=0,0,IF(AND(H$3=TotalApuestas!H5,Resultado!I$3=TotalApuestas!I5),Resultado!J$5+VLOOKUP(J$4&amp;"bonus",Aux!$AD$1:$AE$46,2,0),IF(J$3=TotalApuestas!J5,J$5,0)))</f>
        <v>0</v>
      </c>
      <c r="K10" s="75">
        <f>IF($B10=0,0,IF(K$3=TotalApuestas!K5,K$5,0))</f>
        <v>0</v>
      </c>
      <c r="L10" s="75">
        <f>IF($B10=0,0,IF(L$3=TotalApuestas!L5,L$5,0))</f>
        <v>0</v>
      </c>
      <c r="M10" s="75">
        <f>IF($B10=0,0,IF(AND(K$3=TotalApuestas!K5,Resultado!L$3=TotalApuestas!L5),Resultado!M$5+VLOOKUP(M$4&amp;"bonus",Aux!$AD$1:$AE$46,2,0),IF(M$3=TotalApuestas!M5,M$5,0)))</f>
        <v>0</v>
      </c>
      <c r="N10" s="75">
        <f>IF($B10=0,0,IF(N$3=TotalApuestas!N5,N$5,0))</f>
        <v>0</v>
      </c>
      <c r="O10" s="75">
        <f>IF($B10=0,0,IF(O$3=TotalApuestas!O5,O$5,0))</f>
        <v>0</v>
      </c>
      <c r="P10" s="75">
        <f>IF($B10=0,0,IF(AND(N$3=TotalApuestas!N5,Resultado!O$3=TotalApuestas!O5),Resultado!P$5+VLOOKUP(P$4&amp;"bonus",Aux!$AD$1:$AE$46,2,0),IF(P$3=TotalApuestas!P5,P$5,0)))</f>
        <v>0</v>
      </c>
      <c r="Q10" s="75">
        <f>IF($B10=0,0,IF(Q$3=TotalApuestas!Q5,Q$5,0))</f>
        <v>0</v>
      </c>
      <c r="R10" s="75">
        <f>IF($B10=0,0,IF(R$3=TotalApuestas!R5,R$5,0))</f>
        <v>0</v>
      </c>
      <c r="S10" s="75">
        <f>IF($B10=0,0,IF(AND(Q$3=TotalApuestas!Q5,Resultado!R$3=TotalApuestas!R5),Resultado!S$5+VLOOKUP(S$4&amp;"bonus",Aux!$AD$1:$AE$46,2,0),IF(S$3=TotalApuestas!S5,S$5,0)))</f>
        <v>0</v>
      </c>
      <c r="T10" s="75">
        <f>IF($B10=0,0,IF(T$3=TotalApuestas!T5,T$5,0))</f>
        <v>0</v>
      </c>
      <c r="U10" s="75">
        <f>IF($B10=0,0,IF(U$3=TotalApuestas!U5,U$5,0))</f>
        <v>0</v>
      </c>
      <c r="V10" s="75">
        <f>IF($B10=0,0,IF(AND(T$3=TotalApuestas!T5,Resultado!U$3=TotalApuestas!U5),Resultado!V$5+VLOOKUP(V$4&amp;"bonus",Aux!$AD$1:$AE$46,2,0),IF(V$3=TotalApuestas!V5,V$5,0)))</f>
        <v>0</v>
      </c>
      <c r="W10" s="75">
        <f>IF($B10=0,0,IF(W$3=TotalApuestas!W5,W$5,0))</f>
        <v>0</v>
      </c>
      <c r="X10" s="75">
        <f>IF($B10=0,0,IF(X$3=TotalApuestas!X5,X$5,0))</f>
        <v>0</v>
      </c>
      <c r="Y10" s="75">
        <f>IF($B10=0,0,IF(AND(W$3=TotalApuestas!W5,Resultado!X$3=TotalApuestas!X5),Resultado!Y$5+VLOOKUP(Y$4&amp;"bonus",Aux!$AD$1:$AE$46,2,0),IF(Y$3=TotalApuestas!Y5,Y$5,0)))</f>
        <v>0</v>
      </c>
      <c r="Z10" s="75">
        <f>IF($B10=0,0,IF(Z$3=TotalApuestas!Z5,Z$5,0))</f>
        <v>0</v>
      </c>
      <c r="AA10" s="75">
        <f>IF($B10=0,0,IF(AA$3=TotalApuestas!AA5,AA$5,0))</f>
        <v>0</v>
      </c>
      <c r="AB10" s="75">
        <f>IF($B10=0,0,IF(AND(Z$3=TotalApuestas!Z5,Resultado!AA$3=TotalApuestas!AA5),Resultado!AB$5+VLOOKUP(AB$4&amp;"bonus",Aux!$AD$1:$AE$46,2,0),IF(AB$3=TotalApuestas!AB5,AB$5,0)))</f>
        <v>0</v>
      </c>
      <c r="AC10" s="75">
        <f>IF($B10=0,0,IF(AC$3=TotalApuestas!AC5,AC$5,0))</f>
        <v>0</v>
      </c>
      <c r="AD10" s="75">
        <f>IF($B10=0,0,IF(AD$3=TotalApuestas!AD5,AD$5,0))</f>
        <v>0</v>
      </c>
      <c r="AE10" s="75">
        <f>IF($B10=0,0,IF(AND(AC$3=TotalApuestas!AC5,Resultado!AD$3=TotalApuestas!AD5),Resultado!AE$5+VLOOKUP(AE$4&amp;"bonus",Aux!$AD$1:$AE$46,2,0),IF(AE$3=TotalApuestas!AE5,AE$5,0)))</f>
        <v>0</v>
      </c>
      <c r="AF10" s="75">
        <f>IF($B10=0,0,IF(AF$3=TotalApuestas!AF5,AF$5,0))</f>
        <v>0</v>
      </c>
      <c r="AG10" s="75">
        <f>IF($B10=0,0,IF(AG$3=TotalApuestas!AG5,AG$5,0))</f>
        <v>0</v>
      </c>
      <c r="AH10" s="75">
        <f>IF($B10=0,0,IF(AND(AF$3=TotalApuestas!AF5,Resultado!AG$3=TotalApuestas!AG5),Resultado!AH$5+VLOOKUP(AH$4&amp;"bonus",Aux!$AD$1:$AE$46,2,0),IF(AH$3=TotalApuestas!AH5,AH$5,0)))</f>
        <v>0</v>
      </c>
      <c r="AI10" s="75">
        <f>IF($B10=0,0,IF(AI$3=TotalApuestas!AI5,AI$5,0))</f>
        <v>0</v>
      </c>
      <c r="AJ10" s="75">
        <f>IF($B10=0,0,IF(AJ$3=TotalApuestas!AJ5,AJ$5,0))</f>
        <v>0</v>
      </c>
      <c r="AK10" s="75">
        <f>IF($B10=0,0,IF(AND(AI$3=TotalApuestas!AI5,Resultado!AJ$3=TotalApuestas!AJ5),Resultado!AK$5+VLOOKUP(AK$4&amp;"bonus",Aux!$AD$1:$AE$46,2,0),IF(AK$3=TotalApuestas!AK5,AK$5,0)))</f>
        <v>0</v>
      </c>
      <c r="AL10" s="75">
        <f>IF($B10=0,0,IF(AL$3=TotalApuestas!AL5,AL$5,0))</f>
        <v>0</v>
      </c>
      <c r="AM10" s="75">
        <f>IF($B10=0,0,IF(AM$3=TotalApuestas!AM5,AM$5,0))</f>
        <v>0</v>
      </c>
      <c r="AN10" s="75">
        <f>IF($B10=0,0,IF(AND(AL$3=TotalApuestas!AL5,Resultado!AM$3=TotalApuestas!AM5),Resultado!AN$5+VLOOKUP(AN$4&amp;"bonus",Aux!$AD$1:$AE$46,2,0),IF(AN$3=TotalApuestas!AN5,AN$5,0)))</f>
        <v>0</v>
      </c>
      <c r="AO10" s="75">
        <f>IF($B10=0,0,IF(AO$3=TotalApuestas!AO5,AO$5,0))</f>
        <v>0</v>
      </c>
      <c r="AP10" s="75">
        <f>IF($B10=0,0,IF(AP$3=TotalApuestas!AP5,AP$5,0))</f>
        <v>0</v>
      </c>
      <c r="AQ10" s="75">
        <f>IF($B10=0,0,IF(AND(AO$3=TotalApuestas!AO5,Resultado!AP$3=TotalApuestas!AP5),Resultado!AQ$5+VLOOKUP(AQ$4&amp;"bonus",Aux!$AD$1:$AE$46,2,0),IF(AQ$3=TotalApuestas!AQ5,AQ$5,0)))</f>
        <v>0</v>
      </c>
      <c r="AR10" s="75">
        <f>IF($B10=0,0,IF(AR$3=TotalApuestas!AR5,AR$5,0))</f>
        <v>0</v>
      </c>
      <c r="AS10" s="75">
        <f>IF($B10=0,0,IF(AS$3=TotalApuestas!AS5,AS$5,0))</f>
        <v>0</v>
      </c>
      <c r="AT10" s="75">
        <f>IF($B10=0,0,IF(AND(AR$3=TotalApuestas!AR5,Resultado!AS$3=TotalApuestas!AS5),Resultado!AT$5+VLOOKUP(AT$4&amp;"bonus",Aux!$AD$1:$AE$46,2,0),IF(AT$3=TotalApuestas!AT5,AT$5,0)))</f>
        <v>0</v>
      </c>
      <c r="AU10" s="75">
        <f>IF($B10=0,0,IF(AU$3=TotalApuestas!AU5,AU$5,0))</f>
        <v>0</v>
      </c>
      <c r="AV10" s="75">
        <f>IF($B10=0,0,IF(AV$3=TotalApuestas!AV5,AV$5,0))</f>
        <v>0</v>
      </c>
      <c r="AW10" s="75">
        <f>IF($B10=0,0,IF(AND(AU$3=TotalApuestas!AU5,Resultado!AV$3=TotalApuestas!AV5),Resultado!AW$5+VLOOKUP(AW$4&amp;"bonus",Aux!$AD$1:$AE$46,2,0),IF(AW$3=TotalApuestas!AW5,AW$5,0)))</f>
        <v>0</v>
      </c>
      <c r="AX10" s="75">
        <f>IF($B10=0,0,IF(AX$3=TotalApuestas!AX5,AX$5,0))</f>
        <v>0</v>
      </c>
      <c r="AY10" s="75">
        <f>IF($B10=0,0,IF(AY$3=TotalApuestas!AY5,AY$5,0))</f>
        <v>0</v>
      </c>
      <c r="AZ10" s="75">
        <f>IF($B10=0,0,IF(AND(AX$3=TotalApuestas!AX5,Resultado!AY$3=TotalApuestas!AY5),Resultado!AZ$5+VLOOKUP(AZ$4&amp;"bonus",Aux!$AD$1:$AE$46,2,0),IF(AZ$3=TotalApuestas!AZ5,AZ$5,0)))</f>
        <v>0</v>
      </c>
      <c r="BA10" s="75">
        <f>IF($B10=0,0,IF(BA$3=TotalApuestas!BA5,BA$5,0))</f>
        <v>0</v>
      </c>
      <c r="BB10" s="75">
        <f>IF($B10=0,0,IF(BB$3=TotalApuestas!BB5,BB$5,0))</f>
        <v>0</v>
      </c>
      <c r="BC10" s="75">
        <f>IF($B10=0,0,IF(AND(BA$3=TotalApuestas!BA5,Resultado!BB$3=TotalApuestas!BB5),Resultado!BC$5+VLOOKUP(BC$4&amp;"bonus",Aux!$AD$1:$AE$46,2,0),IF(BC$3=TotalApuestas!BC5,BC$5,0)))</f>
        <v>0</v>
      </c>
      <c r="BD10" s="75">
        <f>IF($B10=0,0,IF(BD$3=TotalApuestas!BD5,BD$5,0))</f>
        <v>0</v>
      </c>
      <c r="BE10" s="75">
        <f>IF($B10=0,0,IF(BE$3=TotalApuestas!BE5,BE$5,0))</f>
        <v>0</v>
      </c>
      <c r="BF10" s="75">
        <f>IF($B10=0,0,IF(AND(BD$3=TotalApuestas!BD5,Resultado!BE$3=TotalApuestas!BE5),Resultado!BF$5+VLOOKUP(BF$4&amp;"bonus",Aux!$AD$1:$AE$46,2,0),IF(BF$3=TotalApuestas!BF5,BF$5,0)))</f>
        <v>0</v>
      </c>
      <c r="BG10" s="75">
        <f>IF($B10=0,0,IF(BG$3=TotalApuestas!BG5,BG$5,0))</f>
        <v>0</v>
      </c>
      <c r="BH10" s="75">
        <f>IF($B10=0,0,IF(BH$3=TotalApuestas!BH5,BH$5,0))</f>
        <v>0</v>
      </c>
      <c r="BI10" s="75">
        <f>IF($B10=0,0,IF(AND(BG$3=TotalApuestas!BG5,Resultado!BH$3=TotalApuestas!BH5),Resultado!BI$5+VLOOKUP(BI$4&amp;"bonus",Aux!$AD$1:$AE$46,2,0),IF(BI$3=TotalApuestas!BI5,BI$5,0)))</f>
        <v>0</v>
      </c>
      <c r="BJ10" s="75">
        <f>IF($B10=0,0,IF(BJ$3=TotalApuestas!BJ5,BJ$5,0))</f>
        <v>0</v>
      </c>
      <c r="BK10" s="75">
        <f>IF($B10=0,0,IF(BK$3=TotalApuestas!BK5,BK$5,0))</f>
        <v>0</v>
      </c>
      <c r="BL10" s="75">
        <f>IF($B10=0,0,IF(AND(BJ$3=TotalApuestas!BJ5,Resultado!BK$3=TotalApuestas!BK5),Resultado!BL$5+VLOOKUP(BL$4&amp;"bonus",Aux!$AD$1:$AE$46,2,0),IF(BL$3=TotalApuestas!BL5,BL$5,0)))</f>
        <v>0</v>
      </c>
      <c r="BM10" s="75">
        <f>IF($B10=0,0,IF(BM$3=TotalApuestas!BM5,BM$5,0))</f>
        <v>0</v>
      </c>
      <c r="BN10" s="75">
        <f>IF($B10=0,0,IF(BN$3=TotalApuestas!BN5,BN$5,0))</f>
        <v>0</v>
      </c>
      <c r="BO10" s="75">
        <f>IF($B10=0,0,IF(AND(BM$3=TotalApuestas!BM5,Resultado!BN$3=TotalApuestas!BN5),Resultado!BO$5+VLOOKUP(BO$4&amp;"bonus",Aux!$AD$1:$AE$46,2,0),IF(BO$3=TotalApuestas!BO5,BO$5,0)))</f>
        <v>0</v>
      </c>
      <c r="BP10" s="75">
        <f>IF($B10=0,0,IF(BP$3=TotalApuestas!BP5,BP$5,0))</f>
        <v>0</v>
      </c>
      <c r="BQ10" s="75">
        <f>IF($B10=0,0,IF(BQ$3=TotalApuestas!BQ5,BQ$5,0))</f>
        <v>0</v>
      </c>
      <c r="BR10" s="75">
        <f>IF($B10=0,0,IF(AND(BP$3=TotalApuestas!BP5,Resultado!BQ$3=TotalApuestas!BQ5),Resultado!BR$5+VLOOKUP(BR$4&amp;"bonus",Aux!$AD$1:$AE$46,2,0),IF(BR$3=TotalApuestas!BR5,BR$5,0)))</f>
        <v>0</v>
      </c>
      <c r="BS10" s="75">
        <f>IF($B10=0,0,IF(BS$3=TotalApuestas!BS5,BS$5,0))</f>
        <v>0</v>
      </c>
      <c r="BT10" s="75">
        <f>IF($B10=0,0,IF(BT$3=TotalApuestas!BT5,BT$5,0))</f>
        <v>0</v>
      </c>
      <c r="BU10" s="75">
        <f>IF($B10=0,0,IF(AND(BS$3=TotalApuestas!BS5,Resultado!BT$3=TotalApuestas!BT5),Resultado!BU$5+VLOOKUP(BU$4&amp;"bonus",Aux!$AD$1:$AE$46,2,0),IF(BU$3=TotalApuestas!BU5,BU$5,0)))</f>
        <v>0</v>
      </c>
      <c r="BV10" s="75">
        <f>IF($B10=0,0,IF(BV$3=TotalApuestas!BV5,BV$5,0))</f>
        <v>0</v>
      </c>
      <c r="BW10" s="75">
        <f>IF($B10=0,0,IF(BW$3=TotalApuestas!BW5,BW$5,0))</f>
        <v>0</v>
      </c>
      <c r="BX10" s="75">
        <f>IF($B10=0,0,IF(AND(BV$3=TotalApuestas!BV5,Resultado!BW$3=TotalApuestas!BW5),Resultado!BX$5+VLOOKUP(BX$4&amp;"bonus",Aux!$AD$1:$AE$46,2,0),IF(BX$3=TotalApuestas!BX5,BX$5,0)))</f>
        <v>0</v>
      </c>
      <c r="BY10" s="75">
        <f>IF($B10=0,0,IF(BY$3=TotalApuestas!BY5,BY$5,0))</f>
        <v>0</v>
      </c>
      <c r="BZ10" s="75">
        <f>IF($B10=0,0,IF(BZ$3=TotalApuestas!BZ5,BZ$5,0))</f>
        <v>0</v>
      </c>
      <c r="CA10" s="75">
        <f>IF($B10=0,0,IF(AND(BY$3=TotalApuestas!BY5,Resultado!BZ$3=TotalApuestas!BZ5),Resultado!CA$5+VLOOKUP(CA$4&amp;"bonus",Aux!$AD$1:$AE$46,2,0),IF(CA$3=TotalApuestas!CA5,CA$5,0)))</f>
        <v>0</v>
      </c>
      <c r="CB10" s="75">
        <f>IF($B10=0,0,IF(CB$3=TotalApuestas!CB5,CB$5,0))</f>
        <v>0</v>
      </c>
      <c r="CC10" s="75">
        <f>IF($B10=0,0,IF(CC$3=TotalApuestas!CC5,CC$5,0))</f>
        <v>0</v>
      </c>
      <c r="CD10" s="75">
        <f>IF($B10=0,0,IF(AND(CB$3=TotalApuestas!CB5,Resultado!CC$3=TotalApuestas!CC5),Resultado!CD$5+VLOOKUP(CD$4&amp;"bonus",Aux!$AD$1:$AE$46,2,0),IF(CD$3=TotalApuestas!CD5,CD$5,0)))</f>
        <v>0</v>
      </c>
      <c r="CE10" s="75">
        <f>IF($B10=0,0,IF(CE$3=TotalApuestas!CE5,CE$5,0))</f>
        <v>0</v>
      </c>
      <c r="CF10" s="75">
        <f>IF($B10=0,0,IF(CF$3=TotalApuestas!CF5,CF$5,0))</f>
        <v>0</v>
      </c>
      <c r="CG10" s="75">
        <f>IF($B10=0,0,IF(AND(CE$3=TotalApuestas!CE5,Resultado!CF$3=TotalApuestas!CF5),Resultado!CG$5+VLOOKUP(CG$4&amp;"bonus",Aux!$AD$1:$AE$46,2,0),IF(CG$3=TotalApuestas!CG5,CG$5,0)))</f>
        <v>0</v>
      </c>
      <c r="CH10" s="75">
        <f>IF($B10=0,0,IF(CH$3=TotalApuestas!CH5,CH$5,0))</f>
        <v>0</v>
      </c>
      <c r="CI10" s="75">
        <f>IF($B10=0,0,IF(CI$3=TotalApuestas!CI5,CI$5,0))</f>
        <v>0</v>
      </c>
      <c r="CJ10" s="75">
        <f>IF($B10=0,0,IF(AND(CH$3=TotalApuestas!CH5,Resultado!CI$3=TotalApuestas!CI5),Resultado!CJ$5+VLOOKUP(CJ$4&amp;"bonus",Aux!$AD$1:$AE$46,2,0),IF(CJ$3=TotalApuestas!CJ5,CJ$5,0)))</f>
        <v>0</v>
      </c>
      <c r="CK10" s="75">
        <f>IF($B10=0,0,IF(CK$3=TotalApuestas!CK5,CK$5,0))</f>
        <v>0</v>
      </c>
      <c r="CL10" s="75">
        <f>IF($B10=0,0,IF(CL$3=TotalApuestas!CL5,CL$5,0))</f>
        <v>0</v>
      </c>
      <c r="CM10" s="75">
        <f>IF($B10=0,0,IF(AND(CK$3=TotalApuestas!CK5,Resultado!CL$3=TotalApuestas!CL5),Resultado!CM$5+VLOOKUP(CM$4&amp;"bonus",Aux!$AD$1:$AE$46,2,0),IF(CM$3=TotalApuestas!CM5,CM$5,0)))</f>
        <v>0</v>
      </c>
      <c r="CN10" s="75">
        <f>IF($B10=0,0,IF(CN$3=TotalApuestas!CN5,CN$5,0))</f>
        <v>0</v>
      </c>
      <c r="CO10" s="75">
        <f>IF($B10=0,0,IF(CO$3=TotalApuestas!CO5,CO$5,0))</f>
        <v>0</v>
      </c>
      <c r="CP10" s="75">
        <f>IF($B10=0,0,IF(AND(CN$3=TotalApuestas!CN5,Resultado!CO$3=TotalApuestas!CO5),Resultado!CP$5+VLOOKUP(CP$4&amp;"bonus",Aux!$AD$1:$AE$46,2,0),IF(CP$3=TotalApuestas!CP5,CP$5,0)))</f>
        <v>0</v>
      </c>
      <c r="CQ10" s="75">
        <f>IF($B10=0,0,IF(CQ$3=TotalApuestas!CQ5,CQ$5,0))</f>
        <v>0</v>
      </c>
      <c r="CR10" s="75">
        <f>IF($B10=0,0,IF(CR$3=TotalApuestas!CR5,CR$5,0))</f>
        <v>0</v>
      </c>
      <c r="CS10" s="75">
        <f>IF($B10=0,0,IF(AND(CQ$3=TotalApuestas!CQ5,Resultado!CR$3=TotalApuestas!CR5),Resultado!CS$5+VLOOKUP(CS$4&amp;"bonus",Aux!$AD$1:$AE$46,2,0),IF(CS$3=TotalApuestas!CS5,CS$5,0)))</f>
        <v>0</v>
      </c>
      <c r="CT10" s="75">
        <f>IF($B10=0,0,IF(CT$3=TotalApuestas!CT5,CT$5,0))</f>
        <v>0</v>
      </c>
      <c r="CU10" s="75">
        <f>IF($B10=0,0,IF(CU$3=TotalApuestas!CU5,CU$5,0))</f>
        <v>0</v>
      </c>
      <c r="CV10" s="75">
        <f>IF($B10=0,0,IF(AND(CT$3=TotalApuestas!CT5,Resultado!CU$3=TotalApuestas!CU5),Resultado!CV$5+VLOOKUP(CV$4&amp;"bonus",Aux!$AD$1:$AE$46,2,0),IF(CV$3=TotalApuestas!CV5,CV$5,0)))</f>
        <v>0</v>
      </c>
      <c r="CW10" s="75">
        <f>IF($B10=0,0,IF(CW$3=TotalApuestas!CW5,CW$5,0))</f>
        <v>0</v>
      </c>
      <c r="CX10" s="75">
        <f>IF($B10=0,0,IF(CX$3=TotalApuestas!CX5,CX$5,0))</f>
        <v>0</v>
      </c>
      <c r="CY10" s="75">
        <f>IF($B10=0,0,IF(AND(CW$3=TotalApuestas!CW5,Resultado!CX$3=TotalApuestas!CX5),Resultado!CY$5+VLOOKUP(CY$4&amp;"bonus",Aux!$AD$1:$AE$46,2,0),IF(CY$3=TotalApuestas!CY5,CY$5,0)))</f>
        <v>0</v>
      </c>
      <c r="CZ10" s="75">
        <f>IF($B10=0,0,IF(CZ$3=TotalApuestas!CZ5,CZ$5,0))</f>
        <v>0</v>
      </c>
      <c r="DA10" s="75">
        <f>IF($B10=0,0,IF(DA$3=TotalApuestas!DA5,DA$5,0))</f>
        <v>0</v>
      </c>
      <c r="DB10" s="75">
        <f>IF($B10=0,0,IF(AND(CZ$3=TotalApuestas!CZ5,Resultado!DA$3=TotalApuestas!DA5),Resultado!DB$5+VLOOKUP(DB$4&amp;"bonus",Aux!$AD$1:$AE$46,2,0),IF(DB$3=TotalApuestas!DB5,DB$5,0)))</f>
        <v>0</v>
      </c>
      <c r="DC10" s="75">
        <f>IF($B10=0,0,IF(DC$3=TotalApuestas!DC5,DC$5,0))</f>
        <v>0</v>
      </c>
      <c r="DD10" s="75">
        <f>IF($B10=0,0,IF(DD$3=TotalApuestas!DD5,DD$5,0))</f>
        <v>0</v>
      </c>
      <c r="DE10" s="75">
        <f>IF($B10=0,0,IF(AND(DC$3=TotalApuestas!DC5,Resultado!DD$3=TotalApuestas!DD5),Resultado!DE$5+VLOOKUP(DE$4&amp;"bonus",Aux!$AD$1:$AE$46,2,0),IF(DE$3=TotalApuestas!DE5,DE$5,0)))</f>
        <v>0</v>
      </c>
      <c r="DF10" s="75">
        <f>IF($B10=0,0,IF(DF$3=TotalApuestas!DF5,DF$5,0))</f>
        <v>0</v>
      </c>
      <c r="DG10" s="75">
        <f>IF($B10=0,0,IF(DG$3=TotalApuestas!DG5,DG$5,0))</f>
        <v>0</v>
      </c>
      <c r="DH10" s="75">
        <f>IF($B10=0,0,IF(AND(DF$3=TotalApuestas!DF5,Resultado!DG$3=TotalApuestas!DG5),Resultado!DH$5+VLOOKUP(DH$4&amp;"bonus",Aux!$AD$1:$AE$46,2,0),IF(DH$3=TotalApuestas!DH5,DH$5,0)))</f>
        <v>0</v>
      </c>
      <c r="DI10" s="75">
        <f>IF($B10=0,0,IF(DI$3=TotalApuestas!DI5,DI$5,0))</f>
        <v>0</v>
      </c>
      <c r="DJ10" s="75">
        <f>IF($B10=0,0,IF(DJ$3=TotalApuestas!DJ5,DJ$5,0))</f>
        <v>0</v>
      </c>
      <c r="DK10" s="75">
        <f>IF($B10=0,0,IF(AND(DI$3=TotalApuestas!DI5,Resultado!DJ$3=TotalApuestas!DJ5),Resultado!DK$5+VLOOKUP(DK$4&amp;"bonus",Aux!$AD$1:$AE$46,2,0),IF(DK$3=TotalApuestas!DK5,DK$5,0)))</f>
        <v>0</v>
      </c>
      <c r="DL10" s="75">
        <f>IF($B10=0,0,IF(DL$3=TotalApuestas!DL5,DL$5,0))</f>
        <v>0</v>
      </c>
      <c r="DM10" s="75">
        <f>IF($B10=0,0,IF(DM$3=TotalApuestas!DM5,DM$5,0))</f>
        <v>0</v>
      </c>
      <c r="DN10" s="75">
        <f>IF($B10=0,0,IF(AND(DL$3=TotalApuestas!DL5,Resultado!DM$3=TotalApuestas!DM5),Resultado!DN$5+VLOOKUP(DN$4&amp;"bonus",Aux!$AD$1:$AE$46,2,0),IF(DN$3=TotalApuestas!DN5,DN$5,0)))</f>
        <v>0</v>
      </c>
      <c r="DO10" s="75">
        <f>IF($B10=0,0,IF(DO$3=TotalApuestas!DO5,DO$5,0))</f>
        <v>0</v>
      </c>
      <c r="DP10" s="75">
        <f>IF($B10=0,0,IF(DP$3=TotalApuestas!DP5,DP$5,0))</f>
        <v>0</v>
      </c>
      <c r="DQ10" s="75">
        <f>IF($B10=0,0,IF(AND(DO$3=TotalApuestas!DO5,Resultado!DP$3=TotalApuestas!DP5),Resultado!DQ$5+VLOOKUP(DQ$4&amp;"bonus",Aux!$AD$1:$AE$46,2,0),IF(DQ$3=TotalApuestas!DQ5,DQ$5,0)))</f>
        <v>0</v>
      </c>
      <c r="DR10" s="75">
        <f>IF($B10=0,0,IF(DR$3=TotalApuestas!DR5,DR$5,0))</f>
        <v>0</v>
      </c>
      <c r="DS10" s="75">
        <f>IF($B10=0,0,IF(DS$3=TotalApuestas!DS5,DS$5,0))</f>
        <v>0</v>
      </c>
      <c r="DT10" s="75">
        <f>IF($B10=0,0,IF(AND(DR$3=TotalApuestas!DR5,Resultado!DS$3=TotalApuestas!DS5),Resultado!DT$5+VLOOKUP(DT$4&amp;"bonus",Aux!$AD$1:$AE$46,2,0),IF(DT$3=TotalApuestas!DT5,DT$5,0)))</f>
        <v>0</v>
      </c>
      <c r="DU10" s="75">
        <f>IF($B10=0,0,IF(DU$3=TotalApuestas!DU5,DU$5,0))</f>
        <v>0</v>
      </c>
      <c r="DV10" s="75">
        <f>IF($B10=0,0,IF(DV$3=TotalApuestas!DV5,DV$5,0))</f>
        <v>0</v>
      </c>
      <c r="DW10" s="75">
        <f>IF($B10=0,0,IF(AND(DU$3=TotalApuestas!DU5,Resultado!DV$3=TotalApuestas!DV5),Resultado!DW$5+VLOOKUP(DW$4&amp;"bonus",Aux!$AD$1:$AE$46,2,0),IF(DW$3=TotalApuestas!DW5,DW$5,0)))</f>
        <v>0</v>
      </c>
      <c r="DX10" s="75">
        <f>IF($B10=0,0,IF(DX$3=TotalApuestas!DX5,DX$5,0))</f>
        <v>0</v>
      </c>
      <c r="DY10" s="75">
        <f>IF($B10=0,0,IF(DY$3=TotalApuestas!DY5,DY$5,0))</f>
        <v>0</v>
      </c>
      <c r="DZ10" s="75">
        <f>IF($B10=0,0,IF(AND(DX$3=TotalApuestas!DX5,Resultado!DY$3=TotalApuestas!DY5),Resultado!DZ$5+VLOOKUP(DZ$4&amp;"bonus",Aux!$AD$1:$AE$46,2,0),IF(DZ$3=TotalApuestas!DZ5,DZ$5,0)))</f>
        <v>0</v>
      </c>
      <c r="EA10" s="75">
        <f>IF($B10=0,0,IF(EA$3=TotalApuestas!EA5,EA$5,0))</f>
        <v>0</v>
      </c>
      <c r="EB10" s="75">
        <f>IF($B10=0,0,IF(EB$3=TotalApuestas!EB5,EB$5,0))</f>
        <v>0</v>
      </c>
      <c r="EC10" s="75">
        <f>IF($B10=0,0,IF(AND(EA$3=TotalApuestas!EA5,Resultado!EB$3=TotalApuestas!EB5),Resultado!EC$5+VLOOKUP(EC$4&amp;"bonus",Aux!$AD$1:$AE$46,2,0),IF(EC$3=TotalApuestas!EC5,EC$5,0)))</f>
        <v>0</v>
      </c>
      <c r="ED10" s="75">
        <f>IF($B10=0,0,IF(ED$3=TotalApuestas!ED5,ED$5,0))</f>
        <v>0</v>
      </c>
      <c r="EE10" s="75">
        <f>IF($B10=0,0,IF(EE$3=TotalApuestas!EE5,EE$5,0))</f>
        <v>0</v>
      </c>
      <c r="EF10" s="75">
        <f>IF($B10=0,0,IF(AND(ED$3=TotalApuestas!ED5,Resultado!EE$3=TotalApuestas!EE5),Resultado!EF$5+VLOOKUP(EF$4&amp;"bonus",Aux!$AD$1:$AE$46,2,0),IF(EF$3=TotalApuestas!EF5,EF$5,0)))</f>
        <v>0</v>
      </c>
      <c r="EG10" s="75">
        <f>IF($B10=0,0,IF(EG$3=TotalApuestas!EG5,EG$5,0))</f>
        <v>0</v>
      </c>
      <c r="EH10" s="75">
        <f>IF($B10=0,0,IF(EH$3=TotalApuestas!EH5,EH$5,0))</f>
        <v>0</v>
      </c>
      <c r="EI10" s="75">
        <f>IF($B10=0,0,IF(AND(EG$3=TotalApuestas!EG5,Resultado!EH$3=TotalApuestas!EH5),Resultado!EI$5+VLOOKUP(EI$4&amp;"bonus",Aux!$AD$1:$AE$46,2,0),IF(EI$3=TotalApuestas!EI5,EI$5,0)))</f>
        <v>0</v>
      </c>
      <c r="EJ10" s="75">
        <f>IF($B10=0,0,IF(EJ$3=TotalApuestas!EJ5,EJ$5,0))</f>
        <v>0</v>
      </c>
      <c r="EK10" s="75">
        <f>IF($B10=0,0,IF(EK$3=TotalApuestas!EK5,EK$5,0))</f>
        <v>0</v>
      </c>
      <c r="EL10" s="75">
        <f>IF($B10=0,0,IF(AND(EJ$3=TotalApuestas!EJ5,Resultado!EK$3=TotalApuestas!EK5),Resultado!EL$5+VLOOKUP(EL$4&amp;"bonus",Aux!$AD$1:$AE$46,2,0),IF(EL$3=TotalApuestas!EL5,EL$5,0)))</f>
        <v>0</v>
      </c>
      <c r="EM10" s="75">
        <f>IF($B10=0,0,IF(EM$3=TotalApuestas!EM5,EM$5,0))</f>
        <v>0</v>
      </c>
      <c r="EN10" s="75">
        <f>IF($B10=0,0,IF(EN$3=TotalApuestas!EN5,EN$5,0))</f>
        <v>0</v>
      </c>
      <c r="EO10" s="75">
        <f>IF($B10=0,0,IF(AND(EM$3=TotalApuestas!EM5,Resultado!EN$3=TotalApuestas!EN5),Resultado!EO$5+VLOOKUP(EO$4&amp;"bonus",Aux!$AD$1:$AE$46,2,0),IF(EO$3=TotalApuestas!EO5,EO$5,0)))</f>
        <v>0</v>
      </c>
      <c r="EP10" s="75">
        <f>IF($B10=0,0,IF(EP$3=TotalApuestas!EP5,EP$5,0))</f>
        <v>0</v>
      </c>
      <c r="EQ10" s="75">
        <f>IF($B10=0,0,IF(EQ$3=TotalApuestas!EQ5,EQ$5,0))</f>
        <v>0</v>
      </c>
      <c r="ER10" s="75">
        <f>IF($B10=0,0,IF(AND(EP$3=TotalApuestas!EP5,Resultado!EQ$3=TotalApuestas!EQ5),Resultado!ER$5+VLOOKUP(ER$4&amp;"bonus",Aux!$AD$1:$AE$46,2,0),IF(ER$3=TotalApuestas!ER5,ER$5,0)))</f>
        <v>0</v>
      </c>
      <c r="ES10" s="75">
        <f>IF($B10=0,0,IF(ES$3=TotalApuestas!ES5,ES$5,0))</f>
        <v>0</v>
      </c>
      <c r="ET10" s="75">
        <f>IF($B10=0,0,IF(ET$3=TotalApuestas!ET5,ET$5,0))</f>
        <v>0</v>
      </c>
      <c r="EU10" s="75">
        <f>IF($B10=0,0,IF(EU$3=TotalApuestas!EU5,EU$5,0))</f>
        <v>0</v>
      </c>
      <c r="EV10" s="75">
        <f>IF($B10=0,0,IF(EV$3=TotalApuestas!EV5,EV$5,0))</f>
        <v>0</v>
      </c>
      <c r="EW10" s="75">
        <f>IF($B10=0,0,IF(EW$3=TotalApuestas!EW5,EW$5,0))</f>
        <v>0</v>
      </c>
      <c r="EX10" s="75">
        <f>IF($B10=0,0,IF(EX$3=TotalApuestas!EX5,EX$5,0))</f>
        <v>0</v>
      </c>
      <c r="EY10" s="75">
        <f>IF($B10=0,0,IF(EY$3=TotalApuestas!EY5,EY$5,0))</f>
        <v>0</v>
      </c>
      <c r="EZ10" s="75">
        <f>IF($B10=0,0,IF(EZ$3=TotalApuestas!EZ5,EZ$5,0))</f>
        <v>0</v>
      </c>
      <c r="FA10" s="75">
        <f>IF($B10=0,0,IF(FA$3=TotalApuestas!FA5,FA$5,0))</f>
        <v>0</v>
      </c>
      <c r="FB10" s="75">
        <f>IF($B10=0,0,IF(FB$3=TotalApuestas!FB5,FB$5,0))</f>
        <v>0</v>
      </c>
      <c r="FC10" s="75">
        <f>IF($B10=0,0,IF(FC$3=TotalApuestas!FC5,FC$5,0))</f>
        <v>0</v>
      </c>
      <c r="FD10" s="75">
        <f>IF($B10=0,0,IF(FD$3=TotalApuestas!FD5,FD$5,0))</f>
        <v>0</v>
      </c>
      <c r="FE10" s="75">
        <f>IF($B10=0,0,IF(FE$3=TotalApuestas!FE5,FE$5,0))</f>
        <v>0</v>
      </c>
      <c r="FF10" s="75">
        <f>IF($B10=0,0,IF(FF$3=TotalApuestas!FF5,FF$5,0))</f>
        <v>0</v>
      </c>
      <c r="FG10" s="75">
        <f>IF($B10=0,0,IF(FG$3=TotalApuestas!FG5,FG$5,0))</f>
        <v>0</v>
      </c>
      <c r="FH10" s="75">
        <f>IF($B10=0,0,IF(FH$3=TotalApuestas!FH5,FH$5,0))</f>
        <v>0</v>
      </c>
      <c r="FI10" s="75">
        <f>IF($B10=0,0,IF(FI$3=TotalApuestas!FI5,FI$5,0))</f>
        <v>0</v>
      </c>
      <c r="FJ10" s="75">
        <f>IF($B10=0,0,IF(FJ$3=TotalApuestas!FJ5,FJ$5,0))</f>
        <v>0</v>
      </c>
      <c r="FK10" s="75">
        <f>IF($B10=0,0,IF(FK$3=TotalApuestas!FK5,FK$5,0))</f>
        <v>0</v>
      </c>
      <c r="FL10" s="75">
        <f>IF($B10=0,0,IF(FL$3=TotalApuestas!FL5,FL$5,0))</f>
        <v>0</v>
      </c>
      <c r="FM10" s="75">
        <f>IF($B10=0,0,IF(FM$3=TotalApuestas!FM5,FM$5,0))</f>
        <v>0</v>
      </c>
      <c r="FN10" s="75">
        <f>IF($B10=0,0,IF(FN$3=TotalApuestas!FN5,FN$5,0))</f>
        <v>0</v>
      </c>
      <c r="FO10" s="75">
        <f>IF($B10=0,0,IF(FO$3=TotalApuestas!FO5,FO$5,0))</f>
        <v>0</v>
      </c>
      <c r="FP10" s="75">
        <f>IF($B10=0,0,IF(FP$3=TotalApuestas!FP5,FP$5,0))</f>
        <v>0</v>
      </c>
      <c r="FQ10" s="75">
        <f>IF($B10=0,0,IF(FQ$3=TotalApuestas!FQ5,FQ$5,0))</f>
        <v>0</v>
      </c>
      <c r="FR10" s="75">
        <f>IF($B10=0,0,IF(FR$3=TotalApuestas!FR5,FR$5,0))</f>
        <v>0</v>
      </c>
      <c r="FS10" s="75">
        <f>IF($B10=0,0,IF(FS$3=TotalApuestas!FS5,FS$5,0))</f>
        <v>0</v>
      </c>
      <c r="FT10" s="75">
        <f>IF($B10=0,0,IF(FT$3=TotalApuestas!FT5,FT$5,0))</f>
        <v>0</v>
      </c>
      <c r="FU10" s="75">
        <f>IF($B10=0,0,IF(FU$3=TotalApuestas!FU5,FU$5,0))</f>
        <v>0</v>
      </c>
      <c r="FV10" s="75">
        <f>IF($B10=0,0,IF(FV$3=TotalApuestas!FV5,FV$5,0))</f>
        <v>0</v>
      </c>
      <c r="FW10" s="75">
        <f>IF($B10=0,0,IF(FW$3=TotalApuestas!FW5,FW$5,0))</f>
        <v>0</v>
      </c>
      <c r="FX10" s="75">
        <f>IF($B10=0,0,IF(FX$3=TotalApuestas!FX5,FX$5,0))</f>
        <v>0</v>
      </c>
      <c r="FY10" s="75">
        <f>IF($B10=0,0,IF(FY$3=TotalApuestas!FY5,FY$5,0))</f>
        <v>0</v>
      </c>
      <c r="FZ10" s="75">
        <f>IF($B10=0,0,IF(AND(FX$3=TotalApuestas!FX5,Resultado!FY$3=TotalApuestas!FY5),Resultado!FZ$5+VLOOKUP(FZ$4&amp;"bonus",Aux!$AD$1:$AE$46,2,0),IF(FZ$3=TotalApuestas!FZ5,FZ$5,0)))</f>
        <v>0</v>
      </c>
      <c r="GA10" s="75">
        <f>IF($B10=0,0,IF(GA$3=TotalApuestas!GA5,GA$5,0))</f>
        <v>0</v>
      </c>
      <c r="GB10" s="75">
        <f>IF($B10=0,0,IF(GB$3=TotalApuestas!GB5,GB$5,0))</f>
        <v>0</v>
      </c>
      <c r="GC10" s="75">
        <f>IF($B10=0,0,IF(AND(GA$3=TotalApuestas!GA5,Resultado!GB$3=TotalApuestas!GB5),Resultado!GC$5+VLOOKUP(GC$4&amp;"bonus",Aux!$AD$1:$AE$46,2,0),IF(GC$3=TotalApuestas!GC5,GC$5,0)))</f>
        <v>0</v>
      </c>
      <c r="GD10" s="75">
        <f>IF($B10=0,0,IF(GD$3=TotalApuestas!GD5,GD$5,0))</f>
        <v>0</v>
      </c>
      <c r="GE10" s="75">
        <f>IF($B10=0,0,IF(GE$3=TotalApuestas!GE5,GE$5,0))</f>
        <v>0</v>
      </c>
      <c r="GF10" s="75">
        <f>IF($B10=0,0,IF(AND(GD$3=TotalApuestas!GD5,Resultado!GE$3=TotalApuestas!GE5),Resultado!GF$5+VLOOKUP(GF$4&amp;"bonus",Aux!$AD$1:$AE$46,2,0),IF(GF$3=TotalApuestas!GF5,GF$5,0)))</f>
        <v>0</v>
      </c>
      <c r="GG10" s="75">
        <f>IF($B10=0,0,IF(GG$3=TotalApuestas!GG5,GG$5,0))</f>
        <v>0</v>
      </c>
      <c r="GH10" s="75">
        <f>IF($B10=0,0,IF(GH$3=TotalApuestas!GH5,GH$5,0))</f>
        <v>0</v>
      </c>
      <c r="GI10" s="75">
        <f>IF($B10=0,0,IF(AND(GG$3=TotalApuestas!GG5,Resultado!GH$3=TotalApuestas!GH5),Resultado!GI$5+VLOOKUP(GI$4&amp;"bonus",Aux!$AD$1:$AE$46,2,0),IF(GI$3=TotalApuestas!GI5,GI$5,0)))</f>
        <v>0</v>
      </c>
      <c r="GJ10" s="75">
        <f>IF($B10=0,0,IF(GJ$3=TotalApuestas!GJ5,GJ$5,0))</f>
        <v>0</v>
      </c>
      <c r="GK10" s="75">
        <f>IF($B10=0,0,IF(GK$3=TotalApuestas!GK5,GK$5,0))</f>
        <v>0</v>
      </c>
      <c r="GL10" s="75">
        <f>IF($B10=0,0,IF(AND(GJ$3=TotalApuestas!GJ5,Resultado!GK$3=TotalApuestas!GK5),Resultado!GL$5+VLOOKUP(GL$4&amp;"bonus",Aux!$AD$1:$AE$46,2,0),IF(GL$3=TotalApuestas!GL5,GL$5,0)))</f>
        <v>0</v>
      </c>
      <c r="GM10" s="75">
        <f>IF($B10=0,0,IF(GM$3=TotalApuestas!GM5,GM$5,0))</f>
        <v>0</v>
      </c>
      <c r="GN10" s="75">
        <f>IF($B10=0,0,IF(GN$3=TotalApuestas!GN5,GN$5,0))</f>
        <v>0</v>
      </c>
      <c r="GO10" s="75">
        <f>IF($B10=0,0,IF(AND(GM$3=TotalApuestas!GM5,Resultado!GN$3=TotalApuestas!GN5),Resultado!GO$5+VLOOKUP(GO$4&amp;"bonus",Aux!$AD$1:$AE$46,2,0),IF(GO$3=TotalApuestas!GO5,GO$5,0)))</f>
        <v>0</v>
      </c>
      <c r="GP10" s="75">
        <f>IF($B10=0,0,IF(GP$3=TotalApuestas!GP5,GP$5,0))</f>
        <v>0</v>
      </c>
      <c r="GQ10" s="75">
        <f>IF($B10=0,0,IF(GQ$3=TotalApuestas!GQ5,GQ$5,0))</f>
        <v>0</v>
      </c>
      <c r="GR10" s="75">
        <f>IF($B10=0,0,IF(AND(GP$3=TotalApuestas!GP5,Resultado!GQ$3=TotalApuestas!GQ5),Resultado!GR$5+VLOOKUP(GR$4&amp;"bonus",Aux!$AD$1:$AE$46,2,0),IF(GR$3=TotalApuestas!GR5,GR$5,0)))</f>
        <v>0</v>
      </c>
      <c r="GS10" s="75">
        <f>IF($B10=0,0,IF(GS$3=TotalApuestas!GS5,GS$5,0))</f>
        <v>0</v>
      </c>
      <c r="GT10" s="75">
        <f>IF($B10=0,0,IF(GT$3=TotalApuestas!GT5,GT$5,0))</f>
        <v>0</v>
      </c>
      <c r="GU10" s="75">
        <f>IF($B10=0,0,IF(AND(GS$3=TotalApuestas!GS5,Resultado!GT$3=TotalApuestas!GT5),Resultado!GU$5+VLOOKUP(GU$4&amp;"bonus",Aux!$AD$1:$AE$46,2,0),IF(GU$3=TotalApuestas!GU5,GU$5,0)))</f>
        <v>0</v>
      </c>
      <c r="GV10" s="75">
        <f>IF($B10=0,0,IF(GV$3=TotalApuestas!GV5,GV$5,0))</f>
        <v>0</v>
      </c>
      <c r="GW10" s="75">
        <f>IF($B10=0,0,IF(GW$3=TotalApuestas!GW5,GW$5,0))</f>
        <v>0</v>
      </c>
      <c r="GX10" s="75">
        <f>IF($B10=0,0,IF(AND(GV$3=TotalApuestas!GV5,Resultado!GW$3=TotalApuestas!GW5),Resultado!GX$5+VLOOKUP(GX$4&amp;"bonus",Aux!$AD$1:$AE$46,2,0),IF(GX$3=TotalApuestas!GX5,GX$5,0)))</f>
        <v>0</v>
      </c>
      <c r="GY10" s="75">
        <f>IF($B10=0,0,IF(GY$3=TotalApuestas!GY5,GY$5,0))</f>
        <v>0</v>
      </c>
      <c r="GZ10" s="75">
        <f>IF($B10=0,0,IF(GZ$3=TotalApuestas!GZ5,GZ$5,0))</f>
        <v>0</v>
      </c>
      <c r="HA10" s="75">
        <f>IF($B10=0,0,IF(AND(GY$3=TotalApuestas!GY5,Resultado!GZ$3=TotalApuestas!GZ5),Resultado!HA$5+VLOOKUP(HA$4&amp;"bonus",Aux!$AD$1:$AE$46,2,0),IF(HA$3=TotalApuestas!HA5,HA$5,0)))</f>
        <v>0</v>
      </c>
      <c r="HB10" s="75">
        <f>IF($B10=0,0,IF(HB$3=TotalApuestas!HB5,HB$5,0))</f>
        <v>0</v>
      </c>
      <c r="HC10" s="75">
        <f>IF($B10=0,0,IF(HC$3=TotalApuestas!HC5,HC$5,0))</f>
        <v>0</v>
      </c>
      <c r="HD10" s="75">
        <f>IF($B10=0,0,IF(AND(HB$3=TotalApuestas!HB5,Resultado!HC$3=TotalApuestas!HC5),Resultado!HD$5+VLOOKUP(HD$4&amp;"bonus",Aux!$AD$1:$AE$46,2,0),IF(HD$3=TotalApuestas!HD5,HD$5,0)))</f>
        <v>0</v>
      </c>
      <c r="HE10" s="75">
        <f>IF($B10=0,0,IF(HE$3=TotalApuestas!HE5,HE$5,0))</f>
        <v>0</v>
      </c>
      <c r="HF10" s="75">
        <f>IF($B10=0,0,IF(HF$3=TotalApuestas!HF5,HF$5,0))</f>
        <v>0</v>
      </c>
      <c r="HG10" s="75">
        <f>IF($B10=0,0,IF(AND(HE$3=TotalApuestas!HE5,Resultado!HF$3=TotalApuestas!HF5),Resultado!HG$5+VLOOKUP(HG$4&amp;"bonus",Aux!$AD$1:$AE$46,2,0),IF(HG$3=TotalApuestas!HG5,HG$5,0)))</f>
        <v>0</v>
      </c>
      <c r="HH10" s="75">
        <f>IF($B10=0,0,IF(HH$3=TotalApuestas!HH5,HH$5,0))</f>
        <v>0</v>
      </c>
      <c r="HI10" s="75">
        <f>IF($B10=0,0,IF(HI$3=TotalApuestas!HI5,HI$5,0))</f>
        <v>0</v>
      </c>
      <c r="HJ10" s="75">
        <f>IF($B10=0,0,IF(AND(HH$3=TotalApuestas!HH5,Resultado!HI$3=TotalApuestas!HI5),Resultado!HJ$5+VLOOKUP(HJ$4&amp;"bonus",Aux!$AD$1:$AE$46,2,0),IF(HJ$3=TotalApuestas!HJ5,HJ$5,0)))</f>
        <v>0</v>
      </c>
      <c r="HK10" s="75">
        <f>IF($B10=0,0,IF(HK$3=TotalApuestas!HK5,HK$5,0))</f>
        <v>0</v>
      </c>
      <c r="HL10" s="75">
        <f>IF($B10=0,0,IF(HL$3=TotalApuestas!HL5,HL$5,0))</f>
        <v>0</v>
      </c>
      <c r="HM10" s="75">
        <f>IF($B10=0,0,IF(AND(HK$3=TotalApuestas!HK5,Resultado!HL$3=TotalApuestas!HL5),Resultado!HM$5+VLOOKUP(HM$4&amp;"bonus",Aux!$AD$1:$AE$46,2,0),IF(HM$3=TotalApuestas!HM5,HM$5,0)))</f>
        <v>0</v>
      </c>
      <c r="HN10" s="75">
        <f>IF($B10=0,0,IF(HN$3=TotalApuestas!HN5,HN$5,0))</f>
        <v>0</v>
      </c>
      <c r="HO10" s="75">
        <f>IF($B10=0,0,IF(HO$3=TotalApuestas!HO5,HO$5,0))</f>
        <v>0</v>
      </c>
      <c r="HP10" s="75">
        <f>IF($B10=0,0,IF(AND(HN$3=TotalApuestas!HN5,Resultado!HO$3=TotalApuestas!HO5),Resultado!HP$5+VLOOKUP(HP$4&amp;"bonus",Aux!$AD$1:$AE$46,2,0),IF(HP$3=TotalApuestas!HP5,HP$5,0)))</f>
        <v>0</v>
      </c>
    </row>
    <row r="11" spans="2:224" x14ac:dyDescent="0.25">
      <c r="B11">
        <f>+TotalApuestas!B6</f>
        <v>0</v>
      </c>
      <c r="E11" s="75">
        <f>IF($B11=0,0,IF(E$3=TotalApuestas!E6,E$5,0))</f>
        <v>0</v>
      </c>
      <c r="F11" s="75">
        <f>IF($B11=0,0,IF(F$3=TotalApuestas!F6,F$5,0))</f>
        <v>0</v>
      </c>
      <c r="G11" s="75">
        <f>IF($B11=0,0,IF(AND(E$3=TotalApuestas!E6,Resultado!F$3=TotalApuestas!F6),Resultado!G$5+VLOOKUP(G$4&amp;"bonus",Aux!$AD$1:$AE$46,2,0),IF(G$3=TotalApuestas!G6,G$5,0)))</f>
        <v>0</v>
      </c>
      <c r="H11" s="75">
        <f>IF($B11=0,0,IF(H$3=TotalApuestas!H6,H$5,0))</f>
        <v>0</v>
      </c>
      <c r="I11" s="75">
        <f>IF($B11=0,0,IF(I$3=TotalApuestas!I6,I$5,0))</f>
        <v>0</v>
      </c>
      <c r="J11" s="75">
        <f>IF($B11=0,0,IF(AND(H$3=TotalApuestas!H6,Resultado!I$3=TotalApuestas!I6),Resultado!J$5+VLOOKUP(J$4&amp;"bonus",Aux!$AD$1:$AE$46,2,0),IF(J$3=TotalApuestas!J6,J$5,0)))</f>
        <v>0</v>
      </c>
      <c r="K11" s="75">
        <f>IF($B11=0,0,IF(K$3=TotalApuestas!K6,K$5,0))</f>
        <v>0</v>
      </c>
      <c r="L11" s="75">
        <f>IF($B11=0,0,IF(L$3=TotalApuestas!L6,L$5,0))</f>
        <v>0</v>
      </c>
      <c r="M11" s="75">
        <f>IF($B11=0,0,IF(AND(K$3=TotalApuestas!K6,Resultado!L$3=TotalApuestas!L6),Resultado!M$5+VLOOKUP(M$4&amp;"bonus",Aux!$AD$1:$AE$46,2,0),IF(M$3=TotalApuestas!M6,M$5,0)))</f>
        <v>0</v>
      </c>
      <c r="N11" s="75">
        <f>IF($B11=0,0,IF(N$3=TotalApuestas!N6,N$5,0))</f>
        <v>0</v>
      </c>
      <c r="O11" s="75">
        <f>IF($B11=0,0,IF(O$3=TotalApuestas!O6,O$5,0))</f>
        <v>0</v>
      </c>
      <c r="P11" s="75">
        <f>IF($B11=0,0,IF(AND(N$3=TotalApuestas!N6,Resultado!O$3=TotalApuestas!O6),Resultado!P$5+VLOOKUP(P$4&amp;"bonus",Aux!$AD$1:$AE$46,2,0),IF(P$3=TotalApuestas!P6,P$5,0)))</f>
        <v>0</v>
      </c>
      <c r="Q11" s="75">
        <f>IF($B11=0,0,IF(Q$3=TotalApuestas!Q6,Q$5,0))</f>
        <v>0</v>
      </c>
      <c r="R11" s="75">
        <f>IF($B11=0,0,IF(R$3=TotalApuestas!R6,R$5,0))</f>
        <v>0</v>
      </c>
      <c r="S11" s="75">
        <f>IF($B11=0,0,IF(AND(Q$3=TotalApuestas!Q6,Resultado!R$3=TotalApuestas!R6),Resultado!S$5+VLOOKUP(S$4&amp;"bonus",Aux!$AD$1:$AE$46,2,0),IF(S$3=TotalApuestas!S6,S$5,0)))</f>
        <v>0</v>
      </c>
      <c r="T11" s="75">
        <f>IF($B11=0,0,IF(T$3=TotalApuestas!T6,T$5,0))</f>
        <v>0</v>
      </c>
      <c r="U11" s="75">
        <f>IF($B11=0,0,IF(U$3=TotalApuestas!U6,U$5,0))</f>
        <v>0</v>
      </c>
      <c r="V11" s="75">
        <f>IF($B11=0,0,IF(AND(T$3=TotalApuestas!T6,Resultado!U$3=TotalApuestas!U6),Resultado!V$5+VLOOKUP(V$4&amp;"bonus",Aux!$AD$1:$AE$46,2,0),IF(V$3=TotalApuestas!V6,V$5,0)))</f>
        <v>0</v>
      </c>
      <c r="W11" s="75">
        <f>IF($B11=0,0,IF(W$3=TotalApuestas!W6,W$5,0))</f>
        <v>0</v>
      </c>
      <c r="X11" s="75">
        <f>IF($B11=0,0,IF(X$3=TotalApuestas!X6,X$5,0))</f>
        <v>0</v>
      </c>
      <c r="Y11" s="75">
        <f>IF($B11=0,0,IF(AND(W$3=TotalApuestas!W6,Resultado!X$3=TotalApuestas!X6),Resultado!Y$5+VLOOKUP(Y$4&amp;"bonus",Aux!$AD$1:$AE$46,2,0),IF(Y$3=TotalApuestas!Y6,Y$5,0)))</f>
        <v>0</v>
      </c>
      <c r="Z11" s="75">
        <f>IF($B11=0,0,IF(Z$3=TotalApuestas!Z6,Z$5,0))</f>
        <v>0</v>
      </c>
      <c r="AA11" s="75">
        <f>IF($B11=0,0,IF(AA$3=TotalApuestas!AA6,AA$5,0))</f>
        <v>0</v>
      </c>
      <c r="AB11" s="75">
        <f>IF($B11=0,0,IF(AND(Z$3=TotalApuestas!Z6,Resultado!AA$3=TotalApuestas!AA6),Resultado!AB$5+VLOOKUP(AB$4&amp;"bonus",Aux!$AD$1:$AE$46,2,0),IF(AB$3=TotalApuestas!AB6,AB$5,0)))</f>
        <v>0</v>
      </c>
      <c r="AC11" s="75">
        <f>IF($B11=0,0,IF(AC$3=TotalApuestas!AC6,AC$5,0))</f>
        <v>0</v>
      </c>
      <c r="AD11" s="75">
        <f>IF($B11=0,0,IF(AD$3=TotalApuestas!AD6,AD$5,0))</f>
        <v>0</v>
      </c>
      <c r="AE11" s="75">
        <f>IF($B11=0,0,IF(AND(AC$3=TotalApuestas!AC6,Resultado!AD$3=TotalApuestas!AD6),Resultado!AE$5+VLOOKUP(AE$4&amp;"bonus",Aux!$AD$1:$AE$46,2,0),IF(AE$3=TotalApuestas!AE6,AE$5,0)))</f>
        <v>0</v>
      </c>
      <c r="AF11" s="75">
        <f>IF($B11=0,0,IF(AF$3=TotalApuestas!AF6,AF$5,0))</f>
        <v>0</v>
      </c>
      <c r="AG11" s="75">
        <f>IF($B11=0,0,IF(AG$3=TotalApuestas!AG6,AG$5,0))</f>
        <v>0</v>
      </c>
      <c r="AH11" s="75">
        <f>IF($B11=0,0,IF(AND(AF$3=TotalApuestas!AF6,Resultado!AG$3=TotalApuestas!AG6),Resultado!AH$5+VLOOKUP(AH$4&amp;"bonus",Aux!$AD$1:$AE$46,2,0),IF(AH$3=TotalApuestas!AH6,AH$5,0)))</f>
        <v>0</v>
      </c>
      <c r="AI11" s="75">
        <f>IF($B11=0,0,IF(AI$3=TotalApuestas!AI6,AI$5,0))</f>
        <v>0</v>
      </c>
      <c r="AJ11" s="75">
        <f>IF($B11=0,0,IF(AJ$3=TotalApuestas!AJ6,AJ$5,0))</f>
        <v>0</v>
      </c>
      <c r="AK11" s="75">
        <f>IF($B11=0,0,IF(AND(AI$3=TotalApuestas!AI6,Resultado!AJ$3=TotalApuestas!AJ6),Resultado!AK$5+VLOOKUP(AK$4&amp;"bonus",Aux!$AD$1:$AE$46,2,0),IF(AK$3=TotalApuestas!AK6,AK$5,0)))</f>
        <v>0</v>
      </c>
      <c r="AL11" s="75">
        <f>IF($B11=0,0,IF(AL$3=TotalApuestas!AL6,AL$5,0))</f>
        <v>0</v>
      </c>
      <c r="AM11" s="75">
        <f>IF($B11=0,0,IF(AM$3=TotalApuestas!AM6,AM$5,0))</f>
        <v>0</v>
      </c>
      <c r="AN11" s="75">
        <f>IF($B11=0,0,IF(AND(AL$3=TotalApuestas!AL6,Resultado!AM$3=TotalApuestas!AM6),Resultado!AN$5+VLOOKUP(AN$4&amp;"bonus",Aux!$AD$1:$AE$46,2,0),IF(AN$3=TotalApuestas!AN6,AN$5,0)))</f>
        <v>0</v>
      </c>
      <c r="AO11" s="75">
        <f>IF($B11=0,0,IF(AO$3=TotalApuestas!AO6,AO$5,0))</f>
        <v>0</v>
      </c>
      <c r="AP11" s="75">
        <f>IF($B11=0,0,IF(AP$3=TotalApuestas!AP6,AP$5,0))</f>
        <v>0</v>
      </c>
      <c r="AQ11" s="75">
        <f>IF($B11=0,0,IF(AND(AO$3=TotalApuestas!AO6,Resultado!AP$3=TotalApuestas!AP6),Resultado!AQ$5+VLOOKUP(AQ$4&amp;"bonus",Aux!$AD$1:$AE$46,2,0),IF(AQ$3=TotalApuestas!AQ6,AQ$5,0)))</f>
        <v>0</v>
      </c>
      <c r="AR11" s="75">
        <f>IF($B11=0,0,IF(AR$3=TotalApuestas!AR6,AR$5,0))</f>
        <v>0</v>
      </c>
      <c r="AS11" s="75">
        <f>IF($B11=0,0,IF(AS$3=TotalApuestas!AS6,AS$5,0))</f>
        <v>0</v>
      </c>
      <c r="AT11" s="75">
        <f>IF($B11=0,0,IF(AND(AR$3=TotalApuestas!AR6,Resultado!AS$3=TotalApuestas!AS6),Resultado!AT$5+VLOOKUP(AT$4&amp;"bonus",Aux!$AD$1:$AE$46,2,0),IF(AT$3=TotalApuestas!AT6,AT$5,0)))</f>
        <v>0</v>
      </c>
      <c r="AU11" s="75">
        <f>IF($B11=0,0,IF(AU$3=TotalApuestas!AU6,AU$5,0))</f>
        <v>0</v>
      </c>
      <c r="AV11" s="75">
        <f>IF($B11=0,0,IF(AV$3=TotalApuestas!AV6,AV$5,0))</f>
        <v>0</v>
      </c>
      <c r="AW11" s="75">
        <f>IF($B11=0,0,IF(AND(AU$3=TotalApuestas!AU6,Resultado!AV$3=TotalApuestas!AV6),Resultado!AW$5+VLOOKUP(AW$4&amp;"bonus",Aux!$AD$1:$AE$46,2,0),IF(AW$3=TotalApuestas!AW6,AW$5,0)))</f>
        <v>0</v>
      </c>
      <c r="AX11" s="75">
        <f>IF($B11=0,0,IF(AX$3=TotalApuestas!AX6,AX$5,0))</f>
        <v>0</v>
      </c>
      <c r="AY11" s="75">
        <f>IF($B11=0,0,IF(AY$3=TotalApuestas!AY6,AY$5,0))</f>
        <v>0</v>
      </c>
      <c r="AZ11" s="75">
        <f>IF($B11=0,0,IF(AND(AX$3=TotalApuestas!AX6,Resultado!AY$3=TotalApuestas!AY6),Resultado!AZ$5+VLOOKUP(AZ$4&amp;"bonus",Aux!$AD$1:$AE$46,2,0),IF(AZ$3=TotalApuestas!AZ6,AZ$5,0)))</f>
        <v>0</v>
      </c>
      <c r="BA11" s="75">
        <f>IF($B11=0,0,IF(BA$3=TotalApuestas!BA6,BA$5,0))</f>
        <v>0</v>
      </c>
      <c r="BB11" s="75">
        <f>IF($B11=0,0,IF(BB$3=TotalApuestas!BB6,BB$5,0))</f>
        <v>0</v>
      </c>
      <c r="BC11" s="75">
        <f>IF($B11=0,0,IF(AND(BA$3=TotalApuestas!BA6,Resultado!BB$3=TotalApuestas!BB6),Resultado!BC$5+VLOOKUP(BC$4&amp;"bonus",Aux!$AD$1:$AE$46,2,0),IF(BC$3=TotalApuestas!BC6,BC$5,0)))</f>
        <v>0</v>
      </c>
      <c r="BD11" s="75">
        <f>IF($B11=0,0,IF(BD$3=TotalApuestas!BD6,BD$5,0))</f>
        <v>0</v>
      </c>
      <c r="BE11" s="75">
        <f>IF($B11=0,0,IF(BE$3=TotalApuestas!BE6,BE$5,0))</f>
        <v>0</v>
      </c>
      <c r="BF11" s="75">
        <f>IF($B11=0,0,IF(AND(BD$3=TotalApuestas!BD6,Resultado!BE$3=TotalApuestas!BE6),Resultado!BF$5+VLOOKUP(BF$4&amp;"bonus",Aux!$AD$1:$AE$46,2,0),IF(BF$3=TotalApuestas!BF6,BF$5,0)))</f>
        <v>0</v>
      </c>
      <c r="BG11" s="75">
        <f>IF($B11=0,0,IF(BG$3=TotalApuestas!BG6,BG$5,0))</f>
        <v>0</v>
      </c>
      <c r="BH11" s="75">
        <f>IF($B11=0,0,IF(BH$3=TotalApuestas!BH6,BH$5,0))</f>
        <v>0</v>
      </c>
      <c r="BI11" s="75">
        <f>IF($B11=0,0,IF(AND(BG$3=TotalApuestas!BG6,Resultado!BH$3=TotalApuestas!BH6),Resultado!BI$5+VLOOKUP(BI$4&amp;"bonus",Aux!$AD$1:$AE$46,2,0),IF(BI$3=TotalApuestas!BI6,BI$5,0)))</f>
        <v>0</v>
      </c>
      <c r="BJ11" s="75">
        <f>IF($B11=0,0,IF(BJ$3=TotalApuestas!BJ6,BJ$5,0))</f>
        <v>0</v>
      </c>
      <c r="BK11" s="75">
        <f>IF($B11=0,0,IF(BK$3=TotalApuestas!BK6,BK$5,0))</f>
        <v>0</v>
      </c>
      <c r="BL11" s="75">
        <f>IF($B11=0,0,IF(AND(BJ$3=TotalApuestas!BJ6,Resultado!BK$3=TotalApuestas!BK6),Resultado!BL$5+VLOOKUP(BL$4&amp;"bonus",Aux!$AD$1:$AE$46,2,0),IF(BL$3=TotalApuestas!BL6,BL$5,0)))</f>
        <v>0</v>
      </c>
      <c r="BM11" s="75">
        <f>IF($B11=0,0,IF(BM$3=TotalApuestas!BM6,BM$5,0))</f>
        <v>0</v>
      </c>
      <c r="BN11" s="75">
        <f>IF($B11=0,0,IF(BN$3=TotalApuestas!BN6,BN$5,0))</f>
        <v>0</v>
      </c>
      <c r="BO11" s="75">
        <f>IF($B11=0,0,IF(AND(BM$3=TotalApuestas!BM6,Resultado!BN$3=TotalApuestas!BN6),Resultado!BO$5+VLOOKUP(BO$4&amp;"bonus",Aux!$AD$1:$AE$46,2,0),IF(BO$3=TotalApuestas!BO6,BO$5,0)))</f>
        <v>0</v>
      </c>
      <c r="BP11" s="75">
        <f>IF($B11=0,0,IF(BP$3=TotalApuestas!BP6,BP$5,0))</f>
        <v>0</v>
      </c>
      <c r="BQ11" s="75">
        <f>IF($B11=0,0,IF(BQ$3=TotalApuestas!BQ6,BQ$5,0))</f>
        <v>0</v>
      </c>
      <c r="BR11" s="75">
        <f>IF($B11=0,0,IF(AND(BP$3=TotalApuestas!BP6,Resultado!BQ$3=TotalApuestas!BQ6),Resultado!BR$5+VLOOKUP(BR$4&amp;"bonus",Aux!$AD$1:$AE$46,2,0),IF(BR$3=TotalApuestas!BR6,BR$5,0)))</f>
        <v>0</v>
      </c>
      <c r="BS11" s="75">
        <f>IF($B11=0,0,IF(BS$3=TotalApuestas!BS6,BS$5,0))</f>
        <v>0</v>
      </c>
      <c r="BT11" s="75">
        <f>IF($B11=0,0,IF(BT$3=TotalApuestas!BT6,BT$5,0))</f>
        <v>0</v>
      </c>
      <c r="BU11" s="75">
        <f>IF($B11=0,0,IF(AND(BS$3=TotalApuestas!BS6,Resultado!BT$3=TotalApuestas!BT6),Resultado!BU$5+VLOOKUP(BU$4&amp;"bonus",Aux!$AD$1:$AE$46,2,0),IF(BU$3=TotalApuestas!BU6,BU$5,0)))</f>
        <v>0</v>
      </c>
      <c r="BV11" s="75">
        <f>IF($B11=0,0,IF(BV$3=TotalApuestas!BV6,BV$5,0))</f>
        <v>0</v>
      </c>
      <c r="BW11" s="75">
        <f>IF($B11=0,0,IF(BW$3=TotalApuestas!BW6,BW$5,0))</f>
        <v>0</v>
      </c>
      <c r="BX11" s="75">
        <f>IF($B11=0,0,IF(AND(BV$3=TotalApuestas!BV6,Resultado!BW$3=TotalApuestas!BW6),Resultado!BX$5+VLOOKUP(BX$4&amp;"bonus",Aux!$AD$1:$AE$46,2,0),IF(BX$3=TotalApuestas!BX6,BX$5,0)))</f>
        <v>0</v>
      </c>
      <c r="BY11" s="75">
        <f>IF($B11=0,0,IF(BY$3=TotalApuestas!BY6,BY$5,0))</f>
        <v>0</v>
      </c>
      <c r="BZ11" s="75">
        <f>IF($B11=0,0,IF(BZ$3=TotalApuestas!BZ6,BZ$5,0))</f>
        <v>0</v>
      </c>
      <c r="CA11" s="75">
        <f>IF($B11=0,0,IF(AND(BY$3=TotalApuestas!BY6,Resultado!BZ$3=TotalApuestas!BZ6),Resultado!CA$5+VLOOKUP(CA$4&amp;"bonus",Aux!$AD$1:$AE$46,2,0),IF(CA$3=TotalApuestas!CA6,CA$5,0)))</f>
        <v>0</v>
      </c>
      <c r="CB11" s="75">
        <f>IF($B11=0,0,IF(CB$3=TotalApuestas!CB6,CB$5,0))</f>
        <v>0</v>
      </c>
      <c r="CC11" s="75">
        <f>IF($B11=0,0,IF(CC$3=TotalApuestas!CC6,CC$5,0))</f>
        <v>0</v>
      </c>
      <c r="CD11" s="75">
        <f>IF($B11=0,0,IF(AND(CB$3=TotalApuestas!CB6,Resultado!CC$3=TotalApuestas!CC6),Resultado!CD$5+VLOOKUP(CD$4&amp;"bonus",Aux!$AD$1:$AE$46,2,0),IF(CD$3=TotalApuestas!CD6,CD$5,0)))</f>
        <v>0</v>
      </c>
      <c r="CE11" s="75">
        <f>IF($B11=0,0,IF(CE$3=TotalApuestas!CE6,CE$5,0))</f>
        <v>0</v>
      </c>
      <c r="CF11" s="75">
        <f>IF($B11=0,0,IF(CF$3=TotalApuestas!CF6,CF$5,0))</f>
        <v>0</v>
      </c>
      <c r="CG11" s="75">
        <f>IF($B11=0,0,IF(AND(CE$3=TotalApuestas!CE6,Resultado!CF$3=TotalApuestas!CF6),Resultado!CG$5+VLOOKUP(CG$4&amp;"bonus",Aux!$AD$1:$AE$46,2,0),IF(CG$3=TotalApuestas!CG6,CG$5,0)))</f>
        <v>0</v>
      </c>
      <c r="CH11" s="75">
        <f>IF($B11=0,0,IF(CH$3=TotalApuestas!CH6,CH$5,0))</f>
        <v>0</v>
      </c>
      <c r="CI11" s="75">
        <f>IF($B11=0,0,IF(CI$3=TotalApuestas!CI6,CI$5,0))</f>
        <v>0</v>
      </c>
      <c r="CJ11" s="75">
        <f>IF($B11=0,0,IF(AND(CH$3=TotalApuestas!CH6,Resultado!CI$3=TotalApuestas!CI6),Resultado!CJ$5+VLOOKUP(CJ$4&amp;"bonus",Aux!$AD$1:$AE$46,2,0),IF(CJ$3=TotalApuestas!CJ6,CJ$5,0)))</f>
        <v>0</v>
      </c>
      <c r="CK11" s="75">
        <f>IF($B11=0,0,IF(CK$3=TotalApuestas!CK6,CK$5,0))</f>
        <v>0</v>
      </c>
      <c r="CL11" s="75">
        <f>IF($B11=0,0,IF(CL$3=TotalApuestas!CL6,CL$5,0))</f>
        <v>0</v>
      </c>
      <c r="CM11" s="75">
        <f>IF($B11=0,0,IF(AND(CK$3=TotalApuestas!CK6,Resultado!CL$3=TotalApuestas!CL6),Resultado!CM$5+VLOOKUP(CM$4&amp;"bonus",Aux!$AD$1:$AE$46,2,0),IF(CM$3=TotalApuestas!CM6,CM$5,0)))</f>
        <v>0</v>
      </c>
      <c r="CN11" s="75">
        <f>IF($B11=0,0,IF(CN$3=TotalApuestas!CN6,CN$5,0))</f>
        <v>0</v>
      </c>
      <c r="CO11" s="75">
        <f>IF($B11=0,0,IF(CO$3=TotalApuestas!CO6,CO$5,0))</f>
        <v>0</v>
      </c>
      <c r="CP11" s="75">
        <f>IF($B11=0,0,IF(AND(CN$3=TotalApuestas!CN6,Resultado!CO$3=TotalApuestas!CO6),Resultado!CP$5+VLOOKUP(CP$4&amp;"bonus",Aux!$AD$1:$AE$46,2,0),IF(CP$3=TotalApuestas!CP6,CP$5,0)))</f>
        <v>0</v>
      </c>
      <c r="CQ11" s="75">
        <f>IF($B11=0,0,IF(CQ$3=TotalApuestas!CQ6,CQ$5,0))</f>
        <v>0</v>
      </c>
      <c r="CR11" s="75">
        <f>IF($B11=0,0,IF(CR$3=TotalApuestas!CR6,CR$5,0))</f>
        <v>0</v>
      </c>
      <c r="CS11" s="75">
        <f>IF($B11=0,0,IF(AND(CQ$3=TotalApuestas!CQ6,Resultado!CR$3=TotalApuestas!CR6),Resultado!CS$5+VLOOKUP(CS$4&amp;"bonus",Aux!$AD$1:$AE$46,2,0),IF(CS$3=TotalApuestas!CS6,CS$5,0)))</f>
        <v>0</v>
      </c>
      <c r="CT11" s="75">
        <f>IF($B11=0,0,IF(CT$3=TotalApuestas!CT6,CT$5,0))</f>
        <v>0</v>
      </c>
      <c r="CU11" s="75">
        <f>IF($B11=0,0,IF(CU$3=TotalApuestas!CU6,CU$5,0))</f>
        <v>0</v>
      </c>
      <c r="CV11" s="75">
        <f>IF($B11=0,0,IF(AND(CT$3=TotalApuestas!CT6,Resultado!CU$3=TotalApuestas!CU6),Resultado!CV$5+VLOOKUP(CV$4&amp;"bonus",Aux!$AD$1:$AE$46,2,0),IF(CV$3=TotalApuestas!CV6,CV$5,0)))</f>
        <v>0</v>
      </c>
      <c r="CW11" s="75">
        <f>IF($B11=0,0,IF(CW$3=TotalApuestas!CW6,CW$5,0))</f>
        <v>0</v>
      </c>
      <c r="CX11" s="75">
        <f>IF($B11=0,0,IF(CX$3=TotalApuestas!CX6,CX$5,0))</f>
        <v>0</v>
      </c>
      <c r="CY11" s="75">
        <f>IF($B11=0,0,IF(AND(CW$3=TotalApuestas!CW6,Resultado!CX$3=TotalApuestas!CX6),Resultado!CY$5+VLOOKUP(CY$4&amp;"bonus",Aux!$AD$1:$AE$46,2,0),IF(CY$3=TotalApuestas!CY6,CY$5,0)))</f>
        <v>0</v>
      </c>
      <c r="CZ11" s="75">
        <f>IF($B11=0,0,IF(CZ$3=TotalApuestas!CZ6,CZ$5,0))</f>
        <v>0</v>
      </c>
      <c r="DA11" s="75">
        <f>IF($B11=0,0,IF(DA$3=TotalApuestas!DA6,DA$5,0))</f>
        <v>0</v>
      </c>
      <c r="DB11" s="75">
        <f>IF($B11=0,0,IF(AND(CZ$3=TotalApuestas!CZ6,Resultado!DA$3=TotalApuestas!DA6),Resultado!DB$5+VLOOKUP(DB$4&amp;"bonus",Aux!$AD$1:$AE$46,2,0),IF(DB$3=TotalApuestas!DB6,DB$5,0)))</f>
        <v>0</v>
      </c>
      <c r="DC11" s="75">
        <f>IF($B11=0,0,IF(DC$3=TotalApuestas!DC6,DC$5,0))</f>
        <v>0</v>
      </c>
      <c r="DD11" s="75">
        <f>IF($B11=0,0,IF(DD$3=TotalApuestas!DD6,DD$5,0))</f>
        <v>0</v>
      </c>
      <c r="DE11" s="75">
        <f>IF($B11=0,0,IF(AND(DC$3=TotalApuestas!DC6,Resultado!DD$3=TotalApuestas!DD6),Resultado!DE$5+VLOOKUP(DE$4&amp;"bonus",Aux!$AD$1:$AE$46,2,0),IF(DE$3=TotalApuestas!DE6,DE$5,0)))</f>
        <v>0</v>
      </c>
      <c r="DF11" s="75">
        <f>IF($B11=0,0,IF(DF$3=TotalApuestas!DF6,DF$5,0))</f>
        <v>0</v>
      </c>
      <c r="DG11" s="75">
        <f>IF($B11=0,0,IF(DG$3=TotalApuestas!DG6,DG$5,0))</f>
        <v>0</v>
      </c>
      <c r="DH11" s="75">
        <f>IF($B11=0,0,IF(AND(DF$3=TotalApuestas!DF6,Resultado!DG$3=TotalApuestas!DG6),Resultado!DH$5+VLOOKUP(DH$4&amp;"bonus",Aux!$AD$1:$AE$46,2,0),IF(DH$3=TotalApuestas!DH6,DH$5,0)))</f>
        <v>0</v>
      </c>
      <c r="DI11" s="75">
        <f>IF($B11=0,0,IF(DI$3=TotalApuestas!DI6,DI$5,0))</f>
        <v>0</v>
      </c>
      <c r="DJ11" s="75">
        <f>IF($B11=0,0,IF(DJ$3=TotalApuestas!DJ6,DJ$5,0))</f>
        <v>0</v>
      </c>
      <c r="DK11" s="75">
        <f>IF($B11=0,0,IF(AND(DI$3=TotalApuestas!DI6,Resultado!DJ$3=TotalApuestas!DJ6),Resultado!DK$5+VLOOKUP(DK$4&amp;"bonus",Aux!$AD$1:$AE$46,2,0),IF(DK$3=TotalApuestas!DK6,DK$5,0)))</f>
        <v>0</v>
      </c>
      <c r="DL11" s="75">
        <f>IF($B11=0,0,IF(DL$3=TotalApuestas!DL6,DL$5,0))</f>
        <v>0</v>
      </c>
      <c r="DM11" s="75">
        <f>IF($B11=0,0,IF(DM$3=TotalApuestas!DM6,DM$5,0))</f>
        <v>0</v>
      </c>
      <c r="DN11" s="75">
        <f>IF($B11=0,0,IF(AND(DL$3=TotalApuestas!DL6,Resultado!DM$3=TotalApuestas!DM6),Resultado!DN$5+VLOOKUP(DN$4&amp;"bonus",Aux!$AD$1:$AE$46,2,0),IF(DN$3=TotalApuestas!DN6,DN$5,0)))</f>
        <v>0</v>
      </c>
      <c r="DO11" s="75">
        <f>IF($B11=0,0,IF(DO$3=TotalApuestas!DO6,DO$5,0))</f>
        <v>0</v>
      </c>
      <c r="DP11" s="75">
        <f>IF($B11=0,0,IF(DP$3=TotalApuestas!DP6,DP$5,0))</f>
        <v>0</v>
      </c>
      <c r="DQ11" s="75">
        <f>IF($B11=0,0,IF(AND(DO$3=TotalApuestas!DO6,Resultado!DP$3=TotalApuestas!DP6),Resultado!DQ$5+VLOOKUP(DQ$4&amp;"bonus",Aux!$AD$1:$AE$46,2,0),IF(DQ$3=TotalApuestas!DQ6,DQ$5,0)))</f>
        <v>0</v>
      </c>
      <c r="DR11" s="75">
        <f>IF($B11=0,0,IF(DR$3=TotalApuestas!DR6,DR$5,0))</f>
        <v>0</v>
      </c>
      <c r="DS11" s="75">
        <f>IF($B11=0,0,IF(DS$3=TotalApuestas!DS6,DS$5,0))</f>
        <v>0</v>
      </c>
      <c r="DT11" s="75">
        <f>IF($B11=0,0,IF(AND(DR$3=TotalApuestas!DR6,Resultado!DS$3=TotalApuestas!DS6),Resultado!DT$5+VLOOKUP(DT$4&amp;"bonus",Aux!$AD$1:$AE$46,2,0),IF(DT$3=TotalApuestas!DT6,DT$5,0)))</f>
        <v>0</v>
      </c>
      <c r="DU11" s="75">
        <f>IF($B11=0,0,IF(DU$3=TotalApuestas!DU6,DU$5,0))</f>
        <v>0</v>
      </c>
      <c r="DV11" s="75">
        <f>IF($B11=0,0,IF(DV$3=TotalApuestas!DV6,DV$5,0))</f>
        <v>0</v>
      </c>
      <c r="DW11" s="75">
        <f>IF($B11=0,0,IF(AND(DU$3=TotalApuestas!DU6,Resultado!DV$3=TotalApuestas!DV6),Resultado!DW$5+VLOOKUP(DW$4&amp;"bonus",Aux!$AD$1:$AE$46,2,0),IF(DW$3=TotalApuestas!DW6,DW$5,0)))</f>
        <v>0</v>
      </c>
      <c r="DX11" s="75">
        <f>IF($B11=0,0,IF(DX$3=TotalApuestas!DX6,DX$5,0))</f>
        <v>0</v>
      </c>
      <c r="DY11" s="75">
        <f>IF($B11=0,0,IF(DY$3=TotalApuestas!DY6,DY$5,0))</f>
        <v>0</v>
      </c>
      <c r="DZ11" s="75">
        <f>IF($B11=0,0,IF(AND(DX$3=TotalApuestas!DX6,Resultado!DY$3=TotalApuestas!DY6),Resultado!DZ$5+VLOOKUP(DZ$4&amp;"bonus",Aux!$AD$1:$AE$46,2,0),IF(DZ$3=TotalApuestas!DZ6,DZ$5,0)))</f>
        <v>0</v>
      </c>
      <c r="EA11" s="75">
        <f>IF($B11=0,0,IF(EA$3=TotalApuestas!EA6,EA$5,0))</f>
        <v>0</v>
      </c>
      <c r="EB11" s="75">
        <f>IF($B11=0,0,IF(EB$3=TotalApuestas!EB6,EB$5,0))</f>
        <v>0</v>
      </c>
      <c r="EC11" s="75">
        <f>IF($B11=0,0,IF(AND(EA$3=TotalApuestas!EA6,Resultado!EB$3=TotalApuestas!EB6),Resultado!EC$5+VLOOKUP(EC$4&amp;"bonus",Aux!$AD$1:$AE$46,2,0),IF(EC$3=TotalApuestas!EC6,EC$5,0)))</f>
        <v>0</v>
      </c>
      <c r="ED11" s="75">
        <f>IF($B11=0,0,IF(ED$3=TotalApuestas!ED6,ED$5,0))</f>
        <v>0</v>
      </c>
      <c r="EE11" s="75">
        <f>IF($B11=0,0,IF(EE$3=TotalApuestas!EE6,EE$5,0))</f>
        <v>0</v>
      </c>
      <c r="EF11" s="75">
        <f>IF($B11=0,0,IF(AND(ED$3=TotalApuestas!ED6,Resultado!EE$3=TotalApuestas!EE6),Resultado!EF$5+VLOOKUP(EF$4&amp;"bonus",Aux!$AD$1:$AE$46,2,0),IF(EF$3=TotalApuestas!EF6,EF$5,0)))</f>
        <v>0</v>
      </c>
      <c r="EG11" s="75">
        <f>IF($B11=0,0,IF(EG$3=TotalApuestas!EG6,EG$5,0))</f>
        <v>0</v>
      </c>
      <c r="EH11" s="75">
        <f>IF($B11=0,0,IF(EH$3=TotalApuestas!EH6,EH$5,0))</f>
        <v>0</v>
      </c>
      <c r="EI11" s="75">
        <f>IF($B11=0,0,IF(AND(EG$3=TotalApuestas!EG6,Resultado!EH$3=TotalApuestas!EH6),Resultado!EI$5+VLOOKUP(EI$4&amp;"bonus",Aux!$AD$1:$AE$46,2,0),IF(EI$3=TotalApuestas!EI6,EI$5,0)))</f>
        <v>0</v>
      </c>
      <c r="EJ11" s="75">
        <f>IF($B11=0,0,IF(EJ$3=TotalApuestas!EJ6,EJ$5,0))</f>
        <v>0</v>
      </c>
      <c r="EK11" s="75">
        <f>IF($B11=0,0,IF(EK$3=TotalApuestas!EK6,EK$5,0))</f>
        <v>0</v>
      </c>
      <c r="EL11" s="75">
        <f>IF($B11=0,0,IF(AND(EJ$3=TotalApuestas!EJ6,Resultado!EK$3=TotalApuestas!EK6),Resultado!EL$5+VLOOKUP(EL$4&amp;"bonus",Aux!$AD$1:$AE$46,2,0),IF(EL$3=TotalApuestas!EL6,EL$5,0)))</f>
        <v>0</v>
      </c>
      <c r="EM11" s="75">
        <f>IF($B11=0,0,IF(EM$3=TotalApuestas!EM6,EM$5,0))</f>
        <v>0</v>
      </c>
      <c r="EN11" s="75">
        <f>IF($B11=0,0,IF(EN$3=TotalApuestas!EN6,EN$5,0))</f>
        <v>0</v>
      </c>
      <c r="EO11" s="75">
        <f>IF($B11=0,0,IF(AND(EM$3=TotalApuestas!EM6,Resultado!EN$3=TotalApuestas!EN6),Resultado!EO$5+VLOOKUP(EO$4&amp;"bonus",Aux!$AD$1:$AE$46,2,0),IF(EO$3=TotalApuestas!EO6,EO$5,0)))</f>
        <v>0</v>
      </c>
      <c r="EP11" s="75">
        <f>IF($B11=0,0,IF(EP$3=TotalApuestas!EP6,EP$5,0))</f>
        <v>0</v>
      </c>
      <c r="EQ11" s="75">
        <f>IF($B11=0,0,IF(EQ$3=TotalApuestas!EQ6,EQ$5,0))</f>
        <v>0</v>
      </c>
      <c r="ER11" s="75">
        <f>IF($B11=0,0,IF(AND(EP$3=TotalApuestas!EP6,Resultado!EQ$3=TotalApuestas!EQ6),Resultado!ER$5+VLOOKUP(ER$4&amp;"bonus",Aux!$AD$1:$AE$46,2,0),IF(ER$3=TotalApuestas!ER6,ER$5,0)))</f>
        <v>0</v>
      </c>
      <c r="ES11" s="75">
        <f>IF($B11=0,0,IF(ES$3=TotalApuestas!ES6,ES$5,0))</f>
        <v>0</v>
      </c>
      <c r="ET11" s="75">
        <f>IF($B11=0,0,IF(ET$3=TotalApuestas!ET6,ET$5,0))</f>
        <v>0</v>
      </c>
      <c r="EU11" s="75">
        <f>IF($B11=0,0,IF(EU$3=TotalApuestas!EU6,EU$5,0))</f>
        <v>0</v>
      </c>
      <c r="EV11" s="75">
        <f>IF($B11=0,0,IF(EV$3=TotalApuestas!EV6,EV$5,0))</f>
        <v>0</v>
      </c>
      <c r="EW11" s="75">
        <f>IF($B11=0,0,IF(EW$3=TotalApuestas!EW6,EW$5,0))</f>
        <v>0</v>
      </c>
      <c r="EX11" s="75">
        <f>IF($B11=0,0,IF(EX$3=TotalApuestas!EX6,EX$5,0))</f>
        <v>0</v>
      </c>
      <c r="EY11" s="75">
        <f>IF($B11=0,0,IF(EY$3=TotalApuestas!EY6,EY$5,0))</f>
        <v>0</v>
      </c>
      <c r="EZ11" s="75">
        <f>IF($B11=0,0,IF(EZ$3=TotalApuestas!EZ6,EZ$5,0))</f>
        <v>0</v>
      </c>
      <c r="FA11" s="75">
        <f>IF($B11=0,0,IF(FA$3=TotalApuestas!FA6,FA$5,0))</f>
        <v>0</v>
      </c>
      <c r="FB11" s="75">
        <f>IF($B11=0,0,IF(FB$3=TotalApuestas!FB6,FB$5,0))</f>
        <v>0</v>
      </c>
      <c r="FC11" s="75">
        <f>IF($B11=0,0,IF(FC$3=TotalApuestas!FC6,FC$5,0))</f>
        <v>0</v>
      </c>
      <c r="FD11" s="75">
        <f>IF($B11=0,0,IF(FD$3=TotalApuestas!FD6,FD$5,0))</f>
        <v>0</v>
      </c>
      <c r="FE11" s="75">
        <f>IF($B11=0,0,IF(FE$3=TotalApuestas!FE6,FE$5,0))</f>
        <v>0</v>
      </c>
      <c r="FF11" s="75">
        <f>IF($B11=0,0,IF(FF$3=TotalApuestas!FF6,FF$5,0))</f>
        <v>0</v>
      </c>
      <c r="FG11" s="75">
        <f>IF($B11=0,0,IF(FG$3=TotalApuestas!FG6,FG$5,0))</f>
        <v>0</v>
      </c>
      <c r="FH11" s="75">
        <f>IF($B11=0,0,IF(FH$3=TotalApuestas!FH6,FH$5,0))</f>
        <v>0</v>
      </c>
      <c r="FI11" s="75">
        <f>IF($B11=0,0,IF(FI$3=TotalApuestas!FI6,FI$5,0))</f>
        <v>0</v>
      </c>
      <c r="FJ11" s="75">
        <f>IF($B11=0,0,IF(FJ$3=TotalApuestas!FJ6,FJ$5,0))</f>
        <v>0</v>
      </c>
      <c r="FK11" s="75">
        <f>IF($B11=0,0,IF(FK$3=TotalApuestas!FK6,FK$5,0))</f>
        <v>0</v>
      </c>
      <c r="FL11" s="75">
        <f>IF($B11=0,0,IF(FL$3=TotalApuestas!FL6,FL$5,0))</f>
        <v>0</v>
      </c>
      <c r="FM11" s="75">
        <f>IF($B11=0,0,IF(FM$3=TotalApuestas!FM6,FM$5,0))</f>
        <v>0</v>
      </c>
      <c r="FN11" s="75">
        <f>IF($B11=0,0,IF(FN$3=TotalApuestas!FN6,FN$5,0))</f>
        <v>0</v>
      </c>
      <c r="FO11" s="75">
        <f>IF($B11=0,0,IF(FO$3=TotalApuestas!FO6,FO$5,0))</f>
        <v>0</v>
      </c>
      <c r="FP11" s="75">
        <f>IF($B11=0,0,IF(FP$3=TotalApuestas!FP6,FP$5,0))</f>
        <v>0</v>
      </c>
      <c r="FQ11" s="75">
        <f>IF($B11=0,0,IF(FQ$3=TotalApuestas!FQ6,FQ$5,0))</f>
        <v>0</v>
      </c>
      <c r="FR11" s="75">
        <f>IF($B11=0,0,IF(FR$3=TotalApuestas!FR6,FR$5,0))</f>
        <v>0</v>
      </c>
      <c r="FS11" s="75">
        <f>IF($B11=0,0,IF(FS$3=TotalApuestas!FS6,FS$5,0))</f>
        <v>0</v>
      </c>
      <c r="FT11" s="75">
        <f>IF($B11=0,0,IF(FT$3=TotalApuestas!FT6,FT$5,0))</f>
        <v>0</v>
      </c>
      <c r="FU11" s="75">
        <f>IF($B11=0,0,IF(FU$3=TotalApuestas!FU6,FU$5,0))</f>
        <v>0</v>
      </c>
      <c r="FV11" s="75">
        <f>IF($B11=0,0,IF(FV$3=TotalApuestas!FV6,FV$5,0))</f>
        <v>0</v>
      </c>
      <c r="FW11" s="75">
        <f>IF($B11=0,0,IF(FW$3=TotalApuestas!FW6,FW$5,0))</f>
        <v>0</v>
      </c>
      <c r="FX11" s="75">
        <f>IF($B11=0,0,IF(FX$3=TotalApuestas!FX6,FX$5,0))</f>
        <v>0</v>
      </c>
      <c r="FY11" s="75">
        <f>IF($B11=0,0,IF(FY$3=TotalApuestas!FY6,FY$5,0))</f>
        <v>0</v>
      </c>
      <c r="FZ11" s="75">
        <f>IF($B11=0,0,IF(AND(FX$3=TotalApuestas!FX6,Resultado!FY$3=TotalApuestas!FY6),Resultado!FZ$5+VLOOKUP(FZ$4&amp;"bonus",Aux!$AD$1:$AE$46,2,0),IF(FZ$3=TotalApuestas!FZ6,FZ$5,0)))</f>
        <v>0</v>
      </c>
      <c r="GA11" s="75">
        <f>IF($B11=0,0,IF(GA$3=TotalApuestas!GA6,GA$5,0))</f>
        <v>0</v>
      </c>
      <c r="GB11" s="75">
        <f>IF($B11=0,0,IF(GB$3=TotalApuestas!GB6,GB$5,0))</f>
        <v>0</v>
      </c>
      <c r="GC11" s="75">
        <f>IF($B11=0,0,IF(AND(GA$3=TotalApuestas!GA6,Resultado!GB$3=TotalApuestas!GB6),Resultado!GC$5+VLOOKUP(GC$4&amp;"bonus",Aux!$AD$1:$AE$46,2,0),IF(GC$3=TotalApuestas!GC6,GC$5,0)))</f>
        <v>0</v>
      </c>
      <c r="GD11" s="75">
        <f>IF($B11=0,0,IF(GD$3=TotalApuestas!GD6,GD$5,0))</f>
        <v>0</v>
      </c>
      <c r="GE11" s="75">
        <f>IF($B11=0,0,IF(GE$3=TotalApuestas!GE6,GE$5,0))</f>
        <v>0</v>
      </c>
      <c r="GF11" s="75">
        <f>IF($B11=0,0,IF(AND(GD$3=TotalApuestas!GD6,Resultado!GE$3=TotalApuestas!GE6),Resultado!GF$5+VLOOKUP(GF$4&amp;"bonus",Aux!$AD$1:$AE$46,2,0),IF(GF$3=TotalApuestas!GF6,GF$5,0)))</f>
        <v>0</v>
      </c>
      <c r="GG11" s="75">
        <f>IF($B11=0,0,IF(GG$3=TotalApuestas!GG6,GG$5,0))</f>
        <v>0</v>
      </c>
      <c r="GH11" s="75">
        <f>IF($B11=0,0,IF(GH$3=TotalApuestas!GH6,GH$5,0))</f>
        <v>0</v>
      </c>
      <c r="GI11" s="75">
        <f>IF($B11=0,0,IF(AND(GG$3=TotalApuestas!GG6,Resultado!GH$3=TotalApuestas!GH6),Resultado!GI$5+VLOOKUP(GI$4&amp;"bonus",Aux!$AD$1:$AE$46,2,0),IF(GI$3=TotalApuestas!GI6,GI$5,0)))</f>
        <v>0</v>
      </c>
      <c r="GJ11" s="75">
        <f>IF($B11=0,0,IF(GJ$3=TotalApuestas!GJ6,GJ$5,0))</f>
        <v>0</v>
      </c>
      <c r="GK11" s="75">
        <f>IF($B11=0,0,IF(GK$3=TotalApuestas!GK6,GK$5,0))</f>
        <v>0</v>
      </c>
      <c r="GL11" s="75">
        <f>IF($B11=0,0,IF(AND(GJ$3=TotalApuestas!GJ6,Resultado!GK$3=TotalApuestas!GK6),Resultado!GL$5+VLOOKUP(GL$4&amp;"bonus",Aux!$AD$1:$AE$46,2,0),IF(GL$3=TotalApuestas!GL6,GL$5,0)))</f>
        <v>0</v>
      </c>
      <c r="GM11" s="75">
        <f>IF($B11=0,0,IF(GM$3=TotalApuestas!GM6,GM$5,0))</f>
        <v>0</v>
      </c>
      <c r="GN11" s="75">
        <f>IF($B11=0,0,IF(GN$3=TotalApuestas!GN6,GN$5,0))</f>
        <v>0</v>
      </c>
      <c r="GO11" s="75">
        <f>IF($B11=0,0,IF(AND(GM$3=TotalApuestas!GM6,Resultado!GN$3=TotalApuestas!GN6),Resultado!GO$5+VLOOKUP(GO$4&amp;"bonus",Aux!$AD$1:$AE$46,2,0),IF(GO$3=TotalApuestas!GO6,GO$5,0)))</f>
        <v>0</v>
      </c>
      <c r="GP11" s="75">
        <f>IF($B11=0,0,IF(GP$3=TotalApuestas!GP6,GP$5,0))</f>
        <v>0</v>
      </c>
      <c r="GQ11" s="75">
        <f>IF($B11=0,0,IF(GQ$3=TotalApuestas!GQ6,GQ$5,0))</f>
        <v>0</v>
      </c>
      <c r="GR11" s="75">
        <f>IF($B11=0,0,IF(AND(GP$3=TotalApuestas!GP6,Resultado!GQ$3=TotalApuestas!GQ6),Resultado!GR$5+VLOOKUP(GR$4&amp;"bonus",Aux!$AD$1:$AE$46,2,0),IF(GR$3=TotalApuestas!GR6,GR$5,0)))</f>
        <v>0</v>
      </c>
      <c r="GS11" s="75">
        <f>IF($B11=0,0,IF(GS$3=TotalApuestas!GS6,GS$5,0))</f>
        <v>0</v>
      </c>
      <c r="GT11" s="75">
        <f>IF($B11=0,0,IF(GT$3=TotalApuestas!GT6,GT$5,0))</f>
        <v>0</v>
      </c>
      <c r="GU11" s="75">
        <f>IF($B11=0,0,IF(AND(GS$3=TotalApuestas!GS6,Resultado!GT$3=TotalApuestas!GT6),Resultado!GU$5+VLOOKUP(GU$4&amp;"bonus",Aux!$AD$1:$AE$46,2,0),IF(GU$3=TotalApuestas!GU6,GU$5,0)))</f>
        <v>0</v>
      </c>
      <c r="GV11" s="75">
        <f>IF($B11=0,0,IF(GV$3=TotalApuestas!GV6,GV$5,0))</f>
        <v>0</v>
      </c>
      <c r="GW11" s="75">
        <f>IF($B11=0,0,IF(GW$3=TotalApuestas!GW6,GW$5,0))</f>
        <v>0</v>
      </c>
      <c r="GX11" s="75">
        <f>IF($B11=0,0,IF(AND(GV$3=TotalApuestas!GV6,Resultado!GW$3=TotalApuestas!GW6),Resultado!GX$5+VLOOKUP(GX$4&amp;"bonus",Aux!$AD$1:$AE$46,2,0),IF(GX$3=TotalApuestas!GX6,GX$5,0)))</f>
        <v>0</v>
      </c>
      <c r="GY11" s="75">
        <f>IF($B11=0,0,IF(GY$3=TotalApuestas!GY6,GY$5,0))</f>
        <v>0</v>
      </c>
      <c r="GZ11" s="75">
        <f>IF($B11=0,0,IF(GZ$3=TotalApuestas!GZ6,GZ$5,0))</f>
        <v>0</v>
      </c>
      <c r="HA11" s="75">
        <f>IF($B11=0,0,IF(AND(GY$3=TotalApuestas!GY6,Resultado!GZ$3=TotalApuestas!GZ6),Resultado!HA$5+VLOOKUP(HA$4&amp;"bonus",Aux!$AD$1:$AE$46,2,0),IF(HA$3=TotalApuestas!HA6,HA$5,0)))</f>
        <v>0</v>
      </c>
      <c r="HB11" s="75">
        <f>IF($B11=0,0,IF(HB$3=TotalApuestas!HB6,HB$5,0))</f>
        <v>0</v>
      </c>
      <c r="HC11" s="75">
        <f>IF($B11=0,0,IF(HC$3=TotalApuestas!HC6,HC$5,0))</f>
        <v>0</v>
      </c>
      <c r="HD11" s="75">
        <f>IF($B11=0,0,IF(AND(HB$3=TotalApuestas!HB6,Resultado!HC$3=TotalApuestas!HC6),Resultado!HD$5+VLOOKUP(HD$4&amp;"bonus",Aux!$AD$1:$AE$46,2,0),IF(HD$3=TotalApuestas!HD6,HD$5,0)))</f>
        <v>0</v>
      </c>
      <c r="HE11" s="75">
        <f>IF($B11=0,0,IF(HE$3=TotalApuestas!HE6,HE$5,0))</f>
        <v>0</v>
      </c>
      <c r="HF11" s="75">
        <f>IF($B11=0,0,IF(HF$3=TotalApuestas!HF6,HF$5,0))</f>
        <v>0</v>
      </c>
      <c r="HG11" s="75">
        <f>IF($B11=0,0,IF(AND(HE$3=TotalApuestas!HE6,Resultado!HF$3=TotalApuestas!HF6),Resultado!HG$5+VLOOKUP(HG$4&amp;"bonus",Aux!$AD$1:$AE$46,2,0),IF(HG$3=TotalApuestas!HG6,HG$5,0)))</f>
        <v>0</v>
      </c>
      <c r="HH11" s="75">
        <f>IF($B11=0,0,IF(HH$3=TotalApuestas!HH6,HH$5,0))</f>
        <v>0</v>
      </c>
      <c r="HI11" s="75">
        <f>IF($B11=0,0,IF(HI$3=TotalApuestas!HI6,HI$5,0))</f>
        <v>0</v>
      </c>
      <c r="HJ11" s="75">
        <f>IF($B11=0,0,IF(AND(HH$3=TotalApuestas!HH6,Resultado!HI$3=TotalApuestas!HI6),Resultado!HJ$5+VLOOKUP(HJ$4&amp;"bonus",Aux!$AD$1:$AE$46,2,0),IF(HJ$3=TotalApuestas!HJ6,HJ$5,0)))</f>
        <v>0</v>
      </c>
      <c r="HK11" s="75">
        <f>IF($B11=0,0,IF(HK$3=TotalApuestas!HK6,HK$5,0))</f>
        <v>0</v>
      </c>
      <c r="HL11" s="75">
        <f>IF($B11=0,0,IF(HL$3=TotalApuestas!HL6,HL$5,0))</f>
        <v>0</v>
      </c>
      <c r="HM11" s="75">
        <f>IF($B11=0,0,IF(AND(HK$3=TotalApuestas!HK6,Resultado!HL$3=TotalApuestas!HL6),Resultado!HM$5+VLOOKUP(HM$4&amp;"bonus",Aux!$AD$1:$AE$46,2,0),IF(HM$3=TotalApuestas!HM6,HM$5,0)))</f>
        <v>0</v>
      </c>
      <c r="HN11" s="75">
        <f>IF($B11=0,0,IF(HN$3=TotalApuestas!HN6,HN$5,0))</f>
        <v>0</v>
      </c>
      <c r="HO11" s="75">
        <f>IF($B11=0,0,IF(HO$3=TotalApuestas!HO6,HO$5,0))</f>
        <v>0</v>
      </c>
      <c r="HP11" s="75">
        <f>IF($B11=0,0,IF(AND(HN$3=TotalApuestas!HN6,Resultado!HO$3=TotalApuestas!HO6),Resultado!HP$5+VLOOKUP(HP$4&amp;"bonus",Aux!$AD$1:$AE$46,2,0),IF(HP$3=TotalApuestas!HP6,HP$5,0)))</f>
        <v>0</v>
      </c>
    </row>
    <row r="12" spans="2:224" x14ac:dyDescent="0.25">
      <c r="B12">
        <f>+TotalApuestas!B7</f>
        <v>0</v>
      </c>
      <c r="E12" s="75">
        <f>IF($B12=0,0,IF(E$3=TotalApuestas!E7,E$5,0))</f>
        <v>0</v>
      </c>
      <c r="F12" s="75">
        <f>IF($B12=0,0,IF(F$3=TotalApuestas!F7,F$5,0))</f>
        <v>0</v>
      </c>
      <c r="G12" s="75">
        <f>IF($B12=0,0,IF(AND(E$3=TotalApuestas!E7,Resultado!F$3=TotalApuestas!F7),Resultado!G$5+VLOOKUP(G$4&amp;"bonus",Aux!$AD$1:$AE$46,2,0),IF(G$3=TotalApuestas!G7,G$5,0)))</f>
        <v>0</v>
      </c>
      <c r="H12" s="75">
        <f>IF($B12=0,0,IF(H$3=TotalApuestas!H7,H$5,0))</f>
        <v>0</v>
      </c>
      <c r="I12" s="75">
        <f>IF($B12=0,0,IF(I$3=TotalApuestas!I7,I$5,0))</f>
        <v>0</v>
      </c>
      <c r="J12" s="75">
        <f>IF($B12=0,0,IF(AND(H$3=TotalApuestas!H7,Resultado!I$3=TotalApuestas!I7),Resultado!J$5+VLOOKUP(J$4&amp;"bonus",Aux!$AD$1:$AE$46,2,0),IF(J$3=TotalApuestas!J7,J$5,0)))</f>
        <v>0</v>
      </c>
      <c r="K12" s="75">
        <f>IF($B12=0,0,IF(K$3=TotalApuestas!K7,K$5,0))</f>
        <v>0</v>
      </c>
      <c r="L12" s="75">
        <f>IF($B12=0,0,IF(L$3=TotalApuestas!L7,L$5,0))</f>
        <v>0</v>
      </c>
      <c r="M12" s="75">
        <f>IF($B12=0,0,IF(AND(K$3=TotalApuestas!K7,Resultado!L$3=TotalApuestas!L7),Resultado!M$5+VLOOKUP(M$4&amp;"bonus",Aux!$AD$1:$AE$46,2,0),IF(M$3=TotalApuestas!M7,M$5,0)))</f>
        <v>0</v>
      </c>
      <c r="N12" s="75">
        <f>IF($B12=0,0,IF(N$3=TotalApuestas!N7,N$5,0))</f>
        <v>0</v>
      </c>
      <c r="O12" s="75">
        <f>IF($B12=0,0,IF(O$3=TotalApuestas!O7,O$5,0))</f>
        <v>0</v>
      </c>
      <c r="P12" s="75">
        <f>IF($B12=0,0,IF(AND(N$3=TotalApuestas!N7,Resultado!O$3=TotalApuestas!O7),Resultado!P$5+VLOOKUP(P$4&amp;"bonus",Aux!$AD$1:$AE$46,2,0),IF(P$3=TotalApuestas!P7,P$5,0)))</f>
        <v>0</v>
      </c>
      <c r="Q12" s="75">
        <f>IF($B12=0,0,IF(Q$3=TotalApuestas!Q7,Q$5,0))</f>
        <v>0</v>
      </c>
      <c r="R12" s="75">
        <f>IF($B12=0,0,IF(R$3=TotalApuestas!R7,R$5,0))</f>
        <v>0</v>
      </c>
      <c r="S12" s="75">
        <f>IF($B12=0,0,IF(AND(Q$3=TotalApuestas!Q7,Resultado!R$3=TotalApuestas!R7),Resultado!S$5+VLOOKUP(S$4&amp;"bonus",Aux!$AD$1:$AE$46,2,0),IF(S$3=TotalApuestas!S7,S$5,0)))</f>
        <v>0</v>
      </c>
      <c r="T12" s="75">
        <f>IF($B12=0,0,IF(T$3=TotalApuestas!T7,T$5,0))</f>
        <v>0</v>
      </c>
      <c r="U12" s="75">
        <f>IF($B12=0,0,IF(U$3=TotalApuestas!U7,U$5,0))</f>
        <v>0</v>
      </c>
      <c r="V12" s="75">
        <f>IF($B12=0,0,IF(AND(T$3=TotalApuestas!T7,Resultado!U$3=TotalApuestas!U7),Resultado!V$5+VLOOKUP(V$4&amp;"bonus",Aux!$AD$1:$AE$46,2,0),IF(V$3=TotalApuestas!V7,V$5,0)))</f>
        <v>0</v>
      </c>
      <c r="W12" s="75">
        <f>IF($B12=0,0,IF(W$3=TotalApuestas!W7,W$5,0))</f>
        <v>0</v>
      </c>
      <c r="X12" s="75">
        <f>IF($B12=0,0,IF(X$3=TotalApuestas!X7,X$5,0))</f>
        <v>0</v>
      </c>
      <c r="Y12" s="75">
        <f>IF($B12=0,0,IF(AND(W$3=TotalApuestas!W7,Resultado!X$3=TotalApuestas!X7),Resultado!Y$5+VLOOKUP(Y$4&amp;"bonus",Aux!$AD$1:$AE$46,2,0),IF(Y$3=TotalApuestas!Y7,Y$5,0)))</f>
        <v>0</v>
      </c>
      <c r="Z12" s="75">
        <f>IF($B12=0,0,IF(Z$3=TotalApuestas!Z7,Z$5,0))</f>
        <v>0</v>
      </c>
      <c r="AA12" s="75">
        <f>IF($B12=0,0,IF(AA$3=TotalApuestas!AA7,AA$5,0))</f>
        <v>0</v>
      </c>
      <c r="AB12" s="75">
        <f>IF($B12=0,0,IF(AND(Z$3=TotalApuestas!Z7,Resultado!AA$3=TotalApuestas!AA7),Resultado!AB$5+VLOOKUP(AB$4&amp;"bonus",Aux!$AD$1:$AE$46,2,0),IF(AB$3=TotalApuestas!AB7,AB$5,0)))</f>
        <v>0</v>
      </c>
      <c r="AC12" s="75">
        <f>IF($B12=0,0,IF(AC$3=TotalApuestas!AC7,AC$5,0))</f>
        <v>0</v>
      </c>
      <c r="AD12" s="75">
        <f>IF($B12=0,0,IF(AD$3=TotalApuestas!AD7,AD$5,0))</f>
        <v>0</v>
      </c>
      <c r="AE12" s="75">
        <f>IF($B12=0,0,IF(AND(AC$3=TotalApuestas!AC7,Resultado!AD$3=TotalApuestas!AD7),Resultado!AE$5+VLOOKUP(AE$4&amp;"bonus",Aux!$AD$1:$AE$46,2,0),IF(AE$3=TotalApuestas!AE7,AE$5,0)))</f>
        <v>0</v>
      </c>
      <c r="AF12" s="75">
        <f>IF($B12=0,0,IF(AF$3=TotalApuestas!AF7,AF$5,0))</f>
        <v>0</v>
      </c>
      <c r="AG12" s="75">
        <f>IF($B12=0,0,IF(AG$3=TotalApuestas!AG7,AG$5,0))</f>
        <v>0</v>
      </c>
      <c r="AH12" s="75">
        <f>IF($B12=0,0,IF(AND(AF$3=TotalApuestas!AF7,Resultado!AG$3=TotalApuestas!AG7),Resultado!AH$5+VLOOKUP(AH$4&amp;"bonus",Aux!$AD$1:$AE$46,2,0),IF(AH$3=TotalApuestas!AH7,AH$5,0)))</f>
        <v>0</v>
      </c>
      <c r="AI12" s="75">
        <f>IF($B12=0,0,IF(AI$3=TotalApuestas!AI7,AI$5,0))</f>
        <v>0</v>
      </c>
      <c r="AJ12" s="75">
        <f>IF($B12=0,0,IF(AJ$3=TotalApuestas!AJ7,AJ$5,0))</f>
        <v>0</v>
      </c>
      <c r="AK12" s="75">
        <f>IF($B12=0,0,IF(AND(AI$3=TotalApuestas!AI7,Resultado!AJ$3=TotalApuestas!AJ7),Resultado!AK$5+VLOOKUP(AK$4&amp;"bonus",Aux!$AD$1:$AE$46,2,0),IF(AK$3=TotalApuestas!AK7,AK$5,0)))</f>
        <v>0</v>
      </c>
      <c r="AL12" s="75">
        <f>IF($B12=0,0,IF(AL$3=TotalApuestas!AL7,AL$5,0))</f>
        <v>0</v>
      </c>
      <c r="AM12" s="75">
        <f>IF($B12=0,0,IF(AM$3=TotalApuestas!AM7,AM$5,0))</f>
        <v>0</v>
      </c>
      <c r="AN12" s="75">
        <f>IF($B12=0,0,IF(AND(AL$3=TotalApuestas!AL7,Resultado!AM$3=TotalApuestas!AM7),Resultado!AN$5+VLOOKUP(AN$4&amp;"bonus",Aux!$AD$1:$AE$46,2,0),IF(AN$3=TotalApuestas!AN7,AN$5,0)))</f>
        <v>0</v>
      </c>
      <c r="AO12" s="75">
        <f>IF($B12=0,0,IF(AO$3=TotalApuestas!AO7,AO$5,0))</f>
        <v>0</v>
      </c>
      <c r="AP12" s="75">
        <f>IF($B12=0,0,IF(AP$3=TotalApuestas!AP7,AP$5,0))</f>
        <v>0</v>
      </c>
      <c r="AQ12" s="75">
        <f>IF($B12=0,0,IF(AND(AO$3=TotalApuestas!AO7,Resultado!AP$3=TotalApuestas!AP7),Resultado!AQ$5+VLOOKUP(AQ$4&amp;"bonus",Aux!$AD$1:$AE$46,2,0),IF(AQ$3=TotalApuestas!AQ7,AQ$5,0)))</f>
        <v>0</v>
      </c>
      <c r="AR12" s="75">
        <f>IF($B12=0,0,IF(AR$3=TotalApuestas!AR7,AR$5,0))</f>
        <v>0</v>
      </c>
      <c r="AS12" s="75">
        <f>IF($B12=0,0,IF(AS$3=TotalApuestas!AS7,AS$5,0))</f>
        <v>0</v>
      </c>
      <c r="AT12" s="75">
        <f>IF($B12=0,0,IF(AND(AR$3=TotalApuestas!AR7,Resultado!AS$3=TotalApuestas!AS7),Resultado!AT$5+VLOOKUP(AT$4&amp;"bonus",Aux!$AD$1:$AE$46,2,0),IF(AT$3=TotalApuestas!AT7,AT$5,0)))</f>
        <v>0</v>
      </c>
      <c r="AU12" s="75">
        <f>IF($B12=0,0,IF(AU$3=TotalApuestas!AU7,AU$5,0))</f>
        <v>0</v>
      </c>
      <c r="AV12" s="75">
        <f>IF($B12=0,0,IF(AV$3=TotalApuestas!AV7,AV$5,0))</f>
        <v>0</v>
      </c>
      <c r="AW12" s="75">
        <f>IF($B12=0,0,IF(AND(AU$3=TotalApuestas!AU7,Resultado!AV$3=TotalApuestas!AV7),Resultado!AW$5+VLOOKUP(AW$4&amp;"bonus",Aux!$AD$1:$AE$46,2,0),IF(AW$3=TotalApuestas!AW7,AW$5,0)))</f>
        <v>0</v>
      </c>
      <c r="AX12" s="75">
        <f>IF($B12=0,0,IF(AX$3=TotalApuestas!AX7,AX$5,0))</f>
        <v>0</v>
      </c>
      <c r="AY12" s="75">
        <f>IF($B12=0,0,IF(AY$3=TotalApuestas!AY7,AY$5,0))</f>
        <v>0</v>
      </c>
      <c r="AZ12" s="75">
        <f>IF($B12=0,0,IF(AND(AX$3=TotalApuestas!AX7,Resultado!AY$3=TotalApuestas!AY7),Resultado!AZ$5+VLOOKUP(AZ$4&amp;"bonus",Aux!$AD$1:$AE$46,2,0),IF(AZ$3=TotalApuestas!AZ7,AZ$5,0)))</f>
        <v>0</v>
      </c>
      <c r="BA12" s="75">
        <f>IF($B12=0,0,IF(BA$3=TotalApuestas!BA7,BA$5,0))</f>
        <v>0</v>
      </c>
      <c r="BB12" s="75">
        <f>IF($B12=0,0,IF(BB$3=TotalApuestas!BB7,BB$5,0))</f>
        <v>0</v>
      </c>
      <c r="BC12" s="75">
        <f>IF($B12=0,0,IF(AND(BA$3=TotalApuestas!BA7,Resultado!BB$3=TotalApuestas!BB7),Resultado!BC$5+VLOOKUP(BC$4&amp;"bonus",Aux!$AD$1:$AE$46,2,0),IF(BC$3=TotalApuestas!BC7,BC$5,0)))</f>
        <v>0</v>
      </c>
      <c r="BD12" s="75">
        <f>IF($B12=0,0,IF(BD$3=TotalApuestas!BD7,BD$5,0))</f>
        <v>0</v>
      </c>
      <c r="BE12" s="75">
        <f>IF($B12=0,0,IF(BE$3=TotalApuestas!BE7,BE$5,0))</f>
        <v>0</v>
      </c>
      <c r="BF12" s="75">
        <f>IF($B12=0,0,IF(AND(BD$3=TotalApuestas!BD7,Resultado!BE$3=TotalApuestas!BE7),Resultado!BF$5+VLOOKUP(BF$4&amp;"bonus",Aux!$AD$1:$AE$46,2,0),IF(BF$3=TotalApuestas!BF7,BF$5,0)))</f>
        <v>0</v>
      </c>
      <c r="BG12" s="75">
        <f>IF($B12=0,0,IF(BG$3=TotalApuestas!BG7,BG$5,0))</f>
        <v>0</v>
      </c>
      <c r="BH12" s="75">
        <f>IF($B12=0,0,IF(BH$3=TotalApuestas!BH7,BH$5,0))</f>
        <v>0</v>
      </c>
      <c r="BI12" s="75">
        <f>IF($B12=0,0,IF(AND(BG$3=TotalApuestas!BG7,Resultado!BH$3=TotalApuestas!BH7),Resultado!BI$5+VLOOKUP(BI$4&amp;"bonus",Aux!$AD$1:$AE$46,2,0),IF(BI$3=TotalApuestas!BI7,BI$5,0)))</f>
        <v>0</v>
      </c>
      <c r="BJ12" s="75">
        <f>IF($B12=0,0,IF(BJ$3=TotalApuestas!BJ7,BJ$5,0))</f>
        <v>0</v>
      </c>
      <c r="BK12" s="75">
        <f>IF($B12=0,0,IF(BK$3=TotalApuestas!BK7,BK$5,0))</f>
        <v>0</v>
      </c>
      <c r="BL12" s="75">
        <f>IF($B12=0,0,IF(AND(BJ$3=TotalApuestas!BJ7,Resultado!BK$3=TotalApuestas!BK7),Resultado!BL$5+VLOOKUP(BL$4&amp;"bonus",Aux!$AD$1:$AE$46,2,0),IF(BL$3=TotalApuestas!BL7,BL$5,0)))</f>
        <v>0</v>
      </c>
      <c r="BM12" s="75">
        <f>IF($B12=0,0,IF(BM$3=TotalApuestas!BM7,BM$5,0))</f>
        <v>0</v>
      </c>
      <c r="BN12" s="75">
        <f>IF($B12=0,0,IF(BN$3=TotalApuestas!BN7,BN$5,0))</f>
        <v>0</v>
      </c>
      <c r="BO12" s="75">
        <f>IF($B12=0,0,IF(AND(BM$3=TotalApuestas!BM7,Resultado!BN$3=TotalApuestas!BN7),Resultado!BO$5+VLOOKUP(BO$4&amp;"bonus",Aux!$AD$1:$AE$46,2,0),IF(BO$3=TotalApuestas!BO7,BO$5,0)))</f>
        <v>0</v>
      </c>
      <c r="BP12" s="75">
        <f>IF($B12=0,0,IF(BP$3=TotalApuestas!BP7,BP$5,0))</f>
        <v>0</v>
      </c>
      <c r="BQ12" s="75">
        <f>IF($B12=0,0,IF(BQ$3=TotalApuestas!BQ7,BQ$5,0))</f>
        <v>0</v>
      </c>
      <c r="BR12" s="75">
        <f>IF($B12=0,0,IF(AND(BP$3=TotalApuestas!BP7,Resultado!BQ$3=TotalApuestas!BQ7),Resultado!BR$5+VLOOKUP(BR$4&amp;"bonus",Aux!$AD$1:$AE$46,2,0),IF(BR$3=TotalApuestas!BR7,BR$5,0)))</f>
        <v>0</v>
      </c>
      <c r="BS12" s="75">
        <f>IF($B12=0,0,IF(BS$3=TotalApuestas!BS7,BS$5,0))</f>
        <v>0</v>
      </c>
      <c r="BT12" s="75">
        <f>IF($B12=0,0,IF(BT$3=TotalApuestas!BT7,BT$5,0))</f>
        <v>0</v>
      </c>
      <c r="BU12" s="75">
        <f>IF($B12=0,0,IF(AND(BS$3=TotalApuestas!BS7,Resultado!BT$3=TotalApuestas!BT7),Resultado!BU$5+VLOOKUP(BU$4&amp;"bonus",Aux!$AD$1:$AE$46,2,0),IF(BU$3=TotalApuestas!BU7,BU$5,0)))</f>
        <v>0</v>
      </c>
      <c r="BV12" s="75">
        <f>IF($B12=0,0,IF(BV$3=TotalApuestas!BV7,BV$5,0))</f>
        <v>0</v>
      </c>
      <c r="BW12" s="75">
        <f>IF($B12=0,0,IF(BW$3=TotalApuestas!BW7,BW$5,0))</f>
        <v>0</v>
      </c>
      <c r="BX12" s="75">
        <f>IF($B12=0,0,IF(AND(BV$3=TotalApuestas!BV7,Resultado!BW$3=TotalApuestas!BW7),Resultado!BX$5+VLOOKUP(BX$4&amp;"bonus",Aux!$AD$1:$AE$46,2,0),IF(BX$3=TotalApuestas!BX7,BX$5,0)))</f>
        <v>0</v>
      </c>
      <c r="BY12" s="75">
        <f>IF($B12=0,0,IF(BY$3=TotalApuestas!BY7,BY$5,0))</f>
        <v>0</v>
      </c>
      <c r="BZ12" s="75">
        <f>IF($B12=0,0,IF(BZ$3=TotalApuestas!BZ7,BZ$5,0))</f>
        <v>0</v>
      </c>
      <c r="CA12" s="75">
        <f>IF($B12=0,0,IF(AND(BY$3=TotalApuestas!BY7,Resultado!BZ$3=TotalApuestas!BZ7),Resultado!CA$5+VLOOKUP(CA$4&amp;"bonus",Aux!$AD$1:$AE$46,2,0),IF(CA$3=TotalApuestas!CA7,CA$5,0)))</f>
        <v>0</v>
      </c>
      <c r="CB12" s="75">
        <f>IF($B12=0,0,IF(CB$3=TotalApuestas!CB7,CB$5,0))</f>
        <v>0</v>
      </c>
      <c r="CC12" s="75">
        <f>IF($B12=0,0,IF(CC$3=TotalApuestas!CC7,CC$5,0))</f>
        <v>0</v>
      </c>
      <c r="CD12" s="75">
        <f>IF($B12=0,0,IF(AND(CB$3=TotalApuestas!CB7,Resultado!CC$3=TotalApuestas!CC7),Resultado!CD$5+VLOOKUP(CD$4&amp;"bonus",Aux!$AD$1:$AE$46,2,0),IF(CD$3=TotalApuestas!CD7,CD$5,0)))</f>
        <v>0</v>
      </c>
      <c r="CE12" s="75">
        <f>IF($B12=0,0,IF(CE$3=TotalApuestas!CE7,CE$5,0))</f>
        <v>0</v>
      </c>
      <c r="CF12" s="75">
        <f>IF($B12=0,0,IF(CF$3=TotalApuestas!CF7,CF$5,0))</f>
        <v>0</v>
      </c>
      <c r="CG12" s="75">
        <f>IF($B12=0,0,IF(AND(CE$3=TotalApuestas!CE7,Resultado!CF$3=TotalApuestas!CF7),Resultado!CG$5+VLOOKUP(CG$4&amp;"bonus",Aux!$AD$1:$AE$46,2,0),IF(CG$3=TotalApuestas!CG7,CG$5,0)))</f>
        <v>0</v>
      </c>
      <c r="CH12" s="75">
        <f>IF($B12=0,0,IF(CH$3=TotalApuestas!CH7,CH$5,0))</f>
        <v>0</v>
      </c>
      <c r="CI12" s="75">
        <f>IF($B12=0,0,IF(CI$3=TotalApuestas!CI7,CI$5,0))</f>
        <v>0</v>
      </c>
      <c r="CJ12" s="75">
        <f>IF($B12=0,0,IF(AND(CH$3=TotalApuestas!CH7,Resultado!CI$3=TotalApuestas!CI7),Resultado!CJ$5+VLOOKUP(CJ$4&amp;"bonus",Aux!$AD$1:$AE$46,2,0),IF(CJ$3=TotalApuestas!CJ7,CJ$5,0)))</f>
        <v>0</v>
      </c>
      <c r="CK12" s="75">
        <f>IF($B12=0,0,IF(CK$3=TotalApuestas!CK7,CK$5,0))</f>
        <v>0</v>
      </c>
      <c r="CL12" s="75">
        <f>IF($B12=0,0,IF(CL$3=TotalApuestas!CL7,CL$5,0))</f>
        <v>0</v>
      </c>
      <c r="CM12" s="75">
        <f>IF($B12=0,0,IF(AND(CK$3=TotalApuestas!CK7,Resultado!CL$3=TotalApuestas!CL7),Resultado!CM$5+VLOOKUP(CM$4&amp;"bonus",Aux!$AD$1:$AE$46,2,0),IF(CM$3=TotalApuestas!CM7,CM$5,0)))</f>
        <v>0</v>
      </c>
      <c r="CN12" s="75">
        <f>IF($B12=0,0,IF(CN$3=TotalApuestas!CN7,CN$5,0))</f>
        <v>0</v>
      </c>
      <c r="CO12" s="75">
        <f>IF($B12=0,0,IF(CO$3=TotalApuestas!CO7,CO$5,0))</f>
        <v>0</v>
      </c>
      <c r="CP12" s="75">
        <f>IF($B12=0,0,IF(AND(CN$3=TotalApuestas!CN7,Resultado!CO$3=TotalApuestas!CO7),Resultado!CP$5+VLOOKUP(CP$4&amp;"bonus",Aux!$AD$1:$AE$46,2,0),IF(CP$3=TotalApuestas!CP7,CP$5,0)))</f>
        <v>0</v>
      </c>
      <c r="CQ12" s="75">
        <f>IF($B12=0,0,IF(CQ$3=TotalApuestas!CQ7,CQ$5,0))</f>
        <v>0</v>
      </c>
      <c r="CR12" s="75">
        <f>IF($B12=0,0,IF(CR$3=TotalApuestas!CR7,CR$5,0))</f>
        <v>0</v>
      </c>
      <c r="CS12" s="75">
        <f>IF($B12=0,0,IF(AND(CQ$3=TotalApuestas!CQ7,Resultado!CR$3=TotalApuestas!CR7),Resultado!CS$5+VLOOKUP(CS$4&amp;"bonus",Aux!$AD$1:$AE$46,2,0),IF(CS$3=TotalApuestas!CS7,CS$5,0)))</f>
        <v>0</v>
      </c>
      <c r="CT12" s="75">
        <f>IF($B12=0,0,IF(CT$3=TotalApuestas!CT7,CT$5,0))</f>
        <v>0</v>
      </c>
      <c r="CU12" s="75">
        <f>IF($B12=0,0,IF(CU$3=TotalApuestas!CU7,CU$5,0))</f>
        <v>0</v>
      </c>
      <c r="CV12" s="75">
        <f>IF($B12=0,0,IF(AND(CT$3=TotalApuestas!CT7,Resultado!CU$3=TotalApuestas!CU7),Resultado!CV$5+VLOOKUP(CV$4&amp;"bonus",Aux!$AD$1:$AE$46,2,0),IF(CV$3=TotalApuestas!CV7,CV$5,0)))</f>
        <v>0</v>
      </c>
      <c r="CW12" s="75">
        <f>IF($B12=0,0,IF(CW$3=TotalApuestas!CW7,CW$5,0))</f>
        <v>0</v>
      </c>
      <c r="CX12" s="75">
        <f>IF($B12=0,0,IF(CX$3=TotalApuestas!CX7,CX$5,0))</f>
        <v>0</v>
      </c>
      <c r="CY12" s="75">
        <f>IF($B12=0,0,IF(AND(CW$3=TotalApuestas!CW7,Resultado!CX$3=TotalApuestas!CX7),Resultado!CY$5+VLOOKUP(CY$4&amp;"bonus",Aux!$AD$1:$AE$46,2,0),IF(CY$3=TotalApuestas!CY7,CY$5,0)))</f>
        <v>0</v>
      </c>
      <c r="CZ12" s="75">
        <f>IF($B12=0,0,IF(CZ$3=TotalApuestas!CZ7,CZ$5,0))</f>
        <v>0</v>
      </c>
      <c r="DA12" s="75">
        <f>IF($B12=0,0,IF(DA$3=TotalApuestas!DA7,DA$5,0))</f>
        <v>0</v>
      </c>
      <c r="DB12" s="75">
        <f>IF($B12=0,0,IF(AND(CZ$3=TotalApuestas!CZ7,Resultado!DA$3=TotalApuestas!DA7),Resultado!DB$5+VLOOKUP(DB$4&amp;"bonus",Aux!$AD$1:$AE$46,2,0),IF(DB$3=TotalApuestas!DB7,DB$5,0)))</f>
        <v>0</v>
      </c>
      <c r="DC12" s="75">
        <f>IF($B12=0,0,IF(DC$3=TotalApuestas!DC7,DC$5,0))</f>
        <v>0</v>
      </c>
      <c r="DD12" s="75">
        <f>IF($B12=0,0,IF(DD$3=TotalApuestas!DD7,DD$5,0))</f>
        <v>0</v>
      </c>
      <c r="DE12" s="75">
        <f>IF($B12=0,0,IF(AND(DC$3=TotalApuestas!DC7,Resultado!DD$3=TotalApuestas!DD7),Resultado!DE$5+VLOOKUP(DE$4&amp;"bonus",Aux!$AD$1:$AE$46,2,0),IF(DE$3=TotalApuestas!DE7,DE$5,0)))</f>
        <v>0</v>
      </c>
      <c r="DF12" s="75">
        <f>IF($B12=0,0,IF(DF$3=TotalApuestas!DF7,DF$5,0))</f>
        <v>0</v>
      </c>
      <c r="DG12" s="75">
        <f>IF($B12=0,0,IF(DG$3=TotalApuestas!DG7,DG$5,0))</f>
        <v>0</v>
      </c>
      <c r="DH12" s="75">
        <f>IF($B12=0,0,IF(AND(DF$3=TotalApuestas!DF7,Resultado!DG$3=TotalApuestas!DG7),Resultado!DH$5+VLOOKUP(DH$4&amp;"bonus",Aux!$AD$1:$AE$46,2,0),IF(DH$3=TotalApuestas!DH7,DH$5,0)))</f>
        <v>0</v>
      </c>
      <c r="DI12" s="75">
        <f>IF($B12=0,0,IF(DI$3=TotalApuestas!DI7,DI$5,0))</f>
        <v>0</v>
      </c>
      <c r="DJ12" s="75">
        <f>IF($B12=0,0,IF(DJ$3=TotalApuestas!DJ7,DJ$5,0))</f>
        <v>0</v>
      </c>
      <c r="DK12" s="75">
        <f>IF($B12=0,0,IF(AND(DI$3=TotalApuestas!DI7,Resultado!DJ$3=TotalApuestas!DJ7),Resultado!DK$5+VLOOKUP(DK$4&amp;"bonus",Aux!$AD$1:$AE$46,2,0),IF(DK$3=TotalApuestas!DK7,DK$5,0)))</f>
        <v>0</v>
      </c>
      <c r="DL12" s="75">
        <f>IF($B12=0,0,IF(DL$3=TotalApuestas!DL7,DL$5,0))</f>
        <v>0</v>
      </c>
      <c r="DM12" s="75">
        <f>IF($B12=0,0,IF(DM$3=TotalApuestas!DM7,DM$5,0))</f>
        <v>0</v>
      </c>
      <c r="DN12" s="75">
        <f>IF($B12=0,0,IF(AND(DL$3=TotalApuestas!DL7,Resultado!DM$3=TotalApuestas!DM7),Resultado!DN$5+VLOOKUP(DN$4&amp;"bonus",Aux!$AD$1:$AE$46,2,0),IF(DN$3=TotalApuestas!DN7,DN$5,0)))</f>
        <v>0</v>
      </c>
      <c r="DO12" s="75">
        <f>IF($B12=0,0,IF(DO$3=TotalApuestas!DO7,DO$5,0))</f>
        <v>0</v>
      </c>
      <c r="DP12" s="75">
        <f>IF($B12=0,0,IF(DP$3=TotalApuestas!DP7,DP$5,0))</f>
        <v>0</v>
      </c>
      <c r="DQ12" s="75">
        <f>IF($B12=0,0,IF(AND(DO$3=TotalApuestas!DO7,Resultado!DP$3=TotalApuestas!DP7),Resultado!DQ$5+VLOOKUP(DQ$4&amp;"bonus",Aux!$AD$1:$AE$46,2,0),IF(DQ$3=TotalApuestas!DQ7,DQ$5,0)))</f>
        <v>0</v>
      </c>
      <c r="DR12" s="75">
        <f>IF($B12=0,0,IF(DR$3=TotalApuestas!DR7,DR$5,0))</f>
        <v>0</v>
      </c>
      <c r="DS12" s="75">
        <f>IF($B12=0,0,IF(DS$3=TotalApuestas!DS7,DS$5,0))</f>
        <v>0</v>
      </c>
      <c r="DT12" s="75">
        <f>IF($B12=0,0,IF(AND(DR$3=TotalApuestas!DR7,Resultado!DS$3=TotalApuestas!DS7),Resultado!DT$5+VLOOKUP(DT$4&amp;"bonus",Aux!$AD$1:$AE$46,2,0),IF(DT$3=TotalApuestas!DT7,DT$5,0)))</f>
        <v>0</v>
      </c>
      <c r="DU12" s="75">
        <f>IF($B12=0,0,IF(DU$3=TotalApuestas!DU7,DU$5,0))</f>
        <v>0</v>
      </c>
      <c r="DV12" s="75">
        <f>IF($B12=0,0,IF(DV$3=TotalApuestas!DV7,DV$5,0))</f>
        <v>0</v>
      </c>
      <c r="DW12" s="75">
        <f>IF($B12=0,0,IF(AND(DU$3=TotalApuestas!DU7,Resultado!DV$3=TotalApuestas!DV7),Resultado!DW$5+VLOOKUP(DW$4&amp;"bonus",Aux!$AD$1:$AE$46,2,0),IF(DW$3=TotalApuestas!DW7,DW$5,0)))</f>
        <v>0</v>
      </c>
      <c r="DX12" s="75">
        <f>IF($B12=0,0,IF(DX$3=TotalApuestas!DX7,DX$5,0))</f>
        <v>0</v>
      </c>
      <c r="DY12" s="75">
        <f>IF($B12=0,0,IF(DY$3=TotalApuestas!DY7,DY$5,0))</f>
        <v>0</v>
      </c>
      <c r="DZ12" s="75">
        <f>IF($B12=0,0,IF(AND(DX$3=TotalApuestas!DX7,Resultado!DY$3=TotalApuestas!DY7),Resultado!DZ$5+VLOOKUP(DZ$4&amp;"bonus",Aux!$AD$1:$AE$46,2,0),IF(DZ$3=TotalApuestas!DZ7,DZ$5,0)))</f>
        <v>0</v>
      </c>
      <c r="EA12" s="75">
        <f>IF($B12=0,0,IF(EA$3=TotalApuestas!EA7,EA$5,0))</f>
        <v>0</v>
      </c>
      <c r="EB12" s="75">
        <f>IF($B12=0,0,IF(EB$3=TotalApuestas!EB7,EB$5,0))</f>
        <v>0</v>
      </c>
      <c r="EC12" s="75">
        <f>IF($B12=0,0,IF(AND(EA$3=TotalApuestas!EA7,Resultado!EB$3=TotalApuestas!EB7),Resultado!EC$5+VLOOKUP(EC$4&amp;"bonus",Aux!$AD$1:$AE$46,2,0),IF(EC$3=TotalApuestas!EC7,EC$5,0)))</f>
        <v>0</v>
      </c>
      <c r="ED12" s="75">
        <f>IF($B12=0,0,IF(ED$3=TotalApuestas!ED7,ED$5,0))</f>
        <v>0</v>
      </c>
      <c r="EE12" s="75">
        <f>IF($B12=0,0,IF(EE$3=TotalApuestas!EE7,EE$5,0))</f>
        <v>0</v>
      </c>
      <c r="EF12" s="75">
        <f>IF($B12=0,0,IF(AND(ED$3=TotalApuestas!ED7,Resultado!EE$3=TotalApuestas!EE7),Resultado!EF$5+VLOOKUP(EF$4&amp;"bonus",Aux!$AD$1:$AE$46,2,0),IF(EF$3=TotalApuestas!EF7,EF$5,0)))</f>
        <v>0</v>
      </c>
      <c r="EG12" s="75">
        <f>IF($B12=0,0,IF(EG$3=TotalApuestas!EG7,EG$5,0))</f>
        <v>0</v>
      </c>
      <c r="EH12" s="75">
        <f>IF($B12=0,0,IF(EH$3=TotalApuestas!EH7,EH$5,0))</f>
        <v>0</v>
      </c>
      <c r="EI12" s="75">
        <f>IF($B12=0,0,IF(AND(EG$3=TotalApuestas!EG7,Resultado!EH$3=TotalApuestas!EH7),Resultado!EI$5+VLOOKUP(EI$4&amp;"bonus",Aux!$AD$1:$AE$46,2,0),IF(EI$3=TotalApuestas!EI7,EI$5,0)))</f>
        <v>0</v>
      </c>
      <c r="EJ12" s="75">
        <f>IF($B12=0,0,IF(EJ$3=TotalApuestas!EJ7,EJ$5,0))</f>
        <v>0</v>
      </c>
      <c r="EK12" s="75">
        <f>IF($B12=0,0,IF(EK$3=TotalApuestas!EK7,EK$5,0))</f>
        <v>0</v>
      </c>
      <c r="EL12" s="75">
        <f>IF($B12=0,0,IF(AND(EJ$3=TotalApuestas!EJ7,Resultado!EK$3=TotalApuestas!EK7),Resultado!EL$5+VLOOKUP(EL$4&amp;"bonus",Aux!$AD$1:$AE$46,2,0),IF(EL$3=TotalApuestas!EL7,EL$5,0)))</f>
        <v>0</v>
      </c>
      <c r="EM12" s="75">
        <f>IF($B12=0,0,IF(EM$3=TotalApuestas!EM7,EM$5,0))</f>
        <v>0</v>
      </c>
      <c r="EN12" s="75">
        <f>IF($B12=0,0,IF(EN$3=TotalApuestas!EN7,EN$5,0))</f>
        <v>0</v>
      </c>
      <c r="EO12" s="75">
        <f>IF($B12=0,0,IF(AND(EM$3=TotalApuestas!EM7,Resultado!EN$3=TotalApuestas!EN7),Resultado!EO$5+VLOOKUP(EO$4&amp;"bonus",Aux!$AD$1:$AE$46,2,0),IF(EO$3=TotalApuestas!EO7,EO$5,0)))</f>
        <v>0</v>
      </c>
      <c r="EP12" s="75">
        <f>IF($B12=0,0,IF(EP$3=TotalApuestas!EP7,EP$5,0))</f>
        <v>0</v>
      </c>
      <c r="EQ12" s="75">
        <f>IF($B12=0,0,IF(EQ$3=TotalApuestas!EQ7,EQ$5,0))</f>
        <v>0</v>
      </c>
      <c r="ER12" s="75">
        <f>IF($B12=0,0,IF(AND(EP$3=TotalApuestas!EP7,Resultado!EQ$3=TotalApuestas!EQ7),Resultado!ER$5+VLOOKUP(ER$4&amp;"bonus",Aux!$AD$1:$AE$46,2,0),IF(ER$3=TotalApuestas!ER7,ER$5,0)))</f>
        <v>0</v>
      </c>
      <c r="ES12" s="75">
        <f>IF($B12=0,0,IF(ES$3=TotalApuestas!ES7,ES$5,0))</f>
        <v>0</v>
      </c>
      <c r="ET12" s="75">
        <f>IF($B12=0,0,IF(ET$3=TotalApuestas!ET7,ET$5,0))</f>
        <v>0</v>
      </c>
      <c r="EU12" s="75">
        <f>IF($B12=0,0,IF(EU$3=TotalApuestas!EU7,EU$5,0))</f>
        <v>0</v>
      </c>
      <c r="EV12" s="75">
        <f>IF($B12=0,0,IF(EV$3=TotalApuestas!EV7,EV$5,0))</f>
        <v>0</v>
      </c>
      <c r="EW12" s="75">
        <f>IF($B12=0,0,IF(EW$3=TotalApuestas!EW7,EW$5,0))</f>
        <v>0</v>
      </c>
      <c r="EX12" s="75">
        <f>IF($B12=0,0,IF(EX$3=TotalApuestas!EX7,EX$5,0))</f>
        <v>0</v>
      </c>
      <c r="EY12" s="75">
        <f>IF($B12=0,0,IF(EY$3=TotalApuestas!EY7,EY$5,0))</f>
        <v>0</v>
      </c>
      <c r="EZ12" s="75">
        <f>IF($B12=0,0,IF(EZ$3=TotalApuestas!EZ7,EZ$5,0))</f>
        <v>0</v>
      </c>
      <c r="FA12" s="75">
        <f>IF($B12=0,0,IF(FA$3=TotalApuestas!FA7,FA$5,0))</f>
        <v>0</v>
      </c>
      <c r="FB12" s="75">
        <f>IF($B12=0,0,IF(FB$3=TotalApuestas!FB7,FB$5,0))</f>
        <v>0</v>
      </c>
      <c r="FC12" s="75">
        <f>IF($B12=0,0,IF(FC$3=TotalApuestas!FC7,FC$5,0))</f>
        <v>0</v>
      </c>
      <c r="FD12" s="75">
        <f>IF($B12=0,0,IF(FD$3=TotalApuestas!FD7,FD$5,0))</f>
        <v>0</v>
      </c>
      <c r="FE12" s="75">
        <f>IF($B12=0,0,IF(FE$3=TotalApuestas!FE7,FE$5,0))</f>
        <v>0</v>
      </c>
      <c r="FF12" s="75">
        <f>IF($B12=0,0,IF(FF$3=TotalApuestas!FF7,FF$5,0))</f>
        <v>0</v>
      </c>
      <c r="FG12" s="75">
        <f>IF($B12=0,0,IF(FG$3=TotalApuestas!FG7,FG$5,0))</f>
        <v>0</v>
      </c>
      <c r="FH12" s="75">
        <f>IF($B12=0,0,IF(FH$3=TotalApuestas!FH7,FH$5,0))</f>
        <v>0</v>
      </c>
      <c r="FI12" s="75">
        <f>IF($B12=0,0,IF(FI$3=TotalApuestas!FI7,FI$5,0))</f>
        <v>0</v>
      </c>
      <c r="FJ12" s="75">
        <f>IF($B12=0,0,IF(FJ$3=TotalApuestas!FJ7,FJ$5,0))</f>
        <v>0</v>
      </c>
      <c r="FK12" s="75">
        <f>IF($B12=0,0,IF(FK$3=TotalApuestas!FK7,FK$5,0))</f>
        <v>0</v>
      </c>
      <c r="FL12" s="75">
        <f>IF($B12=0,0,IF(FL$3=TotalApuestas!FL7,FL$5,0))</f>
        <v>0</v>
      </c>
      <c r="FM12" s="75">
        <f>IF($B12=0,0,IF(FM$3=TotalApuestas!FM7,FM$5,0))</f>
        <v>0</v>
      </c>
      <c r="FN12" s="75">
        <f>IF($B12=0,0,IF(FN$3=TotalApuestas!FN7,FN$5,0))</f>
        <v>0</v>
      </c>
      <c r="FO12" s="75">
        <f>IF($B12=0,0,IF(FO$3=TotalApuestas!FO7,FO$5,0))</f>
        <v>0</v>
      </c>
      <c r="FP12" s="75">
        <f>IF($B12=0,0,IF(FP$3=TotalApuestas!FP7,FP$5,0))</f>
        <v>0</v>
      </c>
      <c r="FQ12" s="75">
        <f>IF($B12=0,0,IF(FQ$3=TotalApuestas!FQ7,FQ$5,0))</f>
        <v>0</v>
      </c>
      <c r="FR12" s="75">
        <f>IF($B12=0,0,IF(FR$3=TotalApuestas!FR7,FR$5,0))</f>
        <v>0</v>
      </c>
      <c r="FS12" s="75">
        <f>IF($B12=0,0,IF(FS$3=TotalApuestas!FS7,FS$5,0))</f>
        <v>0</v>
      </c>
      <c r="FT12" s="75">
        <f>IF($B12=0,0,IF(FT$3=TotalApuestas!FT7,FT$5,0))</f>
        <v>0</v>
      </c>
      <c r="FU12" s="75">
        <f>IF($B12=0,0,IF(FU$3=TotalApuestas!FU7,FU$5,0))</f>
        <v>0</v>
      </c>
      <c r="FV12" s="75">
        <f>IF($B12=0,0,IF(FV$3=TotalApuestas!FV7,FV$5,0))</f>
        <v>0</v>
      </c>
      <c r="FW12" s="75">
        <f>IF($B12=0,0,IF(FW$3=TotalApuestas!FW7,FW$5,0))</f>
        <v>0</v>
      </c>
      <c r="FX12" s="75">
        <f>IF($B12=0,0,IF(FX$3=TotalApuestas!FX7,FX$5,0))</f>
        <v>0</v>
      </c>
      <c r="FY12" s="75">
        <f>IF($B12=0,0,IF(FY$3=TotalApuestas!FY7,FY$5,0))</f>
        <v>0</v>
      </c>
      <c r="FZ12" s="75">
        <f>IF($B12=0,0,IF(AND(FX$3=TotalApuestas!FX7,Resultado!FY$3=TotalApuestas!FY7),Resultado!FZ$5+VLOOKUP(FZ$4&amp;"bonus",Aux!$AD$1:$AE$46,2,0),IF(FZ$3=TotalApuestas!FZ7,FZ$5,0)))</f>
        <v>0</v>
      </c>
      <c r="GA12" s="75">
        <f>IF($B12=0,0,IF(GA$3=TotalApuestas!GA7,GA$5,0))</f>
        <v>0</v>
      </c>
      <c r="GB12" s="75">
        <f>IF($B12=0,0,IF(GB$3=TotalApuestas!GB7,GB$5,0))</f>
        <v>0</v>
      </c>
      <c r="GC12" s="75">
        <f>IF($B12=0,0,IF(AND(GA$3=TotalApuestas!GA7,Resultado!GB$3=TotalApuestas!GB7),Resultado!GC$5+VLOOKUP(GC$4&amp;"bonus",Aux!$AD$1:$AE$46,2,0),IF(GC$3=TotalApuestas!GC7,GC$5,0)))</f>
        <v>0</v>
      </c>
      <c r="GD12" s="75">
        <f>IF($B12=0,0,IF(GD$3=TotalApuestas!GD7,GD$5,0))</f>
        <v>0</v>
      </c>
      <c r="GE12" s="75">
        <f>IF($B12=0,0,IF(GE$3=TotalApuestas!GE7,GE$5,0))</f>
        <v>0</v>
      </c>
      <c r="GF12" s="75">
        <f>IF($B12=0,0,IF(AND(GD$3=TotalApuestas!GD7,Resultado!GE$3=TotalApuestas!GE7),Resultado!GF$5+VLOOKUP(GF$4&amp;"bonus",Aux!$AD$1:$AE$46,2,0),IF(GF$3=TotalApuestas!GF7,GF$5,0)))</f>
        <v>0</v>
      </c>
      <c r="GG12" s="75">
        <f>IF($B12=0,0,IF(GG$3=TotalApuestas!GG7,GG$5,0))</f>
        <v>0</v>
      </c>
      <c r="GH12" s="75">
        <f>IF($B12=0,0,IF(GH$3=TotalApuestas!GH7,GH$5,0))</f>
        <v>0</v>
      </c>
      <c r="GI12" s="75">
        <f>IF($B12=0,0,IF(AND(GG$3=TotalApuestas!GG7,Resultado!GH$3=TotalApuestas!GH7),Resultado!GI$5+VLOOKUP(GI$4&amp;"bonus",Aux!$AD$1:$AE$46,2,0),IF(GI$3=TotalApuestas!GI7,GI$5,0)))</f>
        <v>0</v>
      </c>
      <c r="GJ12" s="75">
        <f>IF($B12=0,0,IF(GJ$3=TotalApuestas!GJ7,GJ$5,0))</f>
        <v>0</v>
      </c>
      <c r="GK12" s="75">
        <f>IF($B12=0,0,IF(GK$3=TotalApuestas!GK7,GK$5,0))</f>
        <v>0</v>
      </c>
      <c r="GL12" s="75">
        <f>IF($B12=0,0,IF(AND(GJ$3=TotalApuestas!GJ7,Resultado!GK$3=TotalApuestas!GK7),Resultado!GL$5+VLOOKUP(GL$4&amp;"bonus",Aux!$AD$1:$AE$46,2,0),IF(GL$3=TotalApuestas!GL7,GL$5,0)))</f>
        <v>0</v>
      </c>
      <c r="GM12" s="75">
        <f>IF($B12=0,0,IF(GM$3=TotalApuestas!GM7,GM$5,0))</f>
        <v>0</v>
      </c>
      <c r="GN12" s="75">
        <f>IF($B12=0,0,IF(GN$3=TotalApuestas!GN7,GN$5,0))</f>
        <v>0</v>
      </c>
      <c r="GO12" s="75">
        <f>IF($B12=0,0,IF(AND(GM$3=TotalApuestas!GM7,Resultado!GN$3=TotalApuestas!GN7),Resultado!GO$5+VLOOKUP(GO$4&amp;"bonus",Aux!$AD$1:$AE$46,2,0),IF(GO$3=TotalApuestas!GO7,GO$5,0)))</f>
        <v>0</v>
      </c>
      <c r="GP12" s="75">
        <f>IF($B12=0,0,IF(GP$3=TotalApuestas!GP7,GP$5,0))</f>
        <v>0</v>
      </c>
      <c r="GQ12" s="75">
        <f>IF($B12=0,0,IF(GQ$3=TotalApuestas!GQ7,GQ$5,0))</f>
        <v>0</v>
      </c>
      <c r="GR12" s="75">
        <f>IF($B12=0,0,IF(AND(GP$3=TotalApuestas!GP7,Resultado!GQ$3=TotalApuestas!GQ7),Resultado!GR$5+VLOOKUP(GR$4&amp;"bonus",Aux!$AD$1:$AE$46,2,0),IF(GR$3=TotalApuestas!GR7,GR$5,0)))</f>
        <v>0</v>
      </c>
      <c r="GS12" s="75">
        <f>IF($B12=0,0,IF(GS$3=TotalApuestas!GS7,GS$5,0))</f>
        <v>0</v>
      </c>
      <c r="GT12" s="75">
        <f>IF($B12=0,0,IF(GT$3=TotalApuestas!GT7,GT$5,0))</f>
        <v>0</v>
      </c>
      <c r="GU12" s="75">
        <f>IF($B12=0,0,IF(AND(GS$3=TotalApuestas!GS7,Resultado!GT$3=TotalApuestas!GT7),Resultado!GU$5+VLOOKUP(GU$4&amp;"bonus",Aux!$AD$1:$AE$46,2,0),IF(GU$3=TotalApuestas!GU7,GU$5,0)))</f>
        <v>0</v>
      </c>
      <c r="GV12" s="75">
        <f>IF($B12=0,0,IF(GV$3=TotalApuestas!GV7,GV$5,0))</f>
        <v>0</v>
      </c>
      <c r="GW12" s="75">
        <f>IF($B12=0,0,IF(GW$3=TotalApuestas!GW7,GW$5,0))</f>
        <v>0</v>
      </c>
      <c r="GX12" s="75">
        <f>IF($B12=0,0,IF(AND(GV$3=TotalApuestas!GV7,Resultado!GW$3=TotalApuestas!GW7),Resultado!GX$5+VLOOKUP(GX$4&amp;"bonus",Aux!$AD$1:$AE$46,2,0),IF(GX$3=TotalApuestas!GX7,GX$5,0)))</f>
        <v>0</v>
      </c>
      <c r="GY12" s="75">
        <f>IF($B12=0,0,IF(GY$3=TotalApuestas!GY7,GY$5,0))</f>
        <v>0</v>
      </c>
      <c r="GZ12" s="75">
        <f>IF($B12=0,0,IF(GZ$3=TotalApuestas!GZ7,GZ$5,0))</f>
        <v>0</v>
      </c>
      <c r="HA12" s="75">
        <f>IF($B12=0,0,IF(AND(GY$3=TotalApuestas!GY7,Resultado!GZ$3=TotalApuestas!GZ7),Resultado!HA$5+VLOOKUP(HA$4&amp;"bonus",Aux!$AD$1:$AE$46,2,0),IF(HA$3=TotalApuestas!HA7,HA$5,0)))</f>
        <v>0</v>
      </c>
      <c r="HB12" s="75">
        <f>IF($B12=0,0,IF(HB$3=TotalApuestas!HB7,HB$5,0))</f>
        <v>0</v>
      </c>
      <c r="HC12" s="75">
        <f>IF($B12=0,0,IF(HC$3=TotalApuestas!HC7,HC$5,0))</f>
        <v>0</v>
      </c>
      <c r="HD12" s="75">
        <f>IF($B12=0,0,IF(AND(HB$3=TotalApuestas!HB7,Resultado!HC$3=TotalApuestas!HC7),Resultado!HD$5+VLOOKUP(HD$4&amp;"bonus",Aux!$AD$1:$AE$46,2,0),IF(HD$3=TotalApuestas!HD7,HD$5,0)))</f>
        <v>0</v>
      </c>
      <c r="HE12" s="75">
        <f>IF($B12=0,0,IF(HE$3=TotalApuestas!HE7,HE$5,0))</f>
        <v>0</v>
      </c>
      <c r="HF12" s="75">
        <f>IF($B12=0,0,IF(HF$3=TotalApuestas!HF7,HF$5,0))</f>
        <v>0</v>
      </c>
      <c r="HG12" s="75">
        <f>IF($B12=0,0,IF(AND(HE$3=TotalApuestas!HE7,Resultado!HF$3=TotalApuestas!HF7),Resultado!HG$5+VLOOKUP(HG$4&amp;"bonus",Aux!$AD$1:$AE$46,2,0),IF(HG$3=TotalApuestas!HG7,HG$5,0)))</f>
        <v>0</v>
      </c>
      <c r="HH12" s="75">
        <f>IF($B12=0,0,IF(HH$3=TotalApuestas!HH7,HH$5,0))</f>
        <v>0</v>
      </c>
      <c r="HI12" s="75">
        <f>IF($B12=0,0,IF(HI$3=TotalApuestas!HI7,HI$5,0))</f>
        <v>0</v>
      </c>
      <c r="HJ12" s="75">
        <f>IF($B12=0,0,IF(AND(HH$3=TotalApuestas!HH7,Resultado!HI$3=TotalApuestas!HI7),Resultado!HJ$5+VLOOKUP(HJ$4&amp;"bonus",Aux!$AD$1:$AE$46,2,0),IF(HJ$3=TotalApuestas!HJ7,HJ$5,0)))</f>
        <v>0</v>
      </c>
      <c r="HK12" s="75">
        <f>IF($B12=0,0,IF(HK$3=TotalApuestas!HK7,HK$5,0))</f>
        <v>0</v>
      </c>
      <c r="HL12" s="75">
        <f>IF($B12=0,0,IF(HL$3=TotalApuestas!HL7,HL$5,0))</f>
        <v>0</v>
      </c>
      <c r="HM12" s="75">
        <f>IF($B12=0,0,IF(AND(HK$3=TotalApuestas!HK7,Resultado!HL$3=TotalApuestas!HL7),Resultado!HM$5+VLOOKUP(HM$4&amp;"bonus",Aux!$AD$1:$AE$46,2,0),IF(HM$3=TotalApuestas!HM7,HM$5,0)))</f>
        <v>0</v>
      </c>
      <c r="HN12" s="75">
        <f>IF($B12=0,0,IF(HN$3=TotalApuestas!HN7,HN$5,0))</f>
        <v>0</v>
      </c>
      <c r="HO12" s="75">
        <f>IF($B12=0,0,IF(HO$3=TotalApuestas!HO7,HO$5,0))</f>
        <v>0</v>
      </c>
      <c r="HP12" s="75">
        <f>IF($B12=0,0,IF(AND(HN$3=TotalApuestas!HN7,Resultado!HO$3=TotalApuestas!HO7),Resultado!HP$5+VLOOKUP(HP$4&amp;"bonus",Aux!$AD$1:$AE$46,2,0),IF(HP$3=TotalApuestas!HP7,HP$5,0)))</f>
        <v>0</v>
      </c>
    </row>
    <row r="13" spans="2:224" x14ac:dyDescent="0.25">
      <c r="B13">
        <f>+TotalApuestas!B8</f>
        <v>0</v>
      </c>
      <c r="E13" s="75">
        <f>IF($B13=0,0,IF(E$3=TotalApuestas!E8,E$5,0))</f>
        <v>0</v>
      </c>
      <c r="F13" s="75">
        <f>IF($B13=0,0,IF(F$3=TotalApuestas!F8,F$5,0))</f>
        <v>0</v>
      </c>
      <c r="G13" s="75">
        <f>IF($B13=0,0,IF(AND(E$3=TotalApuestas!E8,Resultado!F$3=TotalApuestas!F8),Resultado!G$5+VLOOKUP(G$4&amp;"bonus",Aux!$AD$1:$AE$46,2,0),IF(G$3=TotalApuestas!G8,G$5,0)))</f>
        <v>0</v>
      </c>
      <c r="H13" s="75">
        <f>IF($B13=0,0,IF(H$3=TotalApuestas!H8,H$5,0))</f>
        <v>0</v>
      </c>
      <c r="I13" s="75">
        <f>IF($B13=0,0,IF(I$3=TotalApuestas!I8,I$5,0))</f>
        <v>0</v>
      </c>
      <c r="J13" s="75">
        <f>IF($B13=0,0,IF(AND(H$3=TotalApuestas!H8,Resultado!I$3=TotalApuestas!I8),Resultado!J$5+VLOOKUP(J$4&amp;"bonus",Aux!$AD$1:$AE$46,2,0),IF(J$3=TotalApuestas!J8,J$5,0)))</f>
        <v>0</v>
      </c>
      <c r="K13" s="75">
        <f>IF($B13=0,0,IF(K$3=TotalApuestas!K8,K$5,0))</f>
        <v>0</v>
      </c>
      <c r="L13" s="75">
        <f>IF($B13=0,0,IF(L$3=TotalApuestas!L8,L$5,0))</f>
        <v>0</v>
      </c>
      <c r="M13" s="75">
        <f>IF($B13=0,0,IF(AND(K$3=TotalApuestas!K8,Resultado!L$3=TotalApuestas!L8),Resultado!M$5+VLOOKUP(M$4&amp;"bonus",Aux!$AD$1:$AE$46,2,0),IF(M$3=TotalApuestas!M8,M$5,0)))</f>
        <v>0</v>
      </c>
      <c r="N13" s="75">
        <f>IF($B13=0,0,IF(N$3=TotalApuestas!N8,N$5,0))</f>
        <v>0</v>
      </c>
      <c r="O13" s="75">
        <f>IF($B13=0,0,IF(O$3=TotalApuestas!O8,O$5,0))</f>
        <v>0</v>
      </c>
      <c r="P13" s="75">
        <f>IF($B13=0,0,IF(AND(N$3=TotalApuestas!N8,Resultado!O$3=TotalApuestas!O8),Resultado!P$5+VLOOKUP(P$4&amp;"bonus",Aux!$AD$1:$AE$46,2,0),IF(P$3=TotalApuestas!P8,P$5,0)))</f>
        <v>0</v>
      </c>
      <c r="Q13" s="75">
        <f>IF($B13=0,0,IF(Q$3=TotalApuestas!Q8,Q$5,0))</f>
        <v>0</v>
      </c>
      <c r="R13" s="75">
        <f>IF($B13=0,0,IF(R$3=TotalApuestas!R8,R$5,0))</f>
        <v>0</v>
      </c>
      <c r="S13" s="75">
        <f>IF($B13=0,0,IF(AND(Q$3=TotalApuestas!Q8,Resultado!R$3=TotalApuestas!R8),Resultado!S$5+VLOOKUP(S$4&amp;"bonus",Aux!$AD$1:$AE$46,2,0),IF(S$3=TotalApuestas!S8,S$5,0)))</f>
        <v>0</v>
      </c>
      <c r="T13" s="75">
        <f>IF($B13=0,0,IF(T$3=TotalApuestas!T8,T$5,0))</f>
        <v>0</v>
      </c>
      <c r="U13" s="75">
        <f>IF($B13=0,0,IF(U$3=TotalApuestas!U8,U$5,0))</f>
        <v>0</v>
      </c>
      <c r="V13" s="75">
        <f>IF($B13=0,0,IF(AND(T$3=TotalApuestas!T8,Resultado!U$3=TotalApuestas!U8),Resultado!V$5+VLOOKUP(V$4&amp;"bonus",Aux!$AD$1:$AE$46,2,0),IF(V$3=TotalApuestas!V8,V$5,0)))</f>
        <v>0</v>
      </c>
      <c r="W13" s="75">
        <f>IF($B13=0,0,IF(W$3=TotalApuestas!W8,W$5,0))</f>
        <v>0</v>
      </c>
      <c r="X13" s="75">
        <f>IF($B13=0,0,IF(X$3=TotalApuestas!X8,X$5,0))</f>
        <v>0</v>
      </c>
      <c r="Y13" s="75">
        <f>IF($B13=0,0,IF(AND(W$3=TotalApuestas!W8,Resultado!X$3=TotalApuestas!X8),Resultado!Y$5+VLOOKUP(Y$4&amp;"bonus",Aux!$AD$1:$AE$46,2,0),IF(Y$3=TotalApuestas!Y8,Y$5,0)))</f>
        <v>0</v>
      </c>
      <c r="Z13" s="75">
        <f>IF($B13=0,0,IF(Z$3=TotalApuestas!Z8,Z$5,0))</f>
        <v>0</v>
      </c>
      <c r="AA13" s="75">
        <f>IF($B13=0,0,IF(AA$3=TotalApuestas!AA8,AA$5,0))</f>
        <v>0</v>
      </c>
      <c r="AB13" s="75">
        <f>IF($B13=0,0,IF(AND(Z$3=TotalApuestas!Z8,Resultado!AA$3=TotalApuestas!AA8),Resultado!AB$5+VLOOKUP(AB$4&amp;"bonus",Aux!$AD$1:$AE$46,2,0),IF(AB$3=TotalApuestas!AB8,AB$5,0)))</f>
        <v>0</v>
      </c>
      <c r="AC13" s="75">
        <f>IF($B13=0,0,IF(AC$3=TotalApuestas!AC8,AC$5,0))</f>
        <v>0</v>
      </c>
      <c r="AD13" s="75">
        <f>IF($B13=0,0,IF(AD$3=TotalApuestas!AD8,AD$5,0))</f>
        <v>0</v>
      </c>
      <c r="AE13" s="75">
        <f>IF($B13=0,0,IF(AND(AC$3=TotalApuestas!AC8,Resultado!AD$3=TotalApuestas!AD8),Resultado!AE$5+VLOOKUP(AE$4&amp;"bonus",Aux!$AD$1:$AE$46,2,0),IF(AE$3=TotalApuestas!AE8,AE$5,0)))</f>
        <v>0</v>
      </c>
      <c r="AF13" s="75">
        <f>IF($B13=0,0,IF(AF$3=TotalApuestas!AF8,AF$5,0))</f>
        <v>0</v>
      </c>
      <c r="AG13" s="75">
        <f>IF($B13=0,0,IF(AG$3=TotalApuestas!AG8,AG$5,0))</f>
        <v>0</v>
      </c>
      <c r="AH13" s="75">
        <f>IF($B13=0,0,IF(AND(AF$3=TotalApuestas!AF8,Resultado!AG$3=TotalApuestas!AG8),Resultado!AH$5+VLOOKUP(AH$4&amp;"bonus",Aux!$AD$1:$AE$46,2,0),IF(AH$3=TotalApuestas!AH8,AH$5,0)))</f>
        <v>0</v>
      </c>
      <c r="AI13" s="75">
        <f>IF($B13=0,0,IF(AI$3=TotalApuestas!AI8,AI$5,0))</f>
        <v>0</v>
      </c>
      <c r="AJ13" s="75">
        <f>IF($B13=0,0,IF(AJ$3=TotalApuestas!AJ8,AJ$5,0))</f>
        <v>0</v>
      </c>
      <c r="AK13" s="75">
        <f>IF($B13=0,0,IF(AND(AI$3=TotalApuestas!AI8,Resultado!AJ$3=TotalApuestas!AJ8),Resultado!AK$5+VLOOKUP(AK$4&amp;"bonus",Aux!$AD$1:$AE$46,2,0),IF(AK$3=TotalApuestas!AK8,AK$5,0)))</f>
        <v>0</v>
      </c>
      <c r="AL13" s="75">
        <f>IF($B13=0,0,IF(AL$3=TotalApuestas!AL8,AL$5,0))</f>
        <v>0</v>
      </c>
      <c r="AM13" s="75">
        <f>IF($B13=0,0,IF(AM$3=TotalApuestas!AM8,AM$5,0))</f>
        <v>0</v>
      </c>
      <c r="AN13" s="75">
        <f>IF($B13=0,0,IF(AND(AL$3=TotalApuestas!AL8,Resultado!AM$3=TotalApuestas!AM8),Resultado!AN$5+VLOOKUP(AN$4&amp;"bonus",Aux!$AD$1:$AE$46,2,0),IF(AN$3=TotalApuestas!AN8,AN$5,0)))</f>
        <v>0</v>
      </c>
      <c r="AO13" s="75">
        <f>IF($B13=0,0,IF(AO$3=TotalApuestas!AO8,AO$5,0))</f>
        <v>0</v>
      </c>
      <c r="AP13" s="75">
        <f>IF($B13=0,0,IF(AP$3=TotalApuestas!AP8,AP$5,0))</f>
        <v>0</v>
      </c>
      <c r="AQ13" s="75">
        <f>IF($B13=0,0,IF(AND(AO$3=TotalApuestas!AO8,Resultado!AP$3=TotalApuestas!AP8),Resultado!AQ$5+VLOOKUP(AQ$4&amp;"bonus",Aux!$AD$1:$AE$46,2,0),IF(AQ$3=TotalApuestas!AQ8,AQ$5,0)))</f>
        <v>0</v>
      </c>
      <c r="AR13" s="75">
        <f>IF($B13=0,0,IF(AR$3=TotalApuestas!AR8,AR$5,0))</f>
        <v>0</v>
      </c>
      <c r="AS13" s="75">
        <f>IF($B13=0,0,IF(AS$3=TotalApuestas!AS8,AS$5,0))</f>
        <v>0</v>
      </c>
      <c r="AT13" s="75">
        <f>IF($B13=0,0,IF(AND(AR$3=TotalApuestas!AR8,Resultado!AS$3=TotalApuestas!AS8),Resultado!AT$5+VLOOKUP(AT$4&amp;"bonus",Aux!$AD$1:$AE$46,2,0),IF(AT$3=TotalApuestas!AT8,AT$5,0)))</f>
        <v>0</v>
      </c>
      <c r="AU13" s="75">
        <f>IF($B13=0,0,IF(AU$3=TotalApuestas!AU8,AU$5,0))</f>
        <v>0</v>
      </c>
      <c r="AV13" s="75">
        <f>IF($B13=0,0,IF(AV$3=TotalApuestas!AV8,AV$5,0))</f>
        <v>0</v>
      </c>
      <c r="AW13" s="75">
        <f>IF($B13=0,0,IF(AND(AU$3=TotalApuestas!AU8,Resultado!AV$3=TotalApuestas!AV8),Resultado!AW$5+VLOOKUP(AW$4&amp;"bonus",Aux!$AD$1:$AE$46,2,0),IF(AW$3=TotalApuestas!AW8,AW$5,0)))</f>
        <v>0</v>
      </c>
      <c r="AX13" s="75">
        <f>IF($B13=0,0,IF(AX$3=TotalApuestas!AX8,AX$5,0))</f>
        <v>0</v>
      </c>
      <c r="AY13" s="75">
        <f>IF($B13=0,0,IF(AY$3=TotalApuestas!AY8,AY$5,0))</f>
        <v>0</v>
      </c>
      <c r="AZ13" s="75">
        <f>IF($B13=0,0,IF(AND(AX$3=TotalApuestas!AX8,Resultado!AY$3=TotalApuestas!AY8),Resultado!AZ$5+VLOOKUP(AZ$4&amp;"bonus",Aux!$AD$1:$AE$46,2,0),IF(AZ$3=TotalApuestas!AZ8,AZ$5,0)))</f>
        <v>0</v>
      </c>
      <c r="BA13" s="75">
        <f>IF($B13=0,0,IF(BA$3=TotalApuestas!BA8,BA$5,0))</f>
        <v>0</v>
      </c>
      <c r="BB13" s="75">
        <f>IF($B13=0,0,IF(BB$3=TotalApuestas!BB8,BB$5,0))</f>
        <v>0</v>
      </c>
      <c r="BC13" s="75">
        <f>IF($B13=0,0,IF(AND(BA$3=TotalApuestas!BA8,Resultado!BB$3=TotalApuestas!BB8),Resultado!BC$5+VLOOKUP(BC$4&amp;"bonus",Aux!$AD$1:$AE$46,2,0),IF(BC$3=TotalApuestas!BC8,BC$5,0)))</f>
        <v>0</v>
      </c>
      <c r="BD13" s="75">
        <f>IF($B13=0,0,IF(BD$3=TotalApuestas!BD8,BD$5,0))</f>
        <v>0</v>
      </c>
      <c r="BE13" s="75">
        <f>IF($B13=0,0,IF(BE$3=TotalApuestas!BE8,BE$5,0))</f>
        <v>0</v>
      </c>
      <c r="BF13" s="75">
        <f>IF($B13=0,0,IF(AND(BD$3=TotalApuestas!BD8,Resultado!BE$3=TotalApuestas!BE8),Resultado!BF$5+VLOOKUP(BF$4&amp;"bonus",Aux!$AD$1:$AE$46,2,0),IF(BF$3=TotalApuestas!BF8,BF$5,0)))</f>
        <v>0</v>
      </c>
      <c r="BG13" s="75">
        <f>IF($B13=0,0,IF(BG$3=TotalApuestas!BG8,BG$5,0))</f>
        <v>0</v>
      </c>
      <c r="BH13" s="75">
        <f>IF($B13=0,0,IF(BH$3=TotalApuestas!BH8,BH$5,0))</f>
        <v>0</v>
      </c>
      <c r="BI13" s="75">
        <f>IF($B13=0,0,IF(AND(BG$3=TotalApuestas!BG8,Resultado!BH$3=TotalApuestas!BH8),Resultado!BI$5+VLOOKUP(BI$4&amp;"bonus",Aux!$AD$1:$AE$46,2,0),IF(BI$3=TotalApuestas!BI8,BI$5,0)))</f>
        <v>0</v>
      </c>
      <c r="BJ13" s="75">
        <f>IF($B13=0,0,IF(BJ$3=TotalApuestas!BJ8,BJ$5,0))</f>
        <v>0</v>
      </c>
      <c r="BK13" s="75">
        <f>IF($B13=0,0,IF(BK$3=TotalApuestas!BK8,BK$5,0))</f>
        <v>0</v>
      </c>
      <c r="BL13" s="75">
        <f>IF($B13=0,0,IF(AND(BJ$3=TotalApuestas!BJ8,Resultado!BK$3=TotalApuestas!BK8),Resultado!BL$5+VLOOKUP(BL$4&amp;"bonus",Aux!$AD$1:$AE$46,2,0),IF(BL$3=TotalApuestas!BL8,BL$5,0)))</f>
        <v>0</v>
      </c>
      <c r="BM13" s="75">
        <f>IF($B13=0,0,IF(BM$3=TotalApuestas!BM8,BM$5,0))</f>
        <v>0</v>
      </c>
      <c r="BN13" s="75">
        <f>IF($B13=0,0,IF(BN$3=TotalApuestas!BN8,BN$5,0))</f>
        <v>0</v>
      </c>
      <c r="BO13" s="75">
        <f>IF($B13=0,0,IF(AND(BM$3=TotalApuestas!BM8,Resultado!BN$3=TotalApuestas!BN8),Resultado!BO$5+VLOOKUP(BO$4&amp;"bonus",Aux!$AD$1:$AE$46,2,0),IF(BO$3=TotalApuestas!BO8,BO$5,0)))</f>
        <v>0</v>
      </c>
      <c r="BP13" s="75">
        <f>IF($B13=0,0,IF(BP$3=TotalApuestas!BP8,BP$5,0))</f>
        <v>0</v>
      </c>
      <c r="BQ13" s="75">
        <f>IF($B13=0,0,IF(BQ$3=TotalApuestas!BQ8,BQ$5,0))</f>
        <v>0</v>
      </c>
      <c r="BR13" s="75">
        <f>IF($B13=0,0,IF(AND(BP$3=TotalApuestas!BP8,Resultado!BQ$3=TotalApuestas!BQ8),Resultado!BR$5+VLOOKUP(BR$4&amp;"bonus",Aux!$AD$1:$AE$46,2,0),IF(BR$3=TotalApuestas!BR8,BR$5,0)))</f>
        <v>0</v>
      </c>
      <c r="BS13" s="75">
        <f>IF($B13=0,0,IF(BS$3=TotalApuestas!BS8,BS$5,0))</f>
        <v>0</v>
      </c>
      <c r="BT13" s="75">
        <f>IF($B13=0,0,IF(BT$3=TotalApuestas!BT8,BT$5,0))</f>
        <v>0</v>
      </c>
      <c r="BU13" s="75">
        <f>IF($B13=0,0,IF(AND(BS$3=TotalApuestas!BS8,Resultado!BT$3=TotalApuestas!BT8),Resultado!BU$5+VLOOKUP(BU$4&amp;"bonus",Aux!$AD$1:$AE$46,2,0),IF(BU$3=TotalApuestas!BU8,BU$5,0)))</f>
        <v>0</v>
      </c>
      <c r="BV13" s="75">
        <f>IF($B13=0,0,IF(BV$3=TotalApuestas!BV8,BV$5,0))</f>
        <v>0</v>
      </c>
      <c r="BW13" s="75">
        <f>IF($B13=0,0,IF(BW$3=TotalApuestas!BW8,BW$5,0))</f>
        <v>0</v>
      </c>
      <c r="BX13" s="75">
        <f>IF($B13=0,0,IF(AND(BV$3=TotalApuestas!BV8,Resultado!BW$3=TotalApuestas!BW8),Resultado!BX$5+VLOOKUP(BX$4&amp;"bonus",Aux!$AD$1:$AE$46,2,0),IF(BX$3=TotalApuestas!BX8,BX$5,0)))</f>
        <v>0</v>
      </c>
      <c r="BY13" s="75">
        <f>IF($B13=0,0,IF(BY$3=TotalApuestas!BY8,BY$5,0))</f>
        <v>0</v>
      </c>
      <c r="BZ13" s="75">
        <f>IF($B13=0,0,IF(BZ$3=TotalApuestas!BZ8,BZ$5,0))</f>
        <v>0</v>
      </c>
      <c r="CA13" s="75">
        <f>IF($B13=0,0,IF(AND(BY$3=TotalApuestas!BY8,Resultado!BZ$3=TotalApuestas!BZ8),Resultado!CA$5+VLOOKUP(CA$4&amp;"bonus",Aux!$AD$1:$AE$46,2,0),IF(CA$3=TotalApuestas!CA8,CA$5,0)))</f>
        <v>0</v>
      </c>
      <c r="CB13" s="75">
        <f>IF($B13=0,0,IF(CB$3=TotalApuestas!CB8,CB$5,0))</f>
        <v>0</v>
      </c>
      <c r="CC13" s="75">
        <f>IF($B13=0,0,IF(CC$3=TotalApuestas!CC8,CC$5,0))</f>
        <v>0</v>
      </c>
      <c r="CD13" s="75">
        <f>IF($B13=0,0,IF(AND(CB$3=TotalApuestas!CB8,Resultado!CC$3=TotalApuestas!CC8),Resultado!CD$5+VLOOKUP(CD$4&amp;"bonus",Aux!$AD$1:$AE$46,2,0),IF(CD$3=TotalApuestas!CD8,CD$5,0)))</f>
        <v>0</v>
      </c>
      <c r="CE13" s="75">
        <f>IF($B13=0,0,IF(CE$3=TotalApuestas!CE8,CE$5,0))</f>
        <v>0</v>
      </c>
      <c r="CF13" s="75">
        <f>IF($B13=0,0,IF(CF$3=TotalApuestas!CF8,CF$5,0))</f>
        <v>0</v>
      </c>
      <c r="CG13" s="75">
        <f>IF($B13=0,0,IF(AND(CE$3=TotalApuestas!CE8,Resultado!CF$3=TotalApuestas!CF8),Resultado!CG$5+VLOOKUP(CG$4&amp;"bonus",Aux!$AD$1:$AE$46,2,0),IF(CG$3=TotalApuestas!CG8,CG$5,0)))</f>
        <v>0</v>
      </c>
      <c r="CH13" s="75">
        <f>IF($B13=0,0,IF(CH$3=TotalApuestas!CH8,CH$5,0))</f>
        <v>0</v>
      </c>
      <c r="CI13" s="75">
        <f>IF($B13=0,0,IF(CI$3=TotalApuestas!CI8,CI$5,0))</f>
        <v>0</v>
      </c>
      <c r="CJ13" s="75">
        <f>IF($B13=0,0,IF(AND(CH$3=TotalApuestas!CH8,Resultado!CI$3=TotalApuestas!CI8),Resultado!CJ$5+VLOOKUP(CJ$4&amp;"bonus",Aux!$AD$1:$AE$46,2,0),IF(CJ$3=TotalApuestas!CJ8,CJ$5,0)))</f>
        <v>0</v>
      </c>
      <c r="CK13" s="75">
        <f>IF($B13=0,0,IF(CK$3=TotalApuestas!CK8,CK$5,0))</f>
        <v>0</v>
      </c>
      <c r="CL13" s="75">
        <f>IF($B13=0,0,IF(CL$3=TotalApuestas!CL8,CL$5,0))</f>
        <v>0</v>
      </c>
      <c r="CM13" s="75">
        <f>IF($B13=0,0,IF(AND(CK$3=TotalApuestas!CK8,Resultado!CL$3=TotalApuestas!CL8),Resultado!CM$5+VLOOKUP(CM$4&amp;"bonus",Aux!$AD$1:$AE$46,2,0),IF(CM$3=TotalApuestas!CM8,CM$5,0)))</f>
        <v>0</v>
      </c>
      <c r="CN13" s="75">
        <f>IF($B13=0,0,IF(CN$3=TotalApuestas!CN8,CN$5,0))</f>
        <v>0</v>
      </c>
      <c r="CO13" s="75">
        <f>IF($B13=0,0,IF(CO$3=TotalApuestas!CO8,CO$5,0))</f>
        <v>0</v>
      </c>
      <c r="CP13" s="75">
        <f>IF($B13=0,0,IF(AND(CN$3=TotalApuestas!CN8,Resultado!CO$3=TotalApuestas!CO8),Resultado!CP$5+VLOOKUP(CP$4&amp;"bonus",Aux!$AD$1:$AE$46,2,0),IF(CP$3=TotalApuestas!CP8,CP$5,0)))</f>
        <v>0</v>
      </c>
      <c r="CQ13" s="75">
        <f>IF($B13=0,0,IF(CQ$3=TotalApuestas!CQ8,CQ$5,0))</f>
        <v>0</v>
      </c>
      <c r="CR13" s="75">
        <f>IF($B13=0,0,IF(CR$3=TotalApuestas!CR8,CR$5,0))</f>
        <v>0</v>
      </c>
      <c r="CS13" s="75">
        <f>IF($B13=0,0,IF(AND(CQ$3=TotalApuestas!CQ8,Resultado!CR$3=TotalApuestas!CR8),Resultado!CS$5+VLOOKUP(CS$4&amp;"bonus",Aux!$AD$1:$AE$46,2,0),IF(CS$3=TotalApuestas!CS8,CS$5,0)))</f>
        <v>0</v>
      </c>
      <c r="CT13" s="75">
        <f>IF($B13=0,0,IF(CT$3=TotalApuestas!CT8,CT$5,0))</f>
        <v>0</v>
      </c>
      <c r="CU13" s="75">
        <f>IF($B13=0,0,IF(CU$3=TotalApuestas!CU8,CU$5,0))</f>
        <v>0</v>
      </c>
      <c r="CV13" s="75">
        <f>IF($B13=0,0,IF(AND(CT$3=TotalApuestas!CT8,Resultado!CU$3=TotalApuestas!CU8),Resultado!CV$5+VLOOKUP(CV$4&amp;"bonus",Aux!$AD$1:$AE$46,2,0),IF(CV$3=TotalApuestas!CV8,CV$5,0)))</f>
        <v>0</v>
      </c>
      <c r="CW13" s="75">
        <f>IF($B13=0,0,IF(CW$3=TotalApuestas!CW8,CW$5,0))</f>
        <v>0</v>
      </c>
      <c r="CX13" s="75">
        <f>IF($B13=0,0,IF(CX$3=TotalApuestas!CX8,CX$5,0))</f>
        <v>0</v>
      </c>
      <c r="CY13" s="75">
        <f>IF($B13=0,0,IF(AND(CW$3=TotalApuestas!CW8,Resultado!CX$3=TotalApuestas!CX8),Resultado!CY$5+VLOOKUP(CY$4&amp;"bonus",Aux!$AD$1:$AE$46,2,0),IF(CY$3=TotalApuestas!CY8,CY$5,0)))</f>
        <v>0</v>
      </c>
      <c r="CZ13" s="75">
        <f>IF($B13=0,0,IF(CZ$3=TotalApuestas!CZ8,CZ$5,0))</f>
        <v>0</v>
      </c>
      <c r="DA13" s="75">
        <f>IF($B13=0,0,IF(DA$3=TotalApuestas!DA8,DA$5,0))</f>
        <v>0</v>
      </c>
      <c r="DB13" s="75">
        <f>IF($B13=0,0,IF(AND(CZ$3=TotalApuestas!CZ8,Resultado!DA$3=TotalApuestas!DA8),Resultado!DB$5+VLOOKUP(DB$4&amp;"bonus",Aux!$AD$1:$AE$46,2,0),IF(DB$3=TotalApuestas!DB8,DB$5,0)))</f>
        <v>0</v>
      </c>
      <c r="DC13" s="75">
        <f>IF($B13=0,0,IF(DC$3=TotalApuestas!DC8,DC$5,0))</f>
        <v>0</v>
      </c>
      <c r="DD13" s="75">
        <f>IF($B13=0,0,IF(DD$3=TotalApuestas!DD8,DD$5,0))</f>
        <v>0</v>
      </c>
      <c r="DE13" s="75">
        <f>IF($B13=0,0,IF(AND(DC$3=TotalApuestas!DC8,Resultado!DD$3=TotalApuestas!DD8),Resultado!DE$5+VLOOKUP(DE$4&amp;"bonus",Aux!$AD$1:$AE$46,2,0),IF(DE$3=TotalApuestas!DE8,DE$5,0)))</f>
        <v>0</v>
      </c>
      <c r="DF13" s="75">
        <f>IF($B13=0,0,IF(DF$3=TotalApuestas!DF8,DF$5,0))</f>
        <v>0</v>
      </c>
      <c r="DG13" s="75">
        <f>IF($B13=0,0,IF(DG$3=TotalApuestas!DG8,DG$5,0))</f>
        <v>0</v>
      </c>
      <c r="DH13" s="75">
        <f>IF($B13=0,0,IF(AND(DF$3=TotalApuestas!DF8,Resultado!DG$3=TotalApuestas!DG8),Resultado!DH$5+VLOOKUP(DH$4&amp;"bonus",Aux!$AD$1:$AE$46,2,0),IF(DH$3=TotalApuestas!DH8,DH$5,0)))</f>
        <v>0</v>
      </c>
      <c r="DI13" s="75">
        <f>IF($B13=0,0,IF(DI$3=TotalApuestas!DI8,DI$5,0))</f>
        <v>0</v>
      </c>
      <c r="DJ13" s="75">
        <f>IF($B13=0,0,IF(DJ$3=TotalApuestas!DJ8,DJ$5,0))</f>
        <v>0</v>
      </c>
      <c r="DK13" s="75">
        <f>IF($B13=0,0,IF(AND(DI$3=TotalApuestas!DI8,Resultado!DJ$3=TotalApuestas!DJ8),Resultado!DK$5+VLOOKUP(DK$4&amp;"bonus",Aux!$AD$1:$AE$46,2,0),IF(DK$3=TotalApuestas!DK8,DK$5,0)))</f>
        <v>0</v>
      </c>
      <c r="DL13" s="75">
        <f>IF($B13=0,0,IF(DL$3=TotalApuestas!DL8,DL$5,0))</f>
        <v>0</v>
      </c>
      <c r="DM13" s="75">
        <f>IF($B13=0,0,IF(DM$3=TotalApuestas!DM8,DM$5,0))</f>
        <v>0</v>
      </c>
      <c r="DN13" s="75">
        <f>IF($B13=0,0,IF(AND(DL$3=TotalApuestas!DL8,Resultado!DM$3=TotalApuestas!DM8),Resultado!DN$5+VLOOKUP(DN$4&amp;"bonus",Aux!$AD$1:$AE$46,2,0),IF(DN$3=TotalApuestas!DN8,DN$5,0)))</f>
        <v>0</v>
      </c>
      <c r="DO13" s="75">
        <f>IF($B13=0,0,IF(DO$3=TotalApuestas!DO8,DO$5,0))</f>
        <v>0</v>
      </c>
      <c r="DP13" s="75">
        <f>IF($B13=0,0,IF(DP$3=TotalApuestas!DP8,DP$5,0))</f>
        <v>0</v>
      </c>
      <c r="DQ13" s="75">
        <f>IF($B13=0,0,IF(AND(DO$3=TotalApuestas!DO8,Resultado!DP$3=TotalApuestas!DP8),Resultado!DQ$5+VLOOKUP(DQ$4&amp;"bonus",Aux!$AD$1:$AE$46,2,0),IF(DQ$3=TotalApuestas!DQ8,DQ$5,0)))</f>
        <v>0</v>
      </c>
      <c r="DR13" s="75">
        <f>IF($B13=0,0,IF(DR$3=TotalApuestas!DR8,DR$5,0))</f>
        <v>0</v>
      </c>
      <c r="DS13" s="75">
        <f>IF($B13=0,0,IF(DS$3=TotalApuestas!DS8,DS$5,0))</f>
        <v>0</v>
      </c>
      <c r="DT13" s="75">
        <f>IF($B13=0,0,IF(AND(DR$3=TotalApuestas!DR8,Resultado!DS$3=TotalApuestas!DS8),Resultado!DT$5+VLOOKUP(DT$4&amp;"bonus",Aux!$AD$1:$AE$46,2,0),IF(DT$3=TotalApuestas!DT8,DT$5,0)))</f>
        <v>0</v>
      </c>
      <c r="DU13" s="75">
        <f>IF($B13=0,0,IF(DU$3=TotalApuestas!DU8,DU$5,0))</f>
        <v>0</v>
      </c>
      <c r="DV13" s="75">
        <f>IF($B13=0,0,IF(DV$3=TotalApuestas!DV8,DV$5,0))</f>
        <v>0</v>
      </c>
      <c r="DW13" s="75">
        <f>IF($B13=0,0,IF(AND(DU$3=TotalApuestas!DU8,Resultado!DV$3=TotalApuestas!DV8),Resultado!DW$5+VLOOKUP(DW$4&amp;"bonus",Aux!$AD$1:$AE$46,2,0),IF(DW$3=TotalApuestas!DW8,DW$5,0)))</f>
        <v>0</v>
      </c>
      <c r="DX13" s="75">
        <f>IF($B13=0,0,IF(DX$3=TotalApuestas!DX8,DX$5,0))</f>
        <v>0</v>
      </c>
      <c r="DY13" s="75">
        <f>IF($B13=0,0,IF(DY$3=TotalApuestas!DY8,DY$5,0))</f>
        <v>0</v>
      </c>
      <c r="DZ13" s="75">
        <f>IF($B13=0,0,IF(AND(DX$3=TotalApuestas!DX8,Resultado!DY$3=TotalApuestas!DY8),Resultado!DZ$5+VLOOKUP(DZ$4&amp;"bonus",Aux!$AD$1:$AE$46,2,0),IF(DZ$3=TotalApuestas!DZ8,DZ$5,0)))</f>
        <v>0</v>
      </c>
      <c r="EA13" s="75">
        <f>IF($B13=0,0,IF(EA$3=TotalApuestas!EA8,EA$5,0))</f>
        <v>0</v>
      </c>
      <c r="EB13" s="75">
        <f>IF($B13=0,0,IF(EB$3=TotalApuestas!EB8,EB$5,0))</f>
        <v>0</v>
      </c>
      <c r="EC13" s="75">
        <f>IF($B13=0,0,IF(AND(EA$3=TotalApuestas!EA8,Resultado!EB$3=TotalApuestas!EB8),Resultado!EC$5+VLOOKUP(EC$4&amp;"bonus",Aux!$AD$1:$AE$46,2,0),IF(EC$3=TotalApuestas!EC8,EC$5,0)))</f>
        <v>0</v>
      </c>
      <c r="ED13" s="75">
        <f>IF($B13=0,0,IF(ED$3=TotalApuestas!ED8,ED$5,0))</f>
        <v>0</v>
      </c>
      <c r="EE13" s="75">
        <f>IF($B13=0,0,IF(EE$3=TotalApuestas!EE8,EE$5,0))</f>
        <v>0</v>
      </c>
      <c r="EF13" s="75">
        <f>IF($B13=0,0,IF(AND(ED$3=TotalApuestas!ED8,Resultado!EE$3=TotalApuestas!EE8),Resultado!EF$5+VLOOKUP(EF$4&amp;"bonus",Aux!$AD$1:$AE$46,2,0),IF(EF$3=TotalApuestas!EF8,EF$5,0)))</f>
        <v>0</v>
      </c>
      <c r="EG13" s="75">
        <f>IF($B13=0,0,IF(EG$3=TotalApuestas!EG8,EG$5,0))</f>
        <v>0</v>
      </c>
      <c r="EH13" s="75">
        <f>IF($B13=0,0,IF(EH$3=TotalApuestas!EH8,EH$5,0))</f>
        <v>0</v>
      </c>
      <c r="EI13" s="75">
        <f>IF($B13=0,0,IF(AND(EG$3=TotalApuestas!EG8,Resultado!EH$3=TotalApuestas!EH8),Resultado!EI$5+VLOOKUP(EI$4&amp;"bonus",Aux!$AD$1:$AE$46,2,0),IF(EI$3=TotalApuestas!EI8,EI$5,0)))</f>
        <v>0</v>
      </c>
      <c r="EJ13" s="75">
        <f>IF($B13=0,0,IF(EJ$3=TotalApuestas!EJ8,EJ$5,0))</f>
        <v>0</v>
      </c>
      <c r="EK13" s="75">
        <f>IF($B13=0,0,IF(EK$3=TotalApuestas!EK8,EK$5,0))</f>
        <v>0</v>
      </c>
      <c r="EL13" s="75">
        <f>IF($B13=0,0,IF(AND(EJ$3=TotalApuestas!EJ8,Resultado!EK$3=TotalApuestas!EK8),Resultado!EL$5+VLOOKUP(EL$4&amp;"bonus",Aux!$AD$1:$AE$46,2,0),IF(EL$3=TotalApuestas!EL8,EL$5,0)))</f>
        <v>0</v>
      </c>
      <c r="EM13" s="75">
        <f>IF($B13=0,0,IF(EM$3=TotalApuestas!EM8,EM$5,0))</f>
        <v>0</v>
      </c>
      <c r="EN13" s="75">
        <f>IF($B13=0,0,IF(EN$3=TotalApuestas!EN8,EN$5,0))</f>
        <v>0</v>
      </c>
      <c r="EO13" s="75">
        <f>IF($B13=0,0,IF(AND(EM$3=TotalApuestas!EM8,Resultado!EN$3=TotalApuestas!EN8),Resultado!EO$5+VLOOKUP(EO$4&amp;"bonus",Aux!$AD$1:$AE$46,2,0),IF(EO$3=TotalApuestas!EO8,EO$5,0)))</f>
        <v>0</v>
      </c>
      <c r="EP13" s="75">
        <f>IF($B13=0,0,IF(EP$3=TotalApuestas!EP8,EP$5,0))</f>
        <v>0</v>
      </c>
      <c r="EQ13" s="75">
        <f>IF($B13=0,0,IF(EQ$3=TotalApuestas!EQ8,EQ$5,0))</f>
        <v>0</v>
      </c>
      <c r="ER13" s="75">
        <f>IF($B13=0,0,IF(AND(EP$3=TotalApuestas!EP8,Resultado!EQ$3=TotalApuestas!EQ8),Resultado!ER$5+VLOOKUP(ER$4&amp;"bonus",Aux!$AD$1:$AE$46,2,0),IF(ER$3=TotalApuestas!ER8,ER$5,0)))</f>
        <v>0</v>
      </c>
      <c r="ES13" s="75">
        <f>IF($B13=0,0,IF(ES$3=TotalApuestas!ES8,ES$5,0))</f>
        <v>0</v>
      </c>
      <c r="ET13" s="75">
        <f>IF($B13=0,0,IF(ET$3=TotalApuestas!ET8,ET$5,0))</f>
        <v>0</v>
      </c>
      <c r="EU13" s="75">
        <f>IF($B13=0,0,IF(EU$3=TotalApuestas!EU8,EU$5,0))</f>
        <v>0</v>
      </c>
      <c r="EV13" s="75">
        <f>IF($B13=0,0,IF(EV$3=TotalApuestas!EV8,EV$5,0))</f>
        <v>0</v>
      </c>
      <c r="EW13" s="75">
        <f>IF($B13=0,0,IF(EW$3=TotalApuestas!EW8,EW$5,0))</f>
        <v>0</v>
      </c>
      <c r="EX13" s="75">
        <f>IF($B13=0,0,IF(EX$3=TotalApuestas!EX8,EX$5,0))</f>
        <v>0</v>
      </c>
      <c r="EY13" s="75">
        <f>IF($B13=0,0,IF(EY$3=TotalApuestas!EY8,EY$5,0))</f>
        <v>0</v>
      </c>
      <c r="EZ13" s="75">
        <f>IF($B13=0,0,IF(EZ$3=TotalApuestas!EZ8,EZ$5,0))</f>
        <v>0</v>
      </c>
      <c r="FA13" s="75">
        <f>IF($B13=0,0,IF(FA$3=TotalApuestas!FA8,FA$5,0))</f>
        <v>0</v>
      </c>
      <c r="FB13" s="75">
        <f>IF($B13=0,0,IF(FB$3=TotalApuestas!FB8,FB$5,0))</f>
        <v>0</v>
      </c>
      <c r="FC13" s="75">
        <f>IF($B13=0,0,IF(FC$3=TotalApuestas!FC8,FC$5,0))</f>
        <v>0</v>
      </c>
      <c r="FD13" s="75">
        <f>IF($B13=0,0,IF(FD$3=TotalApuestas!FD8,FD$5,0))</f>
        <v>0</v>
      </c>
      <c r="FE13" s="75">
        <f>IF($B13=0,0,IF(FE$3=TotalApuestas!FE8,FE$5,0))</f>
        <v>0</v>
      </c>
      <c r="FF13" s="75">
        <f>IF($B13=0,0,IF(FF$3=TotalApuestas!FF8,FF$5,0))</f>
        <v>0</v>
      </c>
      <c r="FG13" s="75">
        <f>IF($B13=0,0,IF(FG$3=TotalApuestas!FG8,FG$5,0))</f>
        <v>0</v>
      </c>
      <c r="FH13" s="75">
        <f>IF($B13=0,0,IF(FH$3=TotalApuestas!FH8,FH$5,0))</f>
        <v>0</v>
      </c>
      <c r="FI13" s="75">
        <f>IF($B13=0,0,IF(FI$3=TotalApuestas!FI8,FI$5,0))</f>
        <v>0</v>
      </c>
      <c r="FJ13" s="75">
        <f>IF($B13=0,0,IF(FJ$3=TotalApuestas!FJ8,FJ$5,0))</f>
        <v>0</v>
      </c>
      <c r="FK13" s="75">
        <f>IF($B13=0,0,IF(FK$3=TotalApuestas!FK8,FK$5,0))</f>
        <v>0</v>
      </c>
      <c r="FL13" s="75">
        <f>IF($B13=0,0,IF(FL$3=TotalApuestas!FL8,FL$5,0))</f>
        <v>0</v>
      </c>
      <c r="FM13" s="75">
        <f>IF($B13=0,0,IF(FM$3=TotalApuestas!FM8,FM$5,0))</f>
        <v>0</v>
      </c>
      <c r="FN13" s="75">
        <f>IF($B13=0,0,IF(FN$3=TotalApuestas!FN8,FN$5,0))</f>
        <v>0</v>
      </c>
      <c r="FO13" s="75">
        <f>IF($B13=0,0,IF(FO$3=TotalApuestas!FO8,FO$5,0))</f>
        <v>0</v>
      </c>
      <c r="FP13" s="75">
        <f>IF($B13=0,0,IF(FP$3=TotalApuestas!FP8,FP$5,0))</f>
        <v>0</v>
      </c>
      <c r="FQ13" s="75">
        <f>IF($B13=0,0,IF(FQ$3=TotalApuestas!FQ8,FQ$5,0))</f>
        <v>0</v>
      </c>
      <c r="FR13" s="75">
        <f>IF($B13=0,0,IF(FR$3=TotalApuestas!FR8,FR$5,0))</f>
        <v>0</v>
      </c>
      <c r="FS13" s="75">
        <f>IF($B13=0,0,IF(FS$3=TotalApuestas!FS8,FS$5,0))</f>
        <v>0</v>
      </c>
      <c r="FT13" s="75">
        <f>IF($B13=0,0,IF(FT$3=TotalApuestas!FT8,FT$5,0))</f>
        <v>0</v>
      </c>
      <c r="FU13" s="75">
        <f>IF($B13=0,0,IF(FU$3=TotalApuestas!FU8,FU$5,0))</f>
        <v>0</v>
      </c>
      <c r="FV13" s="75">
        <f>IF($B13=0,0,IF(FV$3=TotalApuestas!FV8,FV$5,0))</f>
        <v>0</v>
      </c>
      <c r="FW13" s="75">
        <f>IF($B13=0,0,IF(FW$3=TotalApuestas!FW8,FW$5,0))</f>
        <v>0</v>
      </c>
      <c r="FX13" s="75">
        <f>IF($B13=0,0,IF(FX$3=TotalApuestas!FX8,FX$5,0))</f>
        <v>0</v>
      </c>
      <c r="FY13" s="75">
        <f>IF($B13=0,0,IF(FY$3=TotalApuestas!FY8,FY$5,0))</f>
        <v>0</v>
      </c>
      <c r="FZ13" s="75">
        <f>IF($B13=0,0,IF(AND(FX$3=TotalApuestas!FX8,Resultado!FY$3=TotalApuestas!FY8),Resultado!FZ$5+VLOOKUP(FZ$4&amp;"bonus",Aux!$AD$1:$AE$46,2,0),IF(FZ$3=TotalApuestas!FZ8,FZ$5,0)))</f>
        <v>0</v>
      </c>
      <c r="GA13" s="75">
        <f>IF($B13=0,0,IF(GA$3=TotalApuestas!GA8,GA$5,0))</f>
        <v>0</v>
      </c>
      <c r="GB13" s="75">
        <f>IF($B13=0,0,IF(GB$3=TotalApuestas!GB8,GB$5,0))</f>
        <v>0</v>
      </c>
      <c r="GC13" s="75">
        <f>IF($B13=0,0,IF(AND(GA$3=TotalApuestas!GA8,Resultado!GB$3=TotalApuestas!GB8),Resultado!GC$5+VLOOKUP(GC$4&amp;"bonus",Aux!$AD$1:$AE$46,2,0),IF(GC$3=TotalApuestas!GC8,GC$5,0)))</f>
        <v>0</v>
      </c>
      <c r="GD13" s="75">
        <f>IF($B13=0,0,IF(GD$3=TotalApuestas!GD8,GD$5,0))</f>
        <v>0</v>
      </c>
      <c r="GE13" s="75">
        <f>IF($B13=0,0,IF(GE$3=TotalApuestas!GE8,GE$5,0))</f>
        <v>0</v>
      </c>
      <c r="GF13" s="75">
        <f>IF($B13=0,0,IF(AND(GD$3=TotalApuestas!GD8,Resultado!GE$3=TotalApuestas!GE8),Resultado!GF$5+VLOOKUP(GF$4&amp;"bonus",Aux!$AD$1:$AE$46,2,0),IF(GF$3=TotalApuestas!GF8,GF$5,0)))</f>
        <v>0</v>
      </c>
      <c r="GG13" s="75">
        <f>IF($B13=0,0,IF(GG$3=TotalApuestas!GG8,GG$5,0))</f>
        <v>0</v>
      </c>
      <c r="GH13" s="75">
        <f>IF($B13=0,0,IF(GH$3=TotalApuestas!GH8,GH$5,0))</f>
        <v>0</v>
      </c>
      <c r="GI13" s="75">
        <f>IF($B13=0,0,IF(AND(GG$3=TotalApuestas!GG8,Resultado!GH$3=TotalApuestas!GH8),Resultado!GI$5+VLOOKUP(GI$4&amp;"bonus",Aux!$AD$1:$AE$46,2,0),IF(GI$3=TotalApuestas!GI8,GI$5,0)))</f>
        <v>0</v>
      </c>
      <c r="GJ13" s="75">
        <f>IF($B13=0,0,IF(GJ$3=TotalApuestas!GJ8,GJ$5,0))</f>
        <v>0</v>
      </c>
      <c r="GK13" s="75">
        <f>IF($B13=0,0,IF(GK$3=TotalApuestas!GK8,GK$5,0))</f>
        <v>0</v>
      </c>
      <c r="GL13" s="75">
        <f>IF($B13=0,0,IF(AND(GJ$3=TotalApuestas!GJ8,Resultado!GK$3=TotalApuestas!GK8),Resultado!GL$5+VLOOKUP(GL$4&amp;"bonus",Aux!$AD$1:$AE$46,2,0),IF(GL$3=TotalApuestas!GL8,GL$5,0)))</f>
        <v>0</v>
      </c>
      <c r="GM13" s="75">
        <f>IF($B13=0,0,IF(GM$3=TotalApuestas!GM8,GM$5,0))</f>
        <v>0</v>
      </c>
      <c r="GN13" s="75">
        <f>IF($B13=0,0,IF(GN$3=TotalApuestas!GN8,GN$5,0))</f>
        <v>0</v>
      </c>
      <c r="GO13" s="75">
        <f>IF($B13=0,0,IF(AND(GM$3=TotalApuestas!GM8,Resultado!GN$3=TotalApuestas!GN8),Resultado!GO$5+VLOOKUP(GO$4&amp;"bonus",Aux!$AD$1:$AE$46,2,0),IF(GO$3=TotalApuestas!GO8,GO$5,0)))</f>
        <v>0</v>
      </c>
      <c r="GP13" s="75">
        <f>IF($B13=0,0,IF(GP$3=TotalApuestas!GP8,GP$5,0))</f>
        <v>0</v>
      </c>
      <c r="GQ13" s="75">
        <f>IF($B13=0,0,IF(GQ$3=TotalApuestas!GQ8,GQ$5,0))</f>
        <v>0</v>
      </c>
      <c r="GR13" s="75">
        <f>IF($B13=0,0,IF(AND(GP$3=TotalApuestas!GP8,Resultado!GQ$3=TotalApuestas!GQ8),Resultado!GR$5+VLOOKUP(GR$4&amp;"bonus",Aux!$AD$1:$AE$46,2,0),IF(GR$3=TotalApuestas!GR8,GR$5,0)))</f>
        <v>0</v>
      </c>
      <c r="GS13" s="75">
        <f>IF($B13=0,0,IF(GS$3=TotalApuestas!GS8,GS$5,0))</f>
        <v>0</v>
      </c>
      <c r="GT13" s="75">
        <f>IF($B13=0,0,IF(GT$3=TotalApuestas!GT8,GT$5,0))</f>
        <v>0</v>
      </c>
      <c r="GU13" s="75">
        <f>IF($B13=0,0,IF(AND(GS$3=TotalApuestas!GS8,Resultado!GT$3=TotalApuestas!GT8),Resultado!GU$5+VLOOKUP(GU$4&amp;"bonus",Aux!$AD$1:$AE$46,2,0),IF(GU$3=TotalApuestas!GU8,GU$5,0)))</f>
        <v>0</v>
      </c>
      <c r="GV13" s="75">
        <f>IF($B13=0,0,IF(GV$3=TotalApuestas!GV8,GV$5,0))</f>
        <v>0</v>
      </c>
      <c r="GW13" s="75">
        <f>IF($B13=0,0,IF(GW$3=TotalApuestas!GW8,GW$5,0))</f>
        <v>0</v>
      </c>
      <c r="GX13" s="75">
        <f>IF($B13=0,0,IF(AND(GV$3=TotalApuestas!GV8,Resultado!GW$3=TotalApuestas!GW8),Resultado!GX$5+VLOOKUP(GX$4&amp;"bonus",Aux!$AD$1:$AE$46,2,0),IF(GX$3=TotalApuestas!GX8,GX$5,0)))</f>
        <v>0</v>
      </c>
      <c r="GY13" s="75">
        <f>IF($B13=0,0,IF(GY$3=TotalApuestas!GY8,GY$5,0))</f>
        <v>0</v>
      </c>
      <c r="GZ13" s="75">
        <f>IF($B13=0,0,IF(GZ$3=TotalApuestas!GZ8,GZ$5,0))</f>
        <v>0</v>
      </c>
      <c r="HA13" s="75">
        <f>IF($B13=0,0,IF(AND(GY$3=TotalApuestas!GY8,Resultado!GZ$3=TotalApuestas!GZ8),Resultado!HA$5+VLOOKUP(HA$4&amp;"bonus",Aux!$AD$1:$AE$46,2,0),IF(HA$3=TotalApuestas!HA8,HA$5,0)))</f>
        <v>0</v>
      </c>
      <c r="HB13" s="75">
        <f>IF($B13=0,0,IF(HB$3=TotalApuestas!HB8,HB$5,0))</f>
        <v>0</v>
      </c>
      <c r="HC13" s="75">
        <f>IF($B13=0,0,IF(HC$3=TotalApuestas!HC8,HC$5,0))</f>
        <v>0</v>
      </c>
      <c r="HD13" s="75">
        <f>IF($B13=0,0,IF(AND(HB$3=TotalApuestas!HB8,Resultado!HC$3=TotalApuestas!HC8),Resultado!HD$5+VLOOKUP(HD$4&amp;"bonus",Aux!$AD$1:$AE$46,2,0),IF(HD$3=TotalApuestas!HD8,HD$5,0)))</f>
        <v>0</v>
      </c>
      <c r="HE13" s="75">
        <f>IF($B13=0,0,IF(HE$3=TotalApuestas!HE8,HE$5,0))</f>
        <v>0</v>
      </c>
      <c r="HF13" s="75">
        <f>IF($B13=0,0,IF(HF$3=TotalApuestas!HF8,HF$5,0))</f>
        <v>0</v>
      </c>
      <c r="HG13" s="75">
        <f>IF($B13=0,0,IF(AND(HE$3=TotalApuestas!HE8,Resultado!HF$3=TotalApuestas!HF8),Resultado!HG$5+VLOOKUP(HG$4&amp;"bonus",Aux!$AD$1:$AE$46,2,0),IF(HG$3=TotalApuestas!HG8,HG$5,0)))</f>
        <v>0</v>
      </c>
      <c r="HH13" s="75">
        <f>IF($B13=0,0,IF(HH$3=TotalApuestas!HH8,HH$5,0))</f>
        <v>0</v>
      </c>
      <c r="HI13" s="75">
        <f>IF($B13=0,0,IF(HI$3=TotalApuestas!HI8,HI$5,0))</f>
        <v>0</v>
      </c>
      <c r="HJ13" s="75">
        <f>IF($B13=0,0,IF(AND(HH$3=TotalApuestas!HH8,Resultado!HI$3=TotalApuestas!HI8),Resultado!HJ$5+VLOOKUP(HJ$4&amp;"bonus",Aux!$AD$1:$AE$46,2,0),IF(HJ$3=TotalApuestas!HJ8,HJ$5,0)))</f>
        <v>0</v>
      </c>
      <c r="HK13" s="75">
        <f>IF($B13=0,0,IF(HK$3=TotalApuestas!HK8,HK$5,0))</f>
        <v>0</v>
      </c>
      <c r="HL13" s="75">
        <f>IF($B13=0,0,IF(HL$3=TotalApuestas!HL8,HL$5,0))</f>
        <v>0</v>
      </c>
      <c r="HM13" s="75">
        <f>IF($B13=0,0,IF(AND(HK$3=TotalApuestas!HK8,Resultado!HL$3=TotalApuestas!HL8),Resultado!HM$5+VLOOKUP(HM$4&amp;"bonus",Aux!$AD$1:$AE$46,2,0),IF(HM$3=TotalApuestas!HM8,HM$5,0)))</f>
        <v>0</v>
      </c>
      <c r="HN13" s="75">
        <f>IF($B13=0,0,IF(HN$3=TotalApuestas!HN8,HN$5,0))</f>
        <v>0</v>
      </c>
      <c r="HO13" s="75">
        <f>IF($B13=0,0,IF(HO$3=TotalApuestas!HO8,HO$5,0))</f>
        <v>0</v>
      </c>
      <c r="HP13" s="75">
        <f>IF($B13=0,0,IF(AND(HN$3=TotalApuestas!HN8,Resultado!HO$3=TotalApuestas!HO8),Resultado!HP$5+VLOOKUP(HP$4&amp;"bonus",Aux!$AD$1:$AE$46,2,0),IF(HP$3=TotalApuestas!HP8,HP$5,0)))</f>
        <v>0</v>
      </c>
    </row>
    <row r="14" spans="2:224" x14ac:dyDescent="0.25">
      <c r="B14">
        <f>+TotalApuestas!B9</f>
        <v>0</v>
      </c>
      <c r="E14" s="75">
        <f>IF($B14=0,0,IF(E$3=TotalApuestas!E9,E$5,0))</f>
        <v>0</v>
      </c>
      <c r="F14" s="75">
        <f>IF($B14=0,0,IF(F$3=TotalApuestas!F9,F$5,0))</f>
        <v>0</v>
      </c>
      <c r="G14" s="75">
        <f>IF($B14=0,0,IF(AND(E$3=TotalApuestas!E9,Resultado!F$3=TotalApuestas!F9),Resultado!G$5+VLOOKUP(G$4&amp;"bonus",Aux!$AD$1:$AE$46,2,0),IF(G$3=TotalApuestas!G9,G$5,0)))</f>
        <v>0</v>
      </c>
      <c r="H14" s="75">
        <f>IF($B14=0,0,IF(H$3=TotalApuestas!H9,H$5,0))</f>
        <v>0</v>
      </c>
      <c r="I14" s="75">
        <f>IF($B14=0,0,IF(I$3=TotalApuestas!I9,I$5,0))</f>
        <v>0</v>
      </c>
      <c r="J14" s="75">
        <f>IF($B14=0,0,IF(AND(H$3=TotalApuestas!H9,Resultado!I$3=TotalApuestas!I9),Resultado!J$5+VLOOKUP(J$4&amp;"bonus",Aux!$AD$1:$AE$46,2,0),IF(J$3=TotalApuestas!J9,J$5,0)))</f>
        <v>0</v>
      </c>
      <c r="K14" s="75">
        <f>IF($B14=0,0,IF(K$3=TotalApuestas!K9,K$5,0))</f>
        <v>0</v>
      </c>
      <c r="L14" s="75">
        <f>IF($B14=0,0,IF(L$3=TotalApuestas!L9,L$5,0))</f>
        <v>0</v>
      </c>
      <c r="M14" s="75">
        <f>IF($B14=0,0,IF(AND(K$3=TotalApuestas!K9,Resultado!L$3=TotalApuestas!L9),Resultado!M$5+VLOOKUP(M$4&amp;"bonus",Aux!$AD$1:$AE$46,2,0),IF(M$3=TotalApuestas!M9,M$5,0)))</f>
        <v>0</v>
      </c>
      <c r="N14" s="75">
        <f>IF($B14=0,0,IF(N$3=TotalApuestas!N9,N$5,0))</f>
        <v>0</v>
      </c>
      <c r="O14" s="75">
        <f>IF($B14=0,0,IF(O$3=TotalApuestas!O9,O$5,0))</f>
        <v>0</v>
      </c>
      <c r="P14" s="75">
        <f>IF($B14=0,0,IF(AND(N$3=TotalApuestas!N9,Resultado!O$3=TotalApuestas!O9),Resultado!P$5+VLOOKUP(P$4&amp;"bonus",Aux!$AD$1:$AE$46,2,0),IF(P$3=TotalApuestas!P9,P$5,0)))</f>
        <v>0</v>
      </c>
      <c r="Q14" s="75">
        <f>IF($B14=0,0,IF(Q$3=TotalApuestas!Q9,Q$5,0))</f>
        <v>0</v>
      </c>
      <c r="R14" s="75">
        <f>IF($B14=0,0,IF(R$3=TotalApuestas!R9,R$5,0))</f>
        <v>0</v>
      </c>
      <c r="S14" s="75">
        <f>IF($B14=0,0,IF(AND(Q$3=TotalApuestas!Q9,Resultado!R$3=TotalApuestas!R9),Resultado!S$5+VLOOKUP(S$4&amp;"bonus",Aux!$AD$1:$AE$46,2,0),IF(S$3=TotalApuestas!S9,S$5,0)))</f>
        <v>0</v>
      </c>
      <c r="T14" s="75">
        <f>IF($B14=0,0,IF(T$3=TotalApuestas!T9,T$5,0))</f>
        <v>0</v>
      </c>
      <c r="U14" s="75">
        <f>IF($B14=0,0,IF(U$3=TotalApuestas!U9,U$5,0))</f>
        <v>0</v>
      </c>
      <c r="V14" s="75">
        <f>IF($B14=0,0,IF(AND(T$3=TotalApuestas!T9,Resultado!U$3=TotalApuestas!U9),Resultado!V$5+VLOOKUP(V$4&amp;"bonus",Aux!$AD$1:$AE$46,2,0),IF(V$3=TotalApuestas!V9,V$5,0)))</f>
        <v>0</v>
      </c>
      <c r="W14" s="75">
        <f>IF($B14=0,0,IF(W$3=TotalApuestas!W9,W$5,0))</f>
        <v>0</v>
      </c>
      <c r="X14" s="75">
        <f>IF($B14=0,0,IF(X$3=TotalApuestas!X9,X$5,0))</f>
        <v>0</v>
      </c>
      <c r="Y14" s="75">
        <f>IF($B14=0,0,IF(AND(W$3=TotalApuestas!W9,Resultado!X$3=TotalApuestas!X9),Resultado!Y$5+VLOOKUP(Y$4&amp;"bonus",Aux!$AD$1:$AE$46,2,0),IF(Y$3=TotalApuestas!Y9,Y$5,0)))</f>
        <v>0</v>
      </c>
      <c r="Z14" s="75">
        <f>IF($B14=0,0,IF(Z$3=TotalApuestas!Z9,Z$5,0))</f>
        <v>0</v>
      </c>
      <c r="AA14" s="75">
        <f>IF($B14=0,0,IF(AA$3=TotalApuestas!AA9,AA$5,0))</f>
        <v>0</v>
      </c>
      <c r="AB14" s="75">
        <f>IF($B14=0,0,IF(AND(Z$3=TotalApuestas!Z9,Resultado!AA$3=TotalApuestas!AA9),Resultado!AB$5+VLOOKUP(AB$4&amp;"bonus",Aux!$AD$1:$AE$46,2,0),IF(AB$3=TotalApuestas!AB9,AB$5,0)))</f>
        <v>0</v>
      </c>
      <c r="AC14" s="75">
        <f>IF($B14=0,0,IF(AC$3=TotalApuestas!AC9,AC$5,0))</f>
        <v>0</v>
      </c>
      <c r="AD14" s="75">
        <f>IF($B14=0,0,IF(AD$3=TotalApuestas!AD9,AD$5,0))</f>
        <v>0</v>
      </c>
      <c r="AE14" s="75">
        <f>IF($B14=0,0,IF(AND(AC$3=TotalApuestas!AC9,Resultado!AD$3=TotalApuestas!AD9),Resultado!AE$5+VLOOKUP(AE$4&amp;"bonus",Aux!$AD$1:$AE$46,2,0),IF(AE$3=TotalApuestas!AE9,AE$5,0)))</f>
        <v>0</v>
      </c>
      <c r="AF14" s="75">
        <f>IF($B14=0,0,IF(AF$3=TotalApuestas!AF9,AF$5,0))</f>
        <v>0</v>
      </c>
      <c r="AG14" s="75">
        <f>IF($B14=0,0,IF(AG$3=TotalApuestas!AG9,AG$5,0))</f>
        <v>0</v>
      </c>
      <c r="AH14" s="75">
        <f>IF($B14=0,0,IF(AND(AF$3=TotalApuestas!AF9,Resultado!AG$3=TotalApuestas!AG9),Resultado!AH$5+VLOOKUP(AH$4&amp;"bonus",Aux!$AD$1:$AE$46,2,0),IF(AH$3=TotalApuestas!AH9,AH$5,0)))</f>
        <v>0</v>
      </c>
      <c r="AI14" s="75">
        <f>IF($B14=0,0,IF(AI$3=TotalApuestas!AI9,AI$5,0))</f>
        <v>0</v>
      </c>
      <c r="AJ14" s="75">
        <f>IF($B14=0,0,IF(AJ$3=TotalApuestas!AJ9,AJ$5,0))</f>
        <v>0</v>
      </c>
      <c r="AK14" s="75">
        <f>IF($B14=0,0,IF(AND(AI$3=TotalApuestas!AI9,Resultado!AJ$3=TotalApuestas!AJ9),Resultado!AK$5+VLOOKUP(AK$4&amp;"bonus",Aux!$AD$1:$AE$46,2,0),IF(AK$3=TotalApuestas!AK9,AK$5,0)))</f>
        <v>0</v>
      </c>
      <c r="AL14" s="75">
        <f>IF($B14=0,0,IF(AL$3=TotalApuestas!AL9,AL$5,0))</f>
        <v>0</v>
      </c>
      <c r="AM14" s="75">
        <f>IF($B14=0,0,IF(AM$3=TotalApuestas!AM9,AM$5,0))</f>
        <v>0</v>
      </c>
      <c r="AN14" s="75">
        <f>IF($B14=0,0,IF(AND(AL$3=TotalApuestas!AL9,Resultado!AM$3=TotalApuestas!AM9),Resultado!AN$5+VLOOKUP(AN$4&amp;"bonus",Aux!$AD$1:$AE$46,2,0),IF(AN$3=TotalApuestas!AN9,AN$5,0)))</f>
        <v>0</v>
      </c>
      <c r="AO14" s="75">
        <f>IF($B14=0,0,IF(AO$3=TotalApuestas!AO9,AO$5,0))</f>
        <v>0</v>
      </c>
      <c r="AP14" s="75">
        <f>IF($B14=0,0,IF(AP$3=TotalApuestas!AP9,AP$5,0))</f>
        <v>0</v>
      </c>
      <c r="AQ14" s="75">
        <f>IF($B14=0,0,IF(AND(AO$3=TotalApuestas!AO9,Resultado!AP$3=TotalApuestas!AP9),Resultado!AQ$5+VLOOKUP(AQ$4&amp;"bonus",Aux!$AD$1:$AE$46,2,0),IF(AQ$3=TotalApuestas!AQ9,AQ$5,0)))</f>
        <v>0</v>
      </c>
      <c r="AR14" s="75">
        <f>IF($B14=0,0,IF(AR$3=TotalApuestas!AR9,AR$5,0))</f>
        <v>0</v>
      </c>
      <c r="AS14" s="75">
        <f>IF($B14=0,0,IF(AS$3=TotalApuestas!AS9,AS$5,0))</f>
        <v>0</v>
      </c>
      <c r="AT14" s="75">
        <f>IF($B14=0,0,IF(AND(AR$3=TotalApuestas!AR9,Resultado!AS$3=TotalApuestas!AS9),Resultado!AT$5+VLOOKUP(AT$4&amp;"bonus",Aux!$AD$1:$AE$46,2,0),IF(AT$3=TotalApuestas!AT9,AT$5,0)))</f>
        <v>0</v>
      </c>
      <c r="AU14" s="75">
        <f>IF($B14=0,0,IF(AU$3=TotalApuestas!AU9,AU$5,0))</f>
        <v>0</v>
      </c>
      <c r="AV14" s="75">
        <f>IF($B14=0,0,IF(AV$3=TotalApuestas!AV9,AV$5,0))</f>
        <v>0</v>
      </c>
      <c r="AW14" s="75">
        <f>IF($B14=0,0,IF(AND(AU$3=TotalApuestas!AU9,Resultado!AV$3=TotalApuestas!AV9),Resultado!AW$5+VLOOKUP(AW$4&amp;"bonus",Aux!$AD$1:$AE$46,2,0),IF(AW$3=TotalApuestas!AW9,AW$5,0)))</f>
        <v>0</v>
      </c>
      <c r="AX14" s="75">
        <f>IF($B14=0,0,IF(AX$3=TotalApuestas!AX9,AX$5,0))</f>
        <v>0</v>
      </c>
      <c r="AY14" s="75">
        <f>IF($B14=0,0,IF(AY$3=TotalApuestas!AY9,AY$5,0))</f>
        <v>0</v>
      </c>
      <c r="AZ14" s="75">
        <f>IF($B14=0,0,IF(AND(AX$3=TotalApuestas!AX9,Resultado!AY$3=TotalApuestas!AY9),Resultado!AZ$5+VLOOKUP(AZ$4&amp;"bonus",Aux!$AD$1:$AE$46,2,0),IF(AZ$3=TotalApuestas!AZ9,AZ$5,0)))</f>
        <v>0</v>
      </c>
      <c r="BA14" s="75">
        <f>IF($B14=0,0,IF(BA$3=TotalApuestas!BA9,BA$5,0))</f>
        <v>0</v>
      </c>
      <c r="BB14" s="75">
        <f>IF($B14=0,0,IF(BB$3=TotalApuestas!BB9,BB$5,0))</f>
        <v>0</v>
      </c>
      <c r="BC14" s="75">
        <f>IF($B14=0,0,IF(AND(BA$3=TotalApuestas!BA9,Resultado!BB$3=TotalApuestas!BB9),Resultado!BC$5+VLOOKUP(BC$4&amp;"bonus",Aux!$AD$1:$AE$46,2,0),IF(BC$3=TotalApuestas!BC9,BC$5,0)))</f>
        <v>0</v>
      </c>
      <c r="BD14" s="75">
        <f>IF($B14=0,0,IF(BD$3=TotalApuestas!BD9,BD$5,0))</f>
        <v>0</v>
      </c>
      <c r="BE14" s="75">
        <f>IF($B14=0,0,IF(BE$3=TotalApuestas!BE9,BE$5,0))</f>
        <v>0</v>
      </c>
      <c r="BF14" s="75">
        <f>IF($B14=0,0,IF(AND(BD$3=TotalApuestas!BD9,Resultado!BE$3=TotalApuestas!BE9),Resultado!BF$5+VLOOKUP(BF$4&amp;"bonus",Aux!$AD$1:$AE$46,2,0),IF(BF$3=TotalApuestas!BF9,BF$5,0)))</f>
        <v>0</v>
      </c>
      <c r="BG14" s="75">
        <f>IF($B14=0,0,IF(BG$3=TotalApuestas!BG9,BG$5,0))</f>
        <v>0</v>
      </c>
      <c r="BH14" s="75">
        <f>IF($B14=0,0,IF(BH$3=TotalApuestas!BH9,BH$5,0))</f>
        <v>0</v>
      </c>
      <c r="BI14" s="75">
        <f>IF($B14=0,0,IF(AND(BG$3=TotalApuestas!BG9,Resultado!BH$3=TotalApuestas!BH9),Resultado!BI$5+VLOOKUP(BI$4&amp;"bonus",Aux!$AD$1:$AE$46,2,0),IF(BI$3=TotalApuestas!BI9,BI$5,0)))</f>
        <v>0</v>
      </c>
      <c r="BJ14" s="75">
        <f>IF($B14=0,0,IF(BJ$3=TotalApuestas!BJ9,BJ$5,0))</f>
        <v>0</v>
      </c>
      <c r="BK14" s="75">
        <f>IF($B14=0,0,IF(BK$3=TotalApuestas!BK9,BK$5,0))</f>
        <v>0</v>
      </c>
      <c r="BL14" s="75">
        <f>IF($B14=0,0,IF(AND(BJ$3=TotalApuestas!BJ9,Resultado!BK$3=TotalApuestas!BK9),Resultado!BL$5+VLOOKUP(BL$4&amp;"bonus",Aux!$AD$1:$AE$46,2,0),IF(BL$3=TotalApuestas!BL9,BL$5,0)))</f>
        <v>0</v>
      </c>
      <c r="BM14" s="75">
        <f>IF($B14=0,0,IF(BM$3=TotalApuestas!BM9,BM$5,0))</f>
        <v>0</v>
      </c>
      <c r="BN14" s="75">
        <f>IF($B14=0,0,IF(BN$3=TotalApuestas!BN9,BN$5,0))</f>
        <v>0</v>
      </c>
      <c r="BO14" s="75">
        <f>IF($B14=0,0,IF(AND(BM$3=TotalApuestas!BM9,Resultado!BN$3=TotalApuestas!BN9),Resultado!BO$5+VLOOKUP(BO$4&amp;"bonus",Aux!$AD$1:$AE$46,2,0),IF(BO$3=TotalApuestas!BO9,BO$5,0)))</f>
        <v>0</v>
      </c>
      <c r="BP14" s="75">
        <f>IF($B14=0,0,IF(BP$3=TotalApuestas!BP9,BP$5,0))</f>
        <v>0</v>
      </c>
      <c r="BQ14" s="75">
        <f>IF($B14=0,0,IF(BQ$3=TotalApuestas!BQ9,BQ$5,0))</f>
        <v>0</v>
      </c>
      <c r="BR14" s="75">
        <f>IF($B14=0,0,IF(AND(BP$3=TotalApuestas!BP9,Resultado!BQ$3=TotalApuestas!BQ9),Resultado!BR$5+VLOOKUP(BR$4&amp;"bonus",Aux!$AD$1:$AE$46,2,0),IF(BR$3=TotalApuestas!BR9,BR$5,0)))</f>
        <v>0</v>
      </c>
      <c r="BS14" s="75">
        <f>IF($B14=0,0,IF(BS$3=TotalApuestas!BS9,BS$5,0))</f>
        <v>0</v>
      </c>
      <c r="BT14" s="75">
        <f>IF($B14=0,0,IF(BT$3=TotalApuestas!BT9,BT$5,0))</f>
        <v>0</v>
      </c>
      <c r="BU14" s="75">
        <f>IF($B14=0,0,IF(AND(BS$3=TotalApuestas!BS9,Resultado!BT$3=TotalApuestas!BT9),Resultado!BU$5+VLOOKUP(BU$4&amp;"bonus",Aux!$AD$1:$AE$46,2,0),IF(BU$3=TotalApuestas!BU9,BU$5,0)))</f>
        <v>0</v>
      </c>
      <c r="BV14" s="75">
        <f>IF($B14=0,0,IF(BV$3=TotalApuestas!BV9,BV$5,0))</f>
        <v>0</v>
      </c>
      <c r="BW14" s="75">
        <f>IF($B14=0,0,IF(BW$3=TotalApuestas!BW9,BW$5,0))</f>
        <v>0</v>
      </c>
      <c r="BX14" s="75">
        <f>IF($B14=0,0,IF(AND(BV$3=TotalApuestas!BV9,Resultado!BW$3=TotalApuestas!BW9),Resultado!BX$5+VLOOKUP(BX$4&amp;"bonus",Aux!$AD$1:$AE$46,2,0),IF(BX$3=TotalApuestas!BX9,BX$5,0)))</f>
        <v>0</v>
      </c>
      <c r="BY14" s="75">
        <f>IF($B14=0,0,IF(BY$3=TotalApuestas!BY9,BY$5,0))</f>
        <v>0</v>
      </c>
      <c r="BZ14" s="75">
        <f>IF($B14=0,0,IF(BZ$3=TotalApuestas!BZ9,BZ$5,0))</f>
        <v>0</v>
      </c>
      <c r="CA14" s="75">
        <f>IF($B14=0,0,IF(AND(BY$3=TotalApuestas!BY9,Resultado!BZ$3=TotalApuestas!BZ9),Resultado!CA$5+VLOOKUP(CA$4&amp;"bonus",Aux!$AD$1:$AE$46,2,0),IF(CA$3=TotalApuestas!CA9,CA$5,0)))</f>
        <v>0</v>
      </c>
      <c r="CB14" s="75">
        <f>IF($B14=0,0,IF(CB$3=TotalApuestas!CB9,CB$5,0))</f>
        <v>0</v>
      </c>
      <c r="CC14" s="75">
        <f>IF($B14=0,0,IF(CC$3=TotalApuestas!CC9,CC$5,0))</f>
        <v>0</v>
      </c>
      <c r="CD14" s="75">
        <f>IF($B14=0,0,IF(AND(CB$3=TotalApuestas!CB9,Resultado!CC$3=TotalApuestas!CC9),Resultado!CD$5+VLOOKUP(CD$4&amp;"bonus",Aux!$AD$1:$AE$46,2,0),IF(CD$3=TotalApuestas!CD9,CD$5,0)))</f>
        <v>0</v>
      </c>
      <c r="CE14" s="75">
        <f>IF($B14=0,0,IF(CE$3=TotalApuestas!CE9,CE$5,0))</f>
        <v>0</v>
      </c>
      <c r="CF14" s="75">
        <f>IF($B14=0,0,IF(CF$3=TotalApuestas!CF9,CF$5,0))</f>
        <v>0</v>
      </c>
      <c r="CG14" s="75">
        <f>IF($B14=0,0,IF(AND(CE$3=TotalApuestas!CE9,Resultado!CF$3=TotalApuestas!CF9),Resultado!CG$5+VLOOKUP(CG$4&amp;"bonus",Aux!$AD$1:$AE$46,2,0),IF(CG$3=TotalApuestas!CG9,CG$5,0)))</f>
        <v>0</v>
      </c>
      <c r="CH14" s="75">
        <f>IF($B14=0,0,IF(CH$3=TotalApuestas!CH9,CH$5,0))</f>
        <v>0</v>
      </c>
      <c r="CI14" s="75">
        <f>IF($B14=0,0,IF(CI$3=TotalApuestas!CI9,CI$5,0))</f>
        <v>0</v>
      </c>
      <c r="CJ14" s="75">
        <f>IF($B14=0,0,IF(AND(CH$3=TotalApuestas!CH9,Resultado!CI$3=TotalApuestas!CI9),Resultado!CJ$5+VLOOKUP(CJ$4&amp;"bonus",Aux!$AD$1:$AE$46,2,0),IF(CJ$3=TotalApuestas!CJ9,CJ$5,0)))</f>
        <v>0</v>
      </c>
      <c r="CK14" s="75">
        <f>IF($B14=0,0,IF(CK$3=TotalApuestas!CK9,CK$5,0))</f>
        <v>0</v>
      </c>
      <c r="CL14" s="75">
        <f>IF($B14=0,0,IF(CL$3=TotalApuestas!CL9,CL$5,0))</f>
        <v>0</v>
      </c>
      <c r="CM14" s="75">
        <f>IF($B14=0,0,IF(AND(CK$3=TotalApuestas!CK9,Resultado!CL$3=TotalApuestas!CL9),Resultado!CM$5+VLOOKUP(CM$4&amp;"bonus",Aux!$AD$1:$AE$46,2,0),IF(CM$3=TotalApuestas!CM9,CM$5,0)))</f>
        <v>0</v>
      </c>
      <c r="CN14" s="75">
        <f>IF($B14=0,0,IF(CN$3=TotalApuestas!CN9,CN$5,0))</f>
        <v>0</v>
      </c>
      <c r="CO14" s="75">
        <f>IF($B14=0,0,IF(CO$3=TotalApuestas!CO9,CO$5,0))</f>
        <v>0</v>
      </c>
      <c r="CP14" s="75">
        <f>IF($B14=0,0,IF(AND(CN$3=TotalApuestas!CN9,Resultado!CO$3=TotalApuestas!CO9),Resultado!CP$5+VLOOKUP(CP$4&amp;"bonus",Aux!$AD$1:$AE$46,2,0),IF(CP$3=TotalApuestas!CP9,CP$5,0)))</f>
        <v>0</v>
      </c>
      <c r="CQ14" s="75">
        <f>IF($B14=0,0,IF(CQ$3=TotalApuestas!CQ9,CQ$5,0))</f>
        <v>0</v>
      </c>
      <c r="CR14" s="75">
        <f>IF($B14=0,0,IF(CR$3=TotalApuestas!CR9,CR$5,0))</f>
        <v>0</v>
      </c>
      <c r="CS14" s="75">
        <f>IF($B14=0,0,IF(AND(CQ$3=TotalApuestas!CQ9,Resultado!CR$3=TotalApuestas!CR9),Resultado!CS$5+VLOOKUP(CS$4&amp;"bonus",Aux!$AD$1:$AE$46,2,0),IF(CS$3=TotalApuestas!CS9,CS$5,0)))</f>
        <v>0</v>
      </c>
      <c r="CT14" s="75">
        <f>IF($B14=0,0,IF(CT$3=TotalApuestas!CT9,CT$5,0))</f>
        <v>0</v>
      </c>
      <c r="CU14" s="75">
        <f>IF($B14=0,0,IF(CU$3=TotalApuestas!CU9,CU$5,0))</f>
        <v>0</v>
      </c>
      <c r="CV14" s="75">
        <f>IF($B14=0,0,IF(AND(CT$3=TotalApuestas!CT9,Resultado!CU$3=TotalApuestas!CU9),Resultado!CV$5+VLOOKUP(CV$4&amp;"bonus",Aux!$AD$1:$AE$46,2,0),IF(CV$3=TotalApuestas!CV9,CV$5,0)))</f>
        <v>0</v>
      </c>
      <c r="CW14" s="75">
        <f>IF($B14=0,0,IF(CW$3=TotalApuestas!CW9,CW$5,0))</f>
        <v>0</v>
      </c>
      <c r="CX14" s="75">
        <f>IF($B14=0,0,IF(CX$3=TotalApuestas!CX9,CX$5,0))</f>
        <v>0</v>
      </c>
      <c r="CY14" s="75">
        <f>IF($B14=0,0,IF(AND(CW$3=TotalApuestas!CW9,Resultado!CX$3=TotalApuestas!CX9),Resultado!CY$5+VLOOKUP(CY$4&amp;"bonus",Aux!$AD$1:$AE$46,2,0),IF(CY$3=TotalApuestas!CY9,CY$5,0)))</f>
        <v>0</v>
      </c>
      <c r="CZ14" s="75">
        <f>IF($B14=0,0,IF(CZ$3=TotalApuestas!CZ9,CZ$5,0))</f>
        <v>0</v>
      </c>
      <c r="DA14" s="75">
        <f>IF($B14=0,0,IF(DA$3=TotalApuestas!DA9,DA$5,0))</f>
        <v>0</v>
      </c>
      <c r="DB14" s="75">
        <f>IF($B14=0,0,IF(AND(CZ$3=TotalApuestas!CZ9,Resultado!DA$3=TotalApuestas!DA9),Resultado!DB$5+VLOOKUP(DB$4&amp;"bonus",Aux!$AD$1:$AE$46,2,0),IF(DB$3=TotalApuestas!DB9,DB$5,0)))</f>
        <v>0</v>
      </c>
      <c r="DC14" s="75">
        <f>IF($B14=0,0,IF(DC$3=TotalApuestas!DC9,DC$5,0))</f>
        <v>0</v>
      </c>
      <c r="DD14" s="75">
        <f>IF($B14=0,0,IF(DD$3=TotalApuestas!DD9,DD$5,0))</f>
        <v>0</v>
      </c>
      <c r="DE14" s="75">
        <f>IF($B14=0,0,IF(AND(DC$3=TotalApuestas!DC9,Resultado!DD$3=TotalApuestas!DD9),Resultado!DE$5+VLOOKUP(DE$4&amp;"bonus",Aux!$AD$1:$AE$46,2,0),IF(DE$3=TotalApuestas!DE9,DE$5,0)))</f>
        <v>0</v>
      </c>
      <c r="DF14" s="75">
        <f>IF($B14=0,0,IF(DF$3=TotalApuestas!DF9,DF$5,0))</f>
        <v>0</v>
      </c>
      <c r="DG14" s="75">
        <f>IF($B14=0,0,IF(DG$3=TotalApuestas!DG9,DG$5,0))</f>
        <v>0</v>
      </c>
      <c r="DH14" s="75">
        <f>IF($B14=0,0,IF(AND(DF$3=TotalApuestas!DF9,Resultado!DG$3=TotalApuestas!DG9),Resultado!DH$5+VLOOKUP(DH$4&amp;"bonus",Aux!$AD$1:$AE$46,2,0),IF(DH$3=TotalApuestas!DH9,DH$5,0)))</f>
        <v>0</v>
      </c>
      <c r="DI14" s="75">
        <f>IF($B14=0,0,IF(DI$3=TotalApuestas!DI9,DI$5,0))</f>
        <v>0</v>
      </c>
      <c r="DJ14" s="75">
        <f>IF($B14=0,0,IF(DJ$3=TotalApuestas!DJ9,DJ$5,0))</f>
        <v>0</v>
      </c>
      <c r="DK14" s="75">
        <f>IF($B14=0,0,IF(AND(DI$3=TotalApuestas!DI9,Resultado!DJ$3=TotalApuestas!DJ9),Resultado!DK$5+VLOOKUP(DK$4&amp;"bonus",Aux!$AD$1:$AE$46,2,0),IF(DK$3=TotalApuestas!DK9,DK$5,0)))</f>
        <v>0</v>
      </c>
      <c r="DL14" s="75">
        <f>IF($B14=0,0,IF(DL$3=TotalApuestas!DL9,DL$5,0))</f>
        <v>0</v>
      </c>
      <c r="DM14" s="75">
        <f>IF($B14=0,0,IF(DM$3=TotalApuestas!DM9,DM$5,0))</f>
        <v>0</v>
      </c>
      <c r="DN14" s="75">
        <f>IF($B14=0,0,IF(AND(DL$3=TotalApuestas!DL9,Resultado!DM$3=TotalApuestas!DM9),Resultado!DN$5+VLOOKUP(DN$4&amp;"bonus",Aux!$AD$1:$AE$46,2,0),IF(DN$3=TotalApuestas!DN9,DN$5,0)))</f>
        <v>0</v>
      </c>
      <c r="DO14" s="75">
        <f>IF($B14=0,0,IF(DO$3=TotalApuestas!DO9,DO$5,0))</f>
        <v>0</v>
      </c>
      <c r="DP14" s="75">
        <f>IF($B14=0,0,IF(DP$3=TotalApuestas!DP9,DP$5,0))</f>
        <v>0</v>
      </c>
      <c r="DQ14" s="75">
        <f>IF($B14=0,0,IF(AND(DO$3=TotalApuestas!DO9,Resultado!DP$3=TotalApuestas!DP9),Resultado!DQ$5+VLOOKUP(DQ$4&amp;"bonus",Aux!$AD$1:$AE$46,2,0),IF(DQ$3=TotalApuestas!DQ9,DQ$5,0)))</f>
        <v>0</v>
      </c>
      <c r="DR14" s="75">
        <f>IF($B14=0,0,IF(DR$3=TotalApuestas!DR9,DR$5,0))</f>
        <v>0</v>
      </c>
      <c r="DS14" s="75">
        <f>IF($B14=0,0,IF(DS$3=TotalApuestas!DS9,DS$5,0))</f>
        <v>0</v>
      </c>
      <c r="DT14" s="75">
        <f>IF($B14=0,0,IF(AND(DR$3=TotalApuestas!DR9,Resultado!DS$3=TotalApuestas!DS9),Resultado!DT$5+VLOOKUP(DT$4&amp;"bonus",Aux!$AD$1:$AE$46,2,0),IF(DT$3=TotalApuestas!DT9,DT$5,0)))</f>
        <v>0</v>
      </c>
      <c r="DU14" s="75">
        <f>IF($B14=0,0,IF(DU$3=TotalApuestas!DU9,DU$5,0))</f>
        <v>0</v>
      </c>
      <c r="DV14" s="75">
        <f>IF($B14=0,0,IF(DV$3=TotalApuestas!DV9,DV$5,0))</f>
        <v>0</v>
      </c>
      <c r="DW14" s="75">
        <f>IF($B14=0,0,IF(AND(DU$3=TotalApuestas!DU9,Resultado!DV$3=TotalApuestas!DV9),Resultado!DW$5+VLOOKUP(DW$4&amp;"bonus",Aux!$AD$1:$AE$46,2,0),IF(DW$3=TotalApuestas!DW9,DW$5,0)))</f>
        <v>0</v>
      </c>
      <c r="DX14" s="75">
        <f>IF($B14=0,0,IF(DX$3=TotalApuestas!DX9,DX$5,0))</f>
        <v>0</v>
      </c>
      <c r="DY14" s="75">
        <f>IF($B14=0,0,IF(DY$3=TotalApuestas!DY9,DY$5,0))</f>
        <v>0</v>
      </c>
      <c r="DZ14" s="75">
        <f>IF($B14=0,0,IF(AND(DX$3=TotalApuestas!DX9,Resultado!DY$3=TotalApuestas!DY9),Resultado!DZ$5+VLOOKUP(DZ$4&amp;"bonus",Aux!$AD$1:$AE$46,2,0),IF(DZ$3=TotalApuestas!DZ9,DZ$5,0)))</f>
        <v>0</v>
      </c>
      <c r="EA14" s="75">
        <f>IF($B14=0,0,IF(EA$3=TotalApuestas!EA9,EA$5,0))</f>
        <v>0</v>
      </c>
      <c r="EB14" s="75">
        <f>IF($B14=0,0,IF(EB$3=TotalApuestas!EB9,EB$5,0))</f>
        <v>0</v>
      </c>
      <c r="EC14" s="75">
        <f>IF($B14=0,0,IF(AND(EA$3=TotalApuestas!EA9,Resultado!EB$3=TotalApuestas!EB9),Resultado!EC$5+VLOOKUP(EC$4&amp;"bonus",Aux!$AD$1:$AE$46,2,0),IF(EC$3=TotalApuestas!EC9,EC$5,0)))</f>
        <v>0</v>
      </c>
      <c r="ED14" s="75">
        <f>IF($B14=0,0,IF(ED$3=TotalApuestas!ED9,ED$5,0))</f>
        <v>0</v>
      </c>
      <c r="EE14" s="75">
        <f>IF($B14=0,0,IF(EE$3=TotalApuestas!EE9,EE$5,0))</f>
        <v>0</v>
      </c>
      <c r="EF14" s="75">
        <f>IF($B14=0,0,IF(AND(ED$3=TotalApuestas!ED9,Resultado!EE$3=TotalApuestas!EE9),Resultado!EF$5+VLOOKUP(EF$4&amp;"bonus",Aux!$AD$1:$AE$46,2,0),IF(EF$3=TotalApuestas!EF9,EF$5,0)))</f>
        <v>0</v>
      </c>
      <c r="EG14" s="75">
        <f>IF($B14=0,0,IF(EG$3=TotalApuestas!EG9,EG$5,0))</f>
        <v>0</v>
      </c>
      <c r="EH14" s="75">
        <f>IF($B14=0,0,IF(EH$3=TotalApuestas!EH9,EH$5,0))</f>
        <v>0</v>
      </c>
      <c r="EI14" s="75">
        <f>IF($B14=0,0,IF(AND(EG$3=TotalApuestas!EG9,Resultado!EH$3=TotalApuestas!EH9),Resultado!EI$5+VLOOKUP(EI$4&amp;"bonus",Aux!$AD$1:$AE$46,2,0),IF(EI$3=TotalApuestas!EI9,EI$5,0)))</f>
        <v>0</v>
      </c>
      <c r="EJ14" s="75">
        <f>IF($B14=0,0,IF(EJ$3=TotalApuestas!EJ9,EJ$5,0))</f>
        <v>0</v>
      </c>
      <c r="EK14" s="75">
        <f>IF($B14=0,0,IF(EK$3=TotalApuestas!EK9,EK$5,0))</f>
        <v>0</v>
      </c>
      <c r="EL14" s="75">
        <f>IF($B14=0,0,IF(AND(EJ$3=TotalApuestas!EJ9,Resultado!EK$3=TotalApuestas!EK9),Resultado!EL$5+VLOOKUP(EL$4&amp;"bonus",Aux!$AD$1:$AE$46,2,0),IF(EL$3=TotalApuestas!EL9,EL$5,0)))</f>
        <v>0</v>
      </c>
      <c r="EM14" s="75">
        <f>IF($B14=0,0,IF(EM$3=TotalApuestas!EM9,EM$5,0))</f>
        <v>0</v>
      </c>
      <c r="EN14" s="75">
        <f>IF($B14=0,0,IF(EN$3=TotalApuestas!EN9,EN$5,0))</f>
        <v>0</v>
      </c>
      <c r="EO14" s="75">
        <f>IF($B14=0,0,IF(AND(EM$3=TotalApuestas!EM9,Resultado!EN$3=TotalApuestas!EN9),Resultado!EO$5+VLOOKUP(EO$4&amp;"bonus",Aux!$AD$1:$AE$46,2,0),IF(EO$3=TotalApuestas!EO9,EO$5,0)))</f>
        <v>0</v>
      </c>
      <c r="EP14" s="75">
        <f>IF($B14=0,0,IF(EP$3=TotalApuestas!EP9,EP$5,0))</f>
        <v>0</v>
      </c>
      <c r="EQ14" s="75">
        <f>IF($B14=0,0,IF(EQ$3=TotalApuestas!EQ9,EQ$5,0))</f>
        <v>0</v>
      </c>
      <c r="ER14" s="75">
        <f>IF($B14=0,0,IF(AND(EP$3=TotalApuestas!EP9,Resultado!EQ$3=TotalApuestas!EQ9),Resultado!ER$5+VLOOKUP(ER$4&amp;"bonus",Aux!$AD$1:$AE$46,2,0),IF(ER$3=TotalApuestas!ER9,ER$5,0)))</f>
        <v>0</v>
      </c>
      <c r="ES14" s="75">
        <f>IF($B14=0,0,IF(ES$3=TotalApuestas!ES9,ES$5,0))</f>
        <v>0</v>
      </c>
      <c r="ET14" s="75">
        <f>IF($B14=0,0,IF(ET$3=TotalApuestas!ET9,ET$5,0))</f>
        <v>0</v>
      </c>
      <c r="EU14" s="75">
        <f>IF($B14=0,0,IF(EU$3=TotalApuestas!EU9,EU$5,0))</f>
        <v>0</v>
      </c>
      <c r="EV14" s="75">
        <f>IF($B14=0,0,IF(EV$3=TotalApuestas!EV9,EV$5,0))</f>
        <v>0</v>
      </c>
      <c r="EW14" s="75">
        <f>IF($B14=0,0,IF(EW$3=TotalApuestas!EW9,EW$5,0))</f>
        <v>0</v>
      </c>
      <c r="EX14" s="75">
        <f>IF($B14=0,0,IF(EX$3=TotalApuestas!EX9,EX$5,0))</f>
        <v>0</v>
      </c>
      <c r="EY14" s="75">
        <f>IF($B14=0,0,IF(EY$3=TotalApuestas!EY9,EY$5,0))</f>
        <v>0</v>
      </c>
      <c r="EZ14" s="75">
        <f>IF($B14=0,0,IF(EZ$3=TotalApuestas!EZ9,EZ$5,0))</f>
        <v>0</v>
      </c>
      <c r="FA14" s="75">
        <f>IF($B14=0,0,IF(FA$3=TotalApuestas!FA9,FA$5,0))</f>
        <v>0</v>
      </c>
      <c r="FB14" s="75">
        <f>IF($B14=0,0,IF(FB$3=TotalApuestas!FB9,FB$5,0))</f>
        <v>0</v>
      </c>
      <c r="FC14" s="75">
        <f>IF($B14=0,0,IF(FC$3=TotalApuestas!FC9,FC$5,0))</f>
        <v>0</v>
      </c>
      <c r="FD14" s="75">
        <f>IF($B14=0,0,IF(FD$3=TotalApuestas!FD9,FD$5,0))</f>
        <v>0</v>
      </c>
      <c r="FE14" s="75">
        <f>IF($B14=0,0,IF(FE$3=TotalApuestas!FE9,FE$5,0))</f>
        <v>0</v>
      </c>
      <c r="FF14" s="75">
        <f>IF($B14=0,0,IF(FF$3=TotalApuestas!FF9,FF$5,0))</f>
        <v>0</v>
      </c>
      <c r="FG14" s="75">
        <f>IF($B14=0,0,IF(FG$3=TotalApuestas!FG9,FG$5,0))</f>
        <v>0</v>
      </c>
      <c r="FH14" s="75">
        <f>IF($B14=0,0,IF(FH$3=TotalApuestas!FH9,FH$5,0))</f>
        <v>0</v>
      </c>
      <c r="FI14" s="75">
        <f>IF($B14=0,0,IF(FI$3=TotalApuestas!FI9,FI$5,0))</f>
        <v>0</v>
      </c>
      <c r="FJ14" s="75">
        <f>IF($B14=0,0,IF(FJ$3=TotalApuestas!FJ9,FJ$5,0))</f>
        <v>0</v>
      </c>
      <c r="FK14" s="75">
        <f>IF($B14=0,0,IF(FK$3=TotalApuestas!FK9,FK$5,0))</f>
        <v>0</v>
      </c>
      <c r="FL14" s="75">
        <f>IF($B14=0,0,IF(FL$3=TotalApuestas!FL9,FL$5,0))</f>
        <v>0</v>
      </c>
      <c r="FM14" s="75">
        <f>IF($B14=0,0,IF(FM$3=TotalApuestas!FM9,FM$5,0))</f>
        <v>0</v>
      </c>
      <c r="FN14" s="75">
        <f>IF($B14=0,0,IF(FN$3=TotalApuestas!FN9,FN$5,0))</f>
        <v>0</v>
      </c>
      <c r="FO14" s="75">
        <f>IF($B14=0,0,IF(FO$3=TotalApuestas!FO9,FO$5,0))</f>
        <v>0</v>
      </c>
      <c r="FP14" s="75">
        <f>IF($B14=0,0,IF(FP$3=TotalApuestas!FP9,FP$5,0))</f>
        <v>0</v>
      </c>
      <c r="FQ14" s="75">
        <f>IF($B14=0,0,IF(FQ$3=TotalApuestas!FQ9,FQ$5,0))</f>
        <v>0</v>
      </c>
      <c r="FR14" s="75">
        <f>IF($B14=0,0,IF(FR$3=TotalApuestas!FR9,FR$5,0))</f>
        <v>0</v>
      </c>
      <c r="FS14" s="75">
        <f>IF($B14=0,0,IF(FS$3=TotalApuestas!FS9,FS$5,0))</f>
        <v>0</v>
      </c>
      <c r="FT14" s="75">
        <f>IF($B14=0,0,IF(FT$3=TotalApuestas!FT9,FT$5,0))</f>
        <v>0</v>
      </c>
      <c r="FU14" s="75">
        <f>IF($B14=0,0,IF(FU$3=TotalApuestas!FU9,FU$5,0))</f>
        <v>0</v>
      </c>
      <c r="FV14" s="75">
        <f>IF($B14=0,0,IF(FV$3=TotalApuestas!FV9,FV$5,0))</f>
        <v>0</v>
      </c>
      <c r="FW14" s="75">
        <f>IF($B14=0,0,IF(FW$3=TotalApuestas!FW9,FW$5,0))</f>
        <v>0</v>
      </c>
      <c r="FX14" s="75">
        <f>IF($B14=0,0,IF(FX$3=TotalApuestas!FX9,FX$5,0))</f>
        <v>0</v>
      </c>
      <c r="FY14" s="75">
        <f>IF($B14=0,0,IF(FY$3=TotalApuestas!FY9,FY$5,0))</f>
        <v>0</v>
      </c>
      <c r="FZ14" s="75">
        <f>IF($B14=0,0,IF(AND(FX$3=TotalApuestas!FX9,Resultado!FY$3=TotalApuestas!FY9),Resultado!FZ$5+VLOOKUP(FZ$4&amp;"bonus",Aux!$AD$1:$AE$46,2,0),IF(FZ$3=TotalApuestas!FZ9,FZ$5,0)))</f>
        <v>0</v>
      </c>
      <c r="GA14" s="75">
        <f>IF($B14=0,0,IF(GA$3=TotalApuestas!GA9,GA$5,0))</f>
        <v>0</v>
      </c>
      <c r="GB14" s="75">
        <f>IF($B14=0,0,IF(GB$3=TotalApuestas!GB9,GB$5,0))</f>
        <v>0</v>
      </c>
      <c r="GC14" s="75">
        <f>IF($B14=0,0,IF(AND(GA$3=TotalApuestas!GA9,Resultado!GB$3=TotalApuestas!GB9),Resultado!GC$5+VLOOKUP(GC$4&amp;"bonus",Aux!$AD$1:$AE$46,2,0),IF(GC$3=TotalApuestas!GC9,GC$5,0)))</f>
        <v>0</v>
      </c>
      <c r="GD14" s="75">
        <f>IF($B14=0,0,IF(GD$3=TotalApuestas!GD9,GD$5,0))</f>
        <v>0</v>
      </c>
      <c r="GE14" s="75">
        <f>IF($B14=0,0,IF(GE$3=TotalApuestas!GE9,GE$5,0))</f>
        <v>0</v>
      </c>
      <c r="GF14" s="75">
        <f>IF($B14=0,0,IF(AND(GD$3=TotalApuestas!GD9,Resultado!GE$3=TotalApuestas!GE9),Resultado!GF$5+VLOOKUP(GF$4&amp;"bonus",Aux!$AD$1:$AE$46,2,0),IF(GF$3=TotalApuestas!GF9,GF$5,0)))</f>
        <v>0</v>
      </c>
      <c r="GG14" s="75">
        <f>IF($B14=0,0,IF(GG$3=TotalApuestas!GG9,GG$5,0))</f>
        <v>0</v>
      </c>
      <c r="GH14" s="75">
        <f>IF($B14=0,0,IF(GH$3=TotalApuestas!GH9,GH$5,0))</f>
        <v>0</v>
      </c>
      <c r="GI14" s="75">
        <f>IF($B14=0,0,IF(AND(GG$3=TotalApuestas!GG9,Resultado!GH$3=TotalApuestas!GH9),Resultado!GI$5+VLOOKUP(GI$4&amp;"bonus",Aux!$AD$1:$AE$46,2,0),IF(GI$3=TotalApuestas!GI9,GI$5,0)))</f>
        <v>0</v>
      </c>
      <c r="GJ14" s="75">
        <f>IF($B14=0,0,IF(GJ$3=TotalApuestas!GJ9,GJ$5,0))</f>
        <v>0</v>
      </c>
      <c r="GK14" s="75">
        <f>IF($B14=0,0,IF(GK$3=TotalApuestas!GK9,GK$5,0))</f>
        <v>0</v>
      </c>
      <c r="GL14" s="75">
        <f>IF($B14=0,0,IF(AND(GJ$3=TotalApuestas!GJ9,Resultado!GK$3=TotalApuestas!GK9),Resultado!GL$5+VLOOKUP(GL$4&amp;"bonus",Aux!$AD$1:$AE$46,2,0),IF(GL$3=TotalApuestas!GL9,GL$5,0)))</f>
        <v>0</v>
      </c>
      <c r="GM14" s="75">
        <f>IF($B14=0,0,IF(GM$3=TotalApuestas!GM9,GM$5,0))</f>
        <v>0</v>
      </c>
      <c r="GN14" s="75">
        <f>IF($B14=0,0,IF(GN$3=TotalApuestas!GN9,GN$5,0))</f>
        <v>0</v>
      </c>
      <c r="GO14" s="75">
        <f>IF($B14=0,0,IF(AND(GM$3=TotalApuestas!GM9,Resultado!GN$3=TotalApuestas!GN9),Resultado!GO$5+VLOOKUP(GO$4&amp;"bonus",Aux!$AD$1:$AE$46,2,0),IF(GO$3=TotalApuestas!GO9,GO$5,0)))</f>
        <v>0</v>
      </c>
      <c r="GP14" s="75">
        <f>IF($B14=0,0,IF(GP$3=TotalApuestas!GP9,GP$5,0))</f>
        <v>0</v>
      </c>
      <c r="GQ14" s="75">
        <f>IF($B14=0,0,IF(GQ$3=TotalApuestas!GQ9,GQ$5,0))</f>
        <v>0</v>
      </c>
      <c r="GR14" s="75">
        <f>IF($B14=0,0,IF(AND(GP$3=TotalApuestas!GP9,Resultado!GQ$3=TotalApuestas!GQ9),Resultado!GR$5+VLOOKUP(GR$4&amp;"bonus",Aux!$AD$1:$AE$46,2,0),IF(GR$3=TotalApuestas!GR9,GR$5,0)))</f>
        <v>0</v>
      </c>
      <c r="GS14" s="75">
        <f>IF($B14=0,0,IF(GS$3=TotalApuestas!GS9,GS$5,0))</f>
        <v>0</v>
      </c>
      <c r="GT14" s="75">
        <f>IF($B14=0,0,IF(GT$3=TotalApuestas!GT9,GT$5,0))</f>
        <v>0</v>
      </c>
      <c r="GU14" s="75">
        <f>IF($B14=0,0,IF(AND(GS$3=TotalApuestas!GS9,Resultado!GT$3=TotalApuestas!GT9),Resultado!GU$5+VLOOKUP(GU$4&amp;"bonus",Aux!$AD$1:$AE$46,2,0),IF(GU$3=TotalApuestas!GU9,GU$5,0)))</f>
        <v>0</v>
      </c>
      <c r="GV14" s="75">
        <f>IF($B14=0,0,IF(GV$3=TotalApuestas!GV9,GV$5,0))</f>
        <v>0</v>
      </c>
      <c r="GW14" s="75">
        <f>IF($B14=0,0,IF(GW$3=TotalApuestas!GW9,GW$5,0))</f>
        <v>0</v>
      </c>
      <c r="GX14" s="75">
        <f>IF($B14=0,0,IF(AND(GV$3=TotalApuestas!GV9,Resultado!GW$3=TotalApuestas!GW9),Resultado!GX$5+VLOOKUP(GX$4&amp;"bonus",Aux!$AD$1:$AE$46,2,0),IF(GX$3=TotalApuestas!GX9,GX$5,0)))</f>
        <v>0</v>
      </c>
      <c r="GY14" s="75">
        <f>IF($B14=0,0,IF(GY$3=TotalApuestas!GY9,GY$5,0))</f>
        <v>0</v>
      </c>
      <c r="GZ14" s="75">
        <f>IF($B14=0,0,IF(GZ$3=TotalApuestas!GZ9,GZ$5,0))</f>
        <v>0</v>
      </c>
      <c r="HA14" s="75">
        <f>IF($B14=0,0,IF(AND(GY$3=TotalApuestas!GY9,Resultado!GZ$3=TotalApuestas!GZ9),Resultado!HA$5+VLOOKUP(HA$4&amp;"bonus",Aux!$AD$1:$AE$46,2,0),IF(HA$3=TotalApuestas!HA9,HA$5,0)))</f>
        <v>0</v>
      </c>
      <c r="HB14" s="75">
        <f>IF($B14=0,0,IF(HB$3=TotalApuestas!HB9,HB$5,0))</f>
        <v>0</v>
      </c>
      <c r="HC14" s="75">
        <f>IF($B14=0,0,IF(HC$3=TotalApuestas!HC9,HC$5,0))</f>
        <v>0</v>
      </c>
      <c r="HD14" s="75">
        <f>IF($B14=0,0,IF(AND(HB$3=TotalApuestas!HB9,Resultado!HC$3=TotalApuestas!HC9),Resultado!HD$5+VLOOKUP(HD$4&amp;"bonus",Aux!$AD$1:$AE$46,2,0),IF(HD$3=TotalApuestas!HD9,HD$5,0)))</f>
        <v>0</v>
      </c>
      <c r="HE14" s="75">
        <f>IF($B14=0,0,IF(HE$3=TotalApuestas!HE9,HE$5,0))</f>
        <v>0</v>
      </c>
      <c r="HF14" s="75">
        <f>IF($B14=0,0,IF(HF$3=TotalApuestas!HF9,HF$5,0))</f>
        <v>0</v>
      </c>
      <c r="HG14" s="75">
        <f>IF($B14=0,0,IF(AND(HE$3=TotalApuestas!HE9,Resultado!HF$3=TotalApuestas!HF9),Resultado!HG$5+VLOOKUP(HG$4&amp;"bonus",Aux!$AD$1:$AE$46,2,0),IF(HG$3=TotalApuestas!HG9,HG$5,0)))</f>
        <v>0</v>
      </c>
      <c r="HH14" s="75">
        <f>IF($B14=0,0,IF(HH$3=TotalApuestas!HH9,HH$5,0))</f>
        <v>0</v>
      </c>
      <c r="HI14" s="75">
        <f>IF($B14=0,0,IF(HI$3=TotalApuestas!HI9,HI$5,0))</f>
        <v>0</v>
      </c>
      <c r="HJ14" s="75">
        <f>IF($B14=0,0,IF(AND(HH$3=TotalApuestas!HH9,Resultado!HI$3=TotalApuestas!HI9),Resultado!HJ$5+VLOOKUP(HJ$4&amp;"bonus",Aux!$AD$1:$AE$46,2,0),IF(HJ$3=TotalApuestas!HJ9,HJ$5,0)))</f>
        <v>0</v>
      </c>
      <c r="HK14" s="75">
        <f>IF($B14=0,0,IF(HK$3=TotalApuestas!HK9,HK$5,0))</f>
        <v>0</v>
      </c>
      <c r="HL14" s="75">
        <f>IF($B14=0,0,IF(HL$3=TotalApuestas!HL9,HL$5,0))</f>
        <v>0</v>
      </c>
      <c r="HM14" s="75">
        <f>IF($B14=0,0,IF(AND(HK$3=TotalApuestas!HK9,Resultado!HL$3=TotalApuestas!HL9),Resultado!HM$5+VLOOKUP(HM$4&amp;"bonus",Aux!$AD$1:$AE$46,2,0),IF(HM$3=TotalApuestas!HM9,HM$5,0)))</f>
        <v>0</v>
      </c>
      <c r="HN14" s="75">
        <f>IF($B14=0,0,IF(HN$3=TotalApuestas!HN9,HN$5,0))</f>
        <v>0</v>
      </c>
      <c r="HO14" s="75">
        <f>IF($B14=0,0,IF(HO$3=TotalApuestas!HO9,HO$5,0))</f>
        <v>0</v>
      </c>
      <c r="HP14" s="75">
        <f>IF($B14=0,0,IF(AND(HN$3=TotalApuestas!HN9,Resultado!HO$3=TotalApuestas!HO9),Resultado!HP$5+VLOOKUP(HP$4&amp;"bonus",Aux!$AD$1:$AE$46,2,0),IF(HP$3=TotalApuestas!HP9,HP$5,0)))</f>
        <v>0</v>
      </c>
    </row>
    <row r="15" spans="2:224" x14ac:dyDescent="0.25">
      <c r="B15">
        <f>+TotalApuestas!B10</f>
        <v>0</v>
      </c>
      <c r="E15" s="75">
        <f>IF($B15=0,0,IF(E$3=TotalApuestas!E10,E$5,0))</f>
        <v>0</v>
      </c>
      <c r="F15" s="75">
        <f>IF($B15=0,0,IF(F$3=TotalApuestas!F10,F$5,0))</f>
        <v>0</v>
      </c>
      <c r="G15" s="75">
        <f>IF($B15=0,0,IF(AND(E$3=TotalApuestas!E10,Resultado!F$3=TotalApuestas!F10),Resultado!G$5+VLOOKUP(G$4&amp;"bonus",Aux!$AD$1:$AE$46,2,0),IF(G$3=TotalApuestas!G10,G$5,0)))</f>
        <v>0</v>
      </c>
      <c r="H15" s="75">
        <f>IF($B15=0,0,IF(H$3=TotalApuestas!H10,H$5,0))</f>
        <v>0</v>
      </c>
      <c r="I15" s="75">
        <f>IF($B15=0,0,IF(I$3=TotalApuestas!I10,I$5,0))</f>
        <v>0</v>
      </c>
      <c r="J15" s="75">
        <f>IF($B15=0,0,IF(AND(H$3=TotalApuestas!H10,Resultado!I$3=TotalApuestas!I10),Resultado!J$5+VLOOKUP(J$4&amp;"bonus",Aux!$AD$1:$AE$46,2,0),IF(J$3=TotalApuestas!J10,J$5,0)))</f>
        <v>0</v>
      </c>
      <c r="K15" s="75">
        <f>IF($B15=0,0,IF(K$3=TotalApuestas!K10,K$5,0))</f>
        <v>0</v>
      </c>
      <c r="L15" s="75">
        <f>IF($B15=0,0,IF(L$3=TotalApuestas!L10,L$5,0))</f>
        <v>0</v>
      </c>
      <c r="M15" s="75">
        <f>IF($B15=0,0,IF(AND(K$3=TotalApuestas!K10,Resultado!L$3=TotalApuestas!L10),Resultado!M$5+VLOOKUP(M$4&amp;"bonus",Aux!$AD$1:$AE$46,2,0),IF(M$3=TotalApuestas!M10,M$5,0)))</f>
        <v>0</v>
      </c>
      <c r="N15" s="75">
        <f>IF($B15=0,0,IF(N$3=TotalApuestas!N10,N$5,0))</f>
        <v>0</v>
      </c>
      <c r="O15" s="75">
        <f>IF($B15=0,0,IF(O$3=TotalApuestas!O10,O$5,0))</f>
        <v>0</v>
      </c>
      <c r="P15" s="75">
        <f>IF($B15=0,0,IF(AND(N$3=TotalApuestas!N10,Resultado!O$3=TotalApuestas!O10),Resultado!P$5+VLOOKUP(P$4&amp;"bonus",Aux!$AD$1:$AE$46,2,0),IF(P$3=TotalApuestas!P10,P$5,0)))</f>
        <v>0</v>
      </c>
      <c r="Q15" s="75">
        <f>IF($B15=0,0,IF(Q$3=TotalApuestas!Q10,Q$5,0))</f>
        <v>0</v>
      </c>
      <c r="R15" s="75">
        <f>IF($B15=0,0,IF(R$3=TotalApuestas!R10,R$5,0))</f>
        <v>0</v>
      </c>
      <c r="S15" s="75">
        <f>IF($B15=0,0,IF(AND(Q$3=TotalApuestas!Q10,Resultado!R$3=TotalApuestas!R10),Resultado!S$5+VLOOKUP(S$4&amp;"bonus",Aux!$AD$1:$AE$46,2,0),IF(S$3=TotalApuestas!S10,S$5,0)))</f>
        <v>0</v>
      </c>
      <c r="T15" s="75">
        <f>IF($B15=0,0,IF(T$3=TotalApuestas!T10,T$5,0))</f>
        <v>0</v>
      </c>
      <c r="U15" s="75">
        <f>IF($B15=0,0,IF(U$3=TotalApuestas!U10,U$5,0))</f>
        <v>0</v>
      </c>
      <c r="V15" s="75">
        <f>IF($B15=0,0,IF(AND(T$3=TotalApuestas!T10,Resultado!U$3=TotalApuestas!U10),Resultado!V$5+VLOOKUP(V$4&amp;"bonus",Aux!$AD$1:$AE$46,2,0),IF(V$3=TotalApuestas!V10,V$5,0)))</f>
        <v>0</v>
      </c>
      <c r="W15" s="75">
        <f>IF($B15=0,0,IF(W$3=TotalApuestas!W10,W$5,0))</f>
        <v>0</v>
      </c>
      <c r="X15" s="75">
        <f>IF($B15=0,0,IF(X$3=TotalApuestas!X10,X$5,0))</f>
        <v>0</v>
      </c>
      <c r="Y15" s="75">
        <f>IF($B15=0,0,IF(AND(W$3=TotalApuestas!W10,Resultado!X$3=TotalApuestas!X10),Resultado!Y$5+VLOOKUP(Y$4&amp;"bonus",Aux!$AD$1:$AE$46,2,0),IF(Y$3=TotalApuestas!Y10,Y$5,0)))</f>
        <v>0</v>
      </c>
      <c r="Z15" s="75">
        <f>IF($B15=0,0,IF(Z$3=TotalApuestas!Z10,Z$5,0))</f>
        <v>0</v>
      </c>
      <c r="AA15" s="75">
        <f>IF($B15=0,0,IF(AA$3=TotalApuestas!AA10,AA$5,0))</f>
        <v>0</v>
      </c>
      <c r="AB15" s="75">
        <f>IF($B15=0,0,IF(AND(Z$3=TotalApuestas!Z10,Resultado!AA$3=TotalApuestas!AA10),Resultado!AB$5+VLOOKUP(AB$4&amp;"bonus",Aux!$AD$1:$AE$46,2,0),IF(AB$3=TotalApuestas!AB10,AB$5,0)))</f>
        <v>0</v>
      </c>
      <c r="AC15" s="75">
        <f>IF($B15=0,0,IF(AC$3=TotalApuestas!AC10,AC$5,0))</f>
        <v>0</v>
      </c>
      <c r="AD15" s="75">
        <f>IF($B15=0,0,IF(AD$3=TotalApuestas!AD10,AD$5,0))</f>
        <v>0</v>
      </c>
      <c r="AE15" s="75">
        <f>IF($B15=0,0,IF(AND(AC$3=TotalApuestas!AC10,Resultado!AD$3=TotalApuestas!AD10),Resultado!AE$5+VLOOKUP(AE$4&amp;"bonus",Aux!$AD$1:$AE$46,2,0),IF(AE$3=TotalApuestas!AE10,AE$5,0)))</f>
        <v>0</v>
      </c>
      <c r="AF15" s="75">
        <f>IF($B15=0,0,IF(AF$3=TotalApuestas!AF10,AF$5,0))</f>
        <v>0</v>
      </c>
      <c r="AG15" s="75">
        <f>IF($B15=0,0,IF(AG$3=TotalApuestas!AG10,AG$5,0))</f>
        <v>0</v>
      </c>
      <c r="AH15" s="75">
        <f>IF($B15=0,0,IF(AND(AF$3=TotalApuestas!AF10,Resultado!AG$3=TotalApuestas!AG10),Resultado!AH$5+VLOOKUP(AH$4&amp;"bonus",Aux!$AD$1:$AE$46,2,0),IF(AH$3=TotalApuestas!AH10,AH$5,0)))</f>
        <v>0</v>
      </c>
      <c r="AI15" s="75">
        <f>IF($B15=0,0,IF(AI$3=TotalApuestas!AI10,AI$5,0))</f>
        <v>0</v>
      </c>
      <c r="AJ15" s="75">
        <f>IF($B15=0,0,IF(AJ$3=TotalApuestas!AJ10,AJ$5,0))</f>
        <v>0</v>
      </c>
      <c r="AK15" s="75">
        <f>IF($B15=0,0,IF(AND(AI$3=TotalApuestas!AI10,Resultado!AJ$3=TotalApuestas!AJ10),Resultado!AK$5+VLOOKUP(AK$4&amp;"bonus",Aux!$AD$1:$AE$46,2,0),IF(AK$3=TotalApuestas!AK10,AK$5,0)))</f>
        <v>0</v>
      </c>
      <c r="AL15" s="75">
        <f>IF($B15=0,0,IF(AL$3=TotalApuestas!AL10,AL$5,0))</f>
        <v>0</v>
      </c>
      <c r="AM15" s="75">
        <f>IF($B15=0,0,IF(AM$3=TotalApuestas!AM10,AM$5,0))</f>
        <v>0</v>
      </c>
      <c r="AN15" s="75">
        <f>IF($B15=0,0,IF(AND(AL$3=TotalApuestas!AL10,Resultado!AM$3=TotalApuestas!AM10),Resultado!AN$5+VLOOKUP(AN$4&amp;"bonus",Aux!$AD$1:$AE$46,2,0),IF(AN$3=TotalApuestas!AN10,AN$5,0)))</f>
        <v>0</v>
      </c>
      <c r="AO15" s="75">
        <f>IF($B15=0,0,IF(AO$3=TotalApuestas!AO10,AO$5,0))</f>
        <v>0</v>
      </c>
      <c r="AP15" s="75">
        <f>IF($B15=0,0,IF(AP$3=TotalApuestas!AP10,AP$5,0))</f>
        <v>0</v>
      </c>
      <c r="AQ15" s="75">
        <f>IF($B15=0,0,IF(AND(AO$3=TotalApuestas!AO10,Resultado!AP$3=TotalApuestas!AP10),Resultado!AQ$5+VLOOKUP(AQ$4&amp;"bonus",Aux!$AD$1:$AE$46,2,0),IF(AQ$3=TotalApuestas!AQ10,AQ$5,0)))</f>
        <v>0</v>
      </c>
      <c r="AR15" s="75">
        <f>IF($B15=0,0,IF(AR$3=TotalApuestas!AR10,AR$5,0))</f>
        <v>0</v>
      </c>
      <c r="AS15" s="75">
        <f>IF($B15=0,0,IF(AS$3=TotalApuestas!AS10,AS$5,0))</f>
        <v>0</v>
      </c>
      <c r="AT15" s="75">
        <f>IF($B15=0,0,IF(AND(AR$3=TotalApuestas!AR10,Resultado!AS$3=TotalApuestas!AS10),Resultado!AT$5+VLOOKUP(AT$4&amp;"bonus",Aux!$AD$1:$AE$46,2,0),IF(AT$3=TotalApuestas!AT10,AT$5,0)))</f>
        <v>0</v>
      </c>
      <c r="AU15" s="75">
        <f>IF($B15=0,0,IF(AU$3=TotalApuestas!AU10,AU$5,0))</f>
        <v>0</v>
      </c>
      <c r="AV15" s="75">
        <f>IF($B15=0,0,IF(AV$3=TotalApuestas!AV10,AV$5,0))</f>
        <v>0</v>
      </c>
      <c r="AW15" s="75">
        <f>IF($B15=0,0,IF(AND(AU$3=TotalApuestas!AU10,Resultado!AV$3=TotalApuestas!AV10),Resultado!AW$5+VLOOKUP(AW$4&amp;"bonus",Aux!$AD$1:$AE$46,2,0),IF(AW$3=TotalApuestas!AW10,AW$5,0)))</f>
        <v>0</v>
      </c>
      <c r="AX15" s="75">
        <f>IF($B15=0,0,IF(AX$3=TotalApuestas!AX10,AX$5,0))</f>
        <v>0</v>
      </c>
      <c r="AY15" s="75">
        <f>IF($B15=0,0,IF(AY$3=TotalApuestas!AY10,AY$5,0))</f>
        <v>0</v>
      </c>
      <c r="AZ15" s="75">
        <f>IF($B15=0,0,IF(AND(AX$3=TotalApuestas!AX10,Resultado!AY$3=TotalApuestas!AY10),Resultado!AZ$5+VLOOKUP(AZ$4&amp;"bonus",Aux!$AD$1:$AE$46,2,0),IF(AZ$3=TotalApuestas!AZ10,AZ$5,0)))</f>
        <v>0</v>
      </c>
      <c r="BA15" s="75">
        <f>IF($B15=0,0,IF(BA$3=TotalApuestas!BA10,BA$5,0))</f>
        <v>0</v>
      </c>
      <c r="BB15" s="75">
        <f>IF($B15=0,0,IF(BB$3=TotalApuestas!BB10,BB$5,0))</f>
        <v>0</v>
      </c>
      <c r="BC15" s="75">
        <f>IF($B15=0,0,IF(AND(BA$3=TotalApuestas!BA10,Resultado!BB$3=TotalApuestas!BB10),Resultado!BC$5+VLOOKUP(BC$4&amp;"bonus",Aux!$AD$1:$AE$46,2,0),IF(BC$3=TotalApuestas!BC10,BC$5,0)))</f>
        <v>0</v>
      </c>
      <c r="BD15" s="75">
        <f>IF($B15=0,0,IF(BD$3=TotalApuestas!BD10,BD$5,0))</f>
        <v>0</v>
      </c>
      <c r="BE15" s="75">
        <f>IF($B15=0,0,IF(BE$3=TotalApuestas!BE10,BE$5,0))</f>
        <v>0</v>
      </c>
      <c r="BF15" s="75">
        <f>IF($B15=0,0,IF(AND(BD$3=TotalApuestas!BD10,Resultado!BE$3=TotalApuestas!BE10),Resultado!BF$5+VLOOKUP(BF$4&amp;"bonus",Aux!$AD$1:$AE$46,2,0),IF(BF$3=TotalApuestas!BF10,BF$5,0)))</f>
        <v>0</v>
      </c>
      <c r="BG15" s="75">
        <f>IF($B15=0,0,IF(BG$3=TotalApuestas!BG10,BG$5,0))</f>
        <v>0</v>
      </c>
      <c r="BH15" s="75">
        <f>IF($B15=0,0,IF(BH$3=TotalApuestas!BH10,BH$5,0))</f>
        <v>0</v>
      </c>
      <c r="BI15" s="75">
        <f>IF($B15=0,0,IF(AND(BG$3=TotalApuestas!BG10,Resultado!BH$3=TotalApuestas!BH10),Resultado!BI$5+VLOOKUP(BI$4&amp;"bonus",Aux!$AD$1:$AE$46,2,0),IF(BI$3=TotalApuestas!BI10,BI$5,0)))</f>
        <v>0</v>
      </c>
      <c r="BJ15" s="75">
        <f>IF($B15=0,0,IF(BJ$3=TotalApuestas!BJ10,BJ$5,0))</f>
        <v>0</v>
      </c>
      <c r="BK15" s="75">
        <f>IF($B15=0,0,IF(BK$3=TotalApuestas!BK10,BK$5,0))</f>
        <v>0</v>
      </c>
      <c r="BL15" s="75">
        <f>IF($B15=0,0,IF(AND(BJ$3=TotalApuestas!BJ10,Resultado!BK$3=TotalApuestas!BK10),Resultado!BL$5+VLOOKUP(BL$4&amp;"bonus",Aux!$AD$1:$AE$46,2,0),IF(BL$3=TotalApuestas!BL10,BL$5,0)))</f>
        <v>0</v>
      </c>
      <c r="BM15" s="75">
        <f>IF($B15=0,0,IF(BM$3=TotalApuestas!BM10,BM$5,0))</f>
        <v>0</v>
      </c>
      <c r="BN15" s="75">
        <f>IF($B15=0,0,IF(BN$3=TotalApuestas!BN10,BN$5,0))</f>
        <v>0</v>
      </c>
      <c r="BO15" s="75">
        <f>IF($B15=0,0,IF(AND(BM$3=TotalApuestas!BM10,Resultado!BN$3=TotalApuestas!BN10),Resultado!BO$5+VLOOKUP(BO$4&amp;"bonus",Aux!$AD$1:$AE$46,2,0),IF(BO$3=TotalApuestas!BO10,BO$5,0)))</f>
        <v>0</v>
      </c>
      <c r="BP15" s="75">
        <f>IF($B15=0,0,IF(BP$3=TotalApuestas!BP10,BP$5,0))</f>
        <v>0</v>
      </c>
      <c r="BQ15" s="75">
        <f>IF($B15=0,0,IF(BQ$3=TotalApuestas!BQ10,BQ$5,0))</f>
        <v>0</v>
      </c>
      <c r="BR15" s="75">
        <f>IF($B15=0,0,IF(AND(BP$3=TotalApuestas!BP10,Resultado!BQ$3=TotalApuestas!BQ10),Resultado!BR$5+VLOOKUP(BR$4&amp;"bonus",Aux!$AD$1:$AE$46,2,0),IF(BR$3=TotalApuestas!BR10,BR$5,0)))</f>
        <v>0</v>
      </c>
      <c r="BS15" s="75">
        <f>IF($B15=0,0,IF(BS$3=TotalApuestas!BS10,BS$5,0))</f>
        <v>0</v>
      </c>
      <c r="BT15" s="75">
        <f>IF($B15=0,0,IF(BT$3=TotalApuestas!BT10,BT$5,0))</f>
        <v>0</v>
      </c>
      <c r="BU15" s="75">
        <f>IF($B15=0,0,IF(AND(BS$3=TotalApuestas!BS10,Resultado!BT$3=TotalApuestas!BT10),Resultado!BU$5+VLOOKUP(BU$4&amp;"bonus",Aux!$AD$1:$AE$46,2,0),IF(BU$3=TotalApuestas!BU10,BU$5,0)))</f>
        <v>0</v>
      </c>
      <c r="BV15" s="75">
        <f>IF($B15=0,0,IF(BV$3=TotalApuestas!BV10,BV$5,0))</f>
        <v>0</v>
      </c>
      <c r="BW15" s="75">
        <f>IF($B15=0,0,IF(BW$3=TotalApuestas!BW10,BW$5,0))</f>
        <v>0</v>
      </c>
      <c r="BX15" s="75">
        <f>IF($B15=0,0,IF(AND(BV$3=TotalApuestas!BV10,Resultado!BW$3=TotalApuestas!BW10),Resultado!BX$5+VLOOKUP(BX$4&amp;"bonus",Aux!$AD$1:$AE$46,2,0),IF(BX$3=TotalApuestas!BX10,BX$5,0)))</f>
        <v>0</v>
      </c>
      <c r="BY15" s="75">
        <f>IF($B15=0,0,IF(BY$3=TotalApuestas!BY10,BY$5,0))</f>
        <v>0</v>
      </c>
      <c r="BZ15" s="75">
        <f>IF($B15=0,0,IF(BZ$3=TotalApuestas!BZ10,BZ$5,0))</f>
        <v>0</v>
      </c>
      <c r="CA15" s="75">
        <f>IF($B15=0,0,IF(AND(BY$3=TotalApuestas!BY10,Resultado!BZ$3=TotalApuestas!BZ10),Resultado!CA$5+VLOOKUP(CA$4&amp;"bonus",Aux!$AD$1:$AE$46,2,0),IF(CA$3=TotalApuestas!CA10,CA$5,0)))</f>
        <v>0</v>
      </c>
      <c r="CB15" s="75">
        <f>IF($B15=0,0,IF(CB$3=TotalApuestas!CB10,CB$5,0))</f>
        <v>0</v>
      </c>
      <c r="CC15" s="75">
        <f>IF($B15=0,0,IF(CC$3=TotalApuestas!CC10,CC$5,0))</f>
        <v>0</v>
      </c>
      <c r="CD15" s="75">
        <f>IF($B15=0,0,IF(AND(CB$3=TotalApuestas!CB10,Resultado!CC$3=TotalApuestas!CC10),Resultado!CD$5+VLOOKUP(CD$4&amp;"bonus",Aux!$AD$1:$AE$46,2,0),IF(CD$3=TotalApuestas!CD10,CD$5,0)))</f>
        <v>0</v>
      </c>
      <c r="CE15" s="75">
        <f>IF($B15=0,0,IF(CE$3=TotalApuestas!CE10,CE$5,0))</f>
        <v>0</v>
      </c>
      <c r="CF15" s="75">
        <f>IF($B15=0,0,IF(CF$3=TotalApuestas!CF10,CF$5,0))</f>
        <v>0</v>
      </c>
      <c r="CG15" s="75">
        <f>IF($B15=0,0,IF(AND(CE$3=TotalApuestas!CE10,Resultado!CF$3=TotalApuestas!CF10),Resultado!CG$5+VLOOKUP(CG$4&amp;"bonus",Aux!$AD$1:$AE$46,2,0),IF(CG$3=TotalApuestas!CG10,CG$5,0)))</f>
        <v>0</v>
      </c>
      <c r="CH15" s="75">
        <f>IF($B15=0,0,IF(CH$3=TotalApuestas!CH10,CH$5,0))</f>
        <v>0</v>
      </c>
      <c r="CI15" s="75">
        <f>IF($B15=0,0,IF(CI$3=TotalApuestas!CI10,CI$5,0))</f>
        <v>0</v>
      </c>
      <c r="CJ15" s="75">
        <f>IF($B15=0,0,IF(AND(CH$3=TotalApuestas!CH10,Resultado!CI$3=TotalApuestas!CI10),Resultado!CJ$5+VLOOKUP(CJ$4&amp;"bonus",Aux!$AD$1:$AE$46,2,0),IF(CJ$3=TotalApuestas!CJ10,CJ$5,0)))</f>
        <v>0</v>
      </c>
      <c r="CK15" s="75">
        <f>IF($B15=0,0,IF(CK$3=TotalApuestas!CK10,CK$5,0))</f>
        <v>0</v>
      </c>
      <c r="CL15" s="75">
        <f>IF($B15=0,0,IF(CL$3=TotalApuestas!CL10,CL$5,0))</f>
        <v>0</v>
      </c>
      <c r="CM15" s="75">
        <f>IF($B15=0,0,IF(AND(CK$3=TotalApuestas!CK10,Resultado!CL$3=TotalApuestas!CL10),Resultado!CM$5+VLOOKUP(CM$4&amp;"bonus",Aux!$AD$1:$AE$46,2,0),IF(CM$3=TotalApuestas!CM10,CM$5,0)))</f>
        <v>0</v>
      </c>
      <c r="CN15" s="75">
        <f>IF($B15=0,0,IF(CN$3=TotalApuestas!CN10,CN$5,0))</f>
        <v>0</v>
      </c>
      <c r="CO15" s="75">
        <f>IF($B15=0,0,IF(CO$3=TotalApuestas!CO10,CO$5,0))</f>
        <v>0</v>
      </c>
      <c r="CP15" s="75">
        <f>IF($B15=0,0,IF(AND(CN$3=TotalApuestas!CN10,Resultado!CO$3=TotalApuestas!CO10),Resultado!CP$5+VLOOKUP(CP$4&amp;"bonus",Aux!$AD$1:$AE$46,2,0),IF(CP$3=TotalApuestas!CP10,CP$5,0)))</f>
        <v>0</v>
      </c>
      <c r="CQ15" s="75">
        <f>IF($B15=0,0,IF(CQ$3=TotalApuestas!CQ10,CQ$5,0))</f>
        <v>0</v>
      </c>
      <c r="CR15" s="75">
        <f>IF($B15=0,0,IF(CR$3=TotalApuestas!CR10,CR$5,0))</f>
        <v>0</v>
      </c>
      <c r="CS15" s="75">
        <f>IF($B15=0,0,IF(AND(CQ$3=TotalApuestas!CQ10,Resultado!CR$3=TotalApuestas!CR10),Resultado!CS$5+VLOOKUP(CS$4&amp;"bonus",Aux!$AD$1:$AE$46,2,0),IF(CS$3=TotalApuestas!CS10,CS$5,0)))</f>
        <v>0</v>
      </c>
      <c r="CT15" s="75">
        <f>IF($B15=0,0,IF(CT$3=TotalApuestas!CT10,CT$5,0))</f>
        <v>0</v>
      </c>
      <c r="CU15" s="75">
        <f>IF($B15=0,0,IF(CU$3=TotalApuestas!CU10,CU$5,0))</f>
        <v>0</v>
      </c>
      <c r="CV15" s="75">
        <f>IF($B15=0,0,IF(AND(CT$3=TotalApuestas!CT10,Resultado!CU$3=TotalApuestas!CU10),Resultado!CV$5+VLOOKUP(CV$4&amp;"bonus",Aux!$AD$1:$AE$46,2,0),IF(CV$3=TotalApuestas!CV10,CV$5,0)))</f>
        <v>0</v>
      </c>
      <c r="CW15" s="75">
        <f>IF($B15=0,0,IF(CW$3=TotalApuestas!CW10,CW$5,0))</f>
        <v>0</v>
      </c>
      <c r="CX15" s="75">
        <f>IF($B15=0,0,IF(CX$3=TotalApuestas!CX10,CX$5,0))</f>
        <v>0</v>
      </c>
      <c r="CY15" s="75">
        <f>IF($B15=0,0,IF(AND(CW$3=TotalApuestas!CW10,Resultado!CX$3=TotalApuestas!CX10),Resultado!CY$5+VLOOKUP(CY$4&amp;"bonus",Aux!$AD$1:$AE$46,2,0),IF(CY$3=TotalApuestas!CY10,CY$5,0)))</f>
        <v>0</v>
      </c>
      <c r="CZ15" s="75">
        <f>IF($B15=0,0,IF(CZ$3=TotalApuestas!CZ10,CZ$5,0))</f>
        <v>0</v>
      </c>
      <c r="DA15" s="75">
        <f>IF($B15=0,0,IF(DA$3=TotalApuestas!DA10,DA$5,0))</f>
        <v>0</v>
      </c>
      <c r="DB15" s="75">
        <f>IF($B15=0,0,IF(AND(CZ$3=TotalApuestas!CZ10,Resultado!DA$3=TotalApuestas!DA10),Resultado!DB$5+VLOOKUP(DB$4&amp;"bonus",Aux!$AD$1:$AE$46,2,0),IF(DB$3=TotalApuestas!DB10,DB$5,0)))</f>
        <v>0</v>
      </c>
      <c r="DC15" s="75">
        <f>IF($B15=0,0,IF(DC$3=TotalApuestas!DC10,DC$5,0))</f>
        <v>0</v>
      </c>
      <c r="DD15" s="75">
        <f>IF($B15=0,0,IF(DD$3=TotalApuestas!DD10,DD$5,0))</f>
        <v>0</v>
      </c>
      <c r="DE15" s="75">
        <f>IF($B15=0,0,IF(AND(DC$3=TotalApuestas!DC10,Resultado!DD$3=TotalApuestas!DD10),Resultado!DE$5+VLOOKUP(DE$4&amp;"bonus",Aux!$AD$1:$AE$46,2,0),IF(DE$3=TotalApuestas!DE10,DE$5,0)))</f>
        <v>0</v>
      </c>
      <c r="DF15" s="75">
        <f>IF($B15=0,0,IF(DF$3=TotalApuestas!DF10,DF$5,0))</f>
        <v>0</v>
      </c>
      <c r="DG15" s="75">
        <f>IF($B15=0,0,IF(DG$3=TotalApuestas!DG10,DG$5,0))</f>
        <v>0</v>
      </c>
      <c r="DH15" s="75">
        <f>IF($B15=0,0,IF(AND(DF$3=TotalApuestas!DF10,Resultado!DG$3=TotalApuestas!DG10),Resultado!DH$5+VLOOKUP(DH$4&amp;"bonus",Aux!$AD$1:$AE$46,2,0),IF(DH$3=TotalApuestas!DH10,DH$5,0)))</f>
        <v>0</v>
      </c>
      <c r="DI15" s="75">
        <f>IF($B15=0,0,IF(DI$3=TotalApuestas!DI10,DI$5,0))</f>
        <v>0</v>
      </c>
      <c r="DJ15" s="75">
        <f>IF($B15=0,0,IF(DJ$3=TotalApuestas!DJ10,DJ$5,0))</f>
        <v>0</v>
      </c>
      <c r="DK15" s="75">
        <f>IF($B15=0,0,IF(AND(DI$3=TotalApuestas!DI10,Resultado!DJ$3=TotalApuestas!DJ10),Resultado!DK$5+VLOOKUP(DK$4&amp;"bonus",Aux!$AD$1:$AE$46,2,0),IF(DK$3=TotalApuestas!DK10,DK$5,0)))</f>
        <v>0</v>
      </c>
      <c r="DL15" s="75">
        <f>IF($B15=0,0,IF(DL$3=TotalApuestas!DL10,DL$5,0))</f>
        <v>0</v>
      </c>
      <c r="DM15" s="75">
        <f>IF($B15=0,0,IF(DM$3=TotalApuestas!DM10,DM$5,0))</f>
        <v>0</v>
      </c>
      <c r="DN15" s="75">
        <f>IF($B15=0,0,IF(AND(DL$3=TotalApuestas!DL10,Resultado!DM$3=TotalApuestas!DM10),Resultado!DN$5+VLOOKUP(DN$4&amp;"bonus",Aux!$AD$1:$AE$46,2,0),IF(DN$3=TotalApuestas!DN10,DN$5,0)))</f>
        <v>0</v>
      </c>
      <c r="DO15" s="75">
        <f>IF($B15=0,0,IF(DO$3=TotalApuestas!DO10,DO$5,0))</f>
        <v>0</v>
      </c>
      <c r="DP15" s="75">
        <f>IF($B15=0,0,IF(DP$3=TotalApuestas!DP10,DP$5,0))</f>
        <v>0</v>
      </c>
      <c r="DQ15" s="75">
        <f>IF($B15=0,0,IF(AND(DO$3=TotalApuestas!DO10,Resultado!DP$3=TotalApuestas!DP10),Resultado!DQ$5+VLOOKUP(DQ$4&amp;"bonus",Aux!$AD$1:$AE$46,2,0),IF(DQ$3=TotalApuestas!DQ10,DQ$5,0)))</f>
        <v>0</v>
      </c>
      <c r="DR15" s="75">
        <f>IF($B15=0,0,IF(DR$3=TotalApuestas!DR10,DR$5,0))</f>
        <v>0</v>
      </c>
      <c r="DS15" s="75">
        <f>IF($B15=0,0,IF(DS$3=TotalApuestas!DS10,DS$5,0))</f>
        <v>0</v>
      </c>
      <c r="DT15" s="75">
        <f>IF($B15=0,0,IF(AND(DR$3=TotalApuestas!DR10,Resultado!DS$3=TotalApuestas!DS10),Resultado!DT$5+VLOOKUP(DT$4&amp;"bonus",Aux!$AD$1:$AE$46,2,0),IF(DT$3=TotalApuestas!DT10,DT$5,0)))</f>
        <v>0</v>
      </c>
      <c r="DU15" s="75">
        <f>IF($B15=0,0,IF(DU$3=TotalApuestas!DU10,DU$5,0))</f>
        <v>0</v>
      </c>
      <c r="DV15" s="75">
        <f>IF($B15=0,0,IF(DV$3=TotalApuestas!DV10,DV$5,0))</f>
        <v>0</v>
      </c>
      <c r="DW15" s="75">
        <f>IF($B15=0,0,IF(AND(DU$3=TotalApuestas!DU10,Resultado!DV$3=TotalApuestas!DV10),Resultado!DW$5+VLOOKUP(DW$4&amp;"bonus",Aux!$AD$1:$AE$46,2,0),IF(DW$3=TotalApuestas!DW10,DW$5,0)))</f>
        <v>0</v>
      </c>
      <c r="DX15" s="75">
        <f>IF($B15=0,0,IF(DX$3=TotalApuestas!DX10,DX$5,0))</f>
        <v>0</v>
      </c>
      <c r="DY15" s="75">
        <f>IF($B15=0,0,IF(DY$3=TotalApuestas!DY10,DY$5,0))</f>
        <v>0</v>
      </c>
      <c r="DZ15" s="75">
        <f>IF($B15=0,0,IF(AND(DX$3=TotalApuestas!DX10,Resultado!DY$3=TotalApuestas!DY10),Resultado!DZ$5+VLOOKUP(DZ$4&amp;"bonus",Aux!$AD$1:$AE$46,2,0),IF(DZ$3=TotalApuestas!DZ10,DZ$5,0)))</f>
        <v>0</v>
      </c>
      <c r="EA15" s="75">
        <f>IF($B15=0,0,IF(EA$3=TotalApuestas!EA10,EA$5,0))</f>
        <v>0</v>
      </c>
      <c r="EB15" s="75">
        <f>IF($B15=0,0,IF(EB$3=TotalApuestas!EB10,EB$5,0))</f>
        <v>0</v>
      </c>
      <c r="EC15" s="75">
        <f>IF($B15=0,0,IF(AND(EA$3=TotalApuestas!EA10,Resultado!EB$3=TotalApuestas!EB10),Resultado!EC$5+VLOOKUP(EC$4&amp;"bonus",Aux!$AD$1:$AE$46,2,0),IF(EC$3=TotalApuestas!EC10,EC$5,0)))</f>
        <v>0</v>
      </c>
      <c r="ED15" s="75">
        <f>IF($B15=0,0,IF(ED$3=TotalApuestas!ED10,ED$5,0))</f>
        <v>0</v>
      </c>
      <c r="EE15" s="75">
        <f>IF($B15=0,0,IF(EE$3=TotalApuestas!EE10,EE$5,0))</f>
        <v>0</v>
      </c>
      <c r="EF15" s="75">
        <f>IF($B15=0,0,IF(AND(ED$3=TotalApuestas!ED10,Resultado!EE$3=TotalApuestas!EE10),Resultado!EF$5+VLOOKUP(EF$4&amp;"bonus",Aux!$AD$1:$AE$46,2,0),IF(EF$3=TotalApuestas!EF10,EF$5,0)))</f>
        <v>0</v>
      </c>
      <c r="EG15" s="75">
        <f>IF($B15=0,0,IF(EG$3=TotalApuestas!EG10,EG$5,0))</f>
        <v>0</v>
      </c>
      <c r="EH15" s="75">
        <f>IF($B15=0,0,IF(EH$3=TotalApuestas!EH10,EH$5,0))</f>
        <v>0</v>
      </c>
      <c r="EI15" s="75">
        <f>IF($B15=0,0,IF(AND(EG$3=TotalApuestas!EG10,Resultado!EH$3=TotalApuestas!EH10),Resultado!EI$5+VLOOKUP(EI$4&amp;"bonus",Aux!$AD$1:$AE$46,2,0),IF(EI$3=TotalApuestas!EI10,EI$5,0)))</f>
        <v>0</v>
      </c>
      <c r="EJ15" s="75">
        <f>IF($B15=0,0,IF(EJ$3=TotalApuestas!EJ10,EJ$5,0))</f>
        <v>0</v>
      </c>
      <c r="EK15" s="75">
        <f>IF($B15=0,0,IF(EK$3=TotalApuestas!EK10,EK$5,0))</f>
        <v>0</v>
      </c>
      <c r="EL15" s="75">
        <f>IF($B15=0,0,IF(AND(EJ$3=TotalApuestas!EJ10,Resultado!EK$3=TotalApuestas!EK10),Resultado!EL$5+VLOOKUP(EL$4&amp;"bonus",Aux!$AD$1:$AE$46,2,0),IF(EL$3=TotalApuestas!EL10,EL$5,0)))</f>
        <v>0</v>
      </c>
      <c r="EM15" s="75">
        <f>IF($B15=0,0,IF(EM$3=TotalApuestas!EM10,EM$5,0))</f>
        <v>0</v>
      </c>
      <c r="EN15" s="75">
        <f>IF($B15=0,0,IF(EN$3=TotalApuestas!EN10,EN$5,0))</f>
        <v>0</v>
      </c>
      <c r="EO15" s="75">
        <f>IF($B15=0,0,IF(AND(EM$3=TotalApuestas!EM10,Resultado!EN$3=TotalApuestas!EN10),Resultado!EO$5+VLOOKUP(EO$4&amp;"bonus",Aux!$AD$1:$AE$46,2,0),IF(EO$3=TotalApuestas!EO10,EO$5,0)))</f>
        <v>0</v>
      </c>
      <c r="EP15" s="75">
        <f>IF($B15=0,0,IF(EP$3=TotalApuestas!EP10,EP$5,0))</f>
        <v>0</v>
      </c>
      <c r="EQ15" s="75">
        <f>IF($B15=0,0,IF(EQ$3=TotalApuestas!EQ10,EQ$5,0))</f>
        <v>0</v>
      </c>
      <c r="ER15" s="75">
        <f>IF($B15=0,0,IF(AND(EP$3=TotalApuestas!EP10,Resultado!EQ$3=TotalApuestas!EQ10),Resultado!ER$5+VLOOKUP(ER$4&amp;"bonus",Aux!$AD$1:$AE$46,2,0),IF(ER$3=TotalApuestas!ER10,ER$5,0)))</f>
        <v>0</v>
      </c>
      <c r="ES15" s="75">
        <f>IF($B15=0,0,IF(ES$3=TotalApuestas!ES10,ES$5,0))</f>
        <v>0</v>
      </c>
      <c r="ET15" s="75">
        <f>IF($B15=0,0,IF(ET$3=TotalApuestas!ET10,ET$5,0))</f>
        <v>0</v>
      </c>
      <c r="EU15" s="75">
        <f>IF($B15=0,0,IF(EU$3=TotalApuestas!EU10,EU$5,0))</f>
        <v>0</v>
      </c>
      <c r="EV15" s="75">
        <f>IF($B15=0,0,IF(EV$3=TotalApuestas!EV10,EV$5,0))</f>
        <v>0</v>
      </c>
      <c r="EW15" s="75">
        <f>IF($B15=0,0,IF(EW$3=TotalApuestas!EW10,EW$5,0))</f>
        <v>0</v>
      </c>
      <c r="EX15" s="75">
        <f>IF($B15=0,0,IF(EX$3=TotalApuestas!EX10,EX$5,0))</f>
        <v>0</v>
      </c>
      <c r="EY15" s="75">
        <f>IF($B15=0,0,IF(EY$3=TotalApuestas!EY10,EY$5,0))</f>
        <v>0</v>
      </c>
      <c r="EZ15" s="75">
        <f>IF($B15=0,0,IF(EZ$3=TotalApuestas!EZ10,EZ$5,0))</f>
        <v>0</v>
      </c>
      <c r="FA15" s="75">
        <f>IF($B15=0,0,IF(FA$3=TotalApuestas!FA10,FA$5,0))</f>
        <v>0</v>
      </c>
      <c r="FB15" s="75">
        <f>IF($B15=0,0,IF(FB$3=TotalApuestas!FB10,FB$5,0))</f>
        <v>0</v>
      </c>
      <c r="FC15" s="75">
        <f>IF($B15=0,0,IF(FC$3=TotalApuestas!FC10,FC$5,0))</f>
        <v>0</v>
      </c>
      <c r="FD15" s="75">
        <f>IF($B15=0,0,IF(FD$3=TotalApuestas!FD10,FD$5,0))</f>
        <v>0</v>
      </c>
      <c r="FE15" s="75">
        <f>IF($B15=0,0,IF(FE$3=TotalApuestas!FE10,FE$5,0))</f>
        <v>0</v>
      </c>
      <c r="FF15" s="75">
        <f>IF($B15=0,0,IF(FF$3=TotalApuestas!FF10,FF$5,0))</f>
        <v>0</v>
      </c>
      <c r="FG15" s="75">
        <f>IF($B15=0,0,IF(FG$3=TotalApuestas!FG10,FG$5,0))</f>
        <v>0</v>
      </c>
      <c r="FH15" s="75">
        <f>IF($B15=0,0,IF(FH$3=TotalApuestas!FH10,FH$5,0))</f>
        <v>0</v>
      </c>
      <c r="FI15" s="75">
        <f>IF($B15=0,0,IF(FI$3=TotalApuestas!FI10,FI$5,0))</f>
        <v>0</v>
      </c>
      <c r="FJ15" s="75">
        <f>IF($B15=0,0,IF(FJ$3=TotalApuestas!FJ10,FJ$5,0))</f>
        <v>0</v>
      </c>
      <c r="FK15" s="75">
        <f>IF($B15=0,0,IF(FK$3=TotalApuestas!FK10,FK$5,0))</f>
        <v>0</v>
      </c>
      <c r="FL15" s="75">
        <f>IF($B15=0,0,IF(FL$3=TotalApuestas!FL10,FL$5,0))</f>
        <v>0</v>
      </c>
      <c r="FM15" s="75">
        <f>IF($B15=0,0,IF(FM$3=TotalApuestas!FM10,FM$5,0))</f>
        <v>0</v>
      </c>
      <c r="FN15" s="75">
        <f>IF($B15=0,0,IF(FN$3=TotalApuestas!FN10,FN$5,0))</f>
        <v>0</v>
      </c>
      <c r="FO15" s="75">
        <f>IF($B15=0,0,IF(FO$3=TotalApuestas!FO10,FO$5,0))</f>
        <v>0</v>
      </c>
      <c r="FP15" s="75">
        <f>IF($B15=0,0,IF(FP$3=TotalApuestas!FP10,FP$5,0))</f>
        <v>0</v>
      </c>
      <c r="FQ15" s="75">
        <f>IF($B15=0,0,IF(FQ$3=TotalApuestas!FQ10,FQ$5,0))</f>
        <v>0</v>
      </c>
      <c r="FR15" s="75">
        <f>IF($B15=0,0,IF(FR$3=TotalApuestas!FR10,FR$5,0))</f>
        <v>0</v>
      </c>
      <c r="FS15" s="75">
        <f>IF($B15=0,0,IF(FS$3=TotalApuestas!FS10,FS$5,0))</f>
        <v>0</v>
      </c>
      <c r="FT15" s="75">
        <f>IF($B15=0,0,IF(FT$3=TotalApuestas!FT10,FT$5,0))</f>
        <v>0</v>
      </c>
      <c r="FU15" s="75">
        <f>IF($B15=0,0,IF(FU$3=TotalApuestas!FU10,FU$5,0))</f>
        <v>0</v>
      </c>
      <c r="FV15" s="75">
        <f>IF($B15=0,0,IF(FV$3=TotalApuestas!FV10,FV$5,0))</f>
        <v>0</v>
      </c>
      <c r="FW15" s="75">
        <f>IF($B15=0,0,IF(FW$3=TotalApuestas!FW10,FW$5,0))</f>
        <v>0</v>
      </c>
      <c r="FX15" s="75">
        <f>IF($B15=0,0,IF(FX$3=TotalApuestas!FX10,FX$5,0))</f>
        <v>0</v>
      </c>
      <c r="FY15" s="75">
        <f>IF($B15=0,0,IF(FY$3=TotalApuestas!FY10,FY$5,0))</f>
        <v>0</v>
      </c>
      <c r="FZ15" s="75">
        <f>IF($B15=0,0,IF(AND(FX$3=TotalApuestas!FX10,Resultado!FY$3=TotalApuestas!FY10),Resultado!FZ$5+VLOOKUP(FZ$4&amp;"bonus",Aux!$AD$1:$AE$46,2,0),IF(FZ$3=TotalApuestas!FZ10,FZ$5,0)))</f>
        <v>0</v>
      </c>
      <c r="GA15" s="75">
        <f>IF($B15=0,0,IF(GA$3=TotalApuestas!GA10,GA$5,0))</f>
        <v>0</v>
      </c>
      <c r="GB15" s="75">
        <f>IF($B15=0,0,IF(GB$3=TotalApuestas!GB10,GB$5,0))</f>
        <v>0</v>
      </c>
      <c r="GC15" s="75">
        <f>IF($B15=0,0,IF(AND(GA$3=TotalApuestas!GA10,Resultado!GB$3=TotalApuestas!GB10),Resultado!GC$5+VLOOKUP(GC$4&amp;"bonus",Aux!$AD$1:$AE$46,2,0),IF(GC$3=TotalApuestas!GC10,GC$5,0)))</f>
        <v>0</v>
      </c>
      <c r="GD15" s="75">
        <f>IF($B15=0,0,IF(GD$3=TotalApuestas!GD10,GD$5,0))</f>
        <v>0</v>
      </c>
      <c r="GE15" s="75">
        <f>IF($B15=0,0,IF(GE$3=TotalApuestas!GE10,GE$5,0))</f>
        <v>0</v>
      </c>
      <c r="GF15" s="75">
        <f>IF($B15=0,0,IF(AND(GD$3=TotalApuestas!GD10,Resultado!GE$3=TotalApuestas!GE10),Resultado!GF$5+VLOOKUP(GF$4&amp;"bonus",Aux!$AD$1:$AE$46,2,0),IF(GF$3=TotalApuestas!GF10,GF$5,0)))</f>
        <v>0</v>
      </c>
      <c r="GG15" s="75">
        <f>IF($B15=0,0,IF(GG$3=TotalApuestas!GG10,GG$5,0))</f>
        <v>0</v>
      </c>
      <c r="GH15" s="75">
        <f>IF($B15=0,0,IF(GH$3=TotalApuestas!GH10,GH$5,0))</f>
        <v>0</v>
      </c>
      <c r="GI15" s="75">
        <f>IF($B15=0,0,IF(AND(GG$3=TotalApuestas!GG10,Resultado!GH$3=TotalApuestas!GH10),Resultado!GI$5+VLOOKUP(GI$4&amp;"bonus",Aux!$AD$1:$AE$46,2,0),IF(GI$3=TotalApuestas!GI10,GI$5,0)))</f>
        <v>0</v>
      </c>
      <c r="GJ15" s="75">
        <f>IF($B15=0,0,IF(GJ$3=TotalApuestas!GJ10,GJ$5,0))</f>
        <v>0</v>
      </c>
      <c r="GK15" s="75">
        <f>IF($B15=0,0,IF(GK$3=TotalApuestas!GK10,GK$5,0))</f>
        <v>0</v>
      </c>
      <c r="GL15" s="75">
        <f>IF($B15=0,0,IF(AND(GJ$3=TotalApuestas!GJ10,Resultado!GK$3=TotalApuestas!GK10),Resultado!GL$5+VLOOKUP(GL$4&amp;"bonus",Aux!$AD$1:$AE$46,2,0),IF(GL$3=TotalApuestas!GL10,GL$5,0)))</f>
        <v>0</v>
      </c>
      <c r="GM15" s="75">
        <f>IF($B15=0,0,IF(GM$3=TotalApuestas!GM10,GM$5,0))</f>
        <v>0</v>
      </c>
      <c r="GN15" s="75">
        <f>IF($B15=0,0,IF(GN$3=TotalApuestas!GN10,GN$5,0))</f>
        <v>0</v>
      </c>
      <c r="GO15" s="75">
        <f>IF($B15=0,0,IF(AND(GM$3=TotalApuestas!GM10,Resultado!GN$3=TotalApuestas!GN10),Resultado!GO$5+VLOOKUP(GO$4&amp;"bonus",Aux!$AD$1:$AE$46,2,0),IF(GO$3=TotalApuestas!GO10,GO$5,0)))</f>
        <v>0</v>
      </c>
      <c r="GP15" s="75">
        <f>IF($B15=0,0,IF(GP$3=TotalApuestas!GP10,GP$5,0))</f>
        <v>0</v>
      </c>
      <c r="GQ15" s="75">
        <f>IF($B15=0,0,IF(GQ$3=TotalApuestas!GQ10,GQ$5,0))</f>
        <v>0</v>
      </c>
      <c r="GR15" s="75">
        <f>IF($B15=0,0,IF(AND(GP$3=TotalApuestas!GP10,Resultado!GQ$3=TotalApuestas!GQ10),Resultado!GR$5+VLOOKUP(GR$4&amp;"bonus",Aux!$AD$1:$AE$46,2,0),IF(GR$3=TotalApuestas!GR10,GR$5,0)))</f>
        <v>0</v>
      </c>
      <c r="GS15" s="75">
        <f>IF($B15=0,0,IF(GS$3=TotalApuestas!GS10,GS$5,0))</f>
        <v>0</v>
      </c>
      <c r="GT15" s="75">
        <f>IF($B15=0,0,IF(GT$3=TotalApuestas!GT10,GT$5,0))</f>
        <v>0</v>
      </c>
      <c r="GU15" s="75">
        <f>IF($B15=0,0,IF(AND(GS$3=TotalApuestas!GS10,Resultado!GT$3=TotalApuestas!GT10),Resultado!GU$5+VLOOKUP(GU$4&amp;"bonus",Aux!$AD$1:$AE$46,2,0),IF(GU$3=TotalApuestas!GU10,GU$5,0)))</f>
        <v>0</v>
      </c>
      <c r="GV15" s="75">
        <f>IF($B15=0,0,IF(GV$3=TotalApuestas!GV10,GV$5,0))</f>
        <v>0</v>
      </c>
      <c r="GW15" s="75">
        <f>IF($B15=0,0,IF(GW$3=TotalApuestas!GW10,GW$5,0))</f>
        <v>0</v>
      </c>
      <c r="GX15" s="75">
        <f>IF($B15=0,0,IF(AND(GV$3=TotalApuestas!GV10,Resultado!GW$3=TotalApuestas!GW10),Resultado!GX$5+VLOOKUP(GX$4&amp;"bonus",Aux!$AD$1:$AE$46,2,0),IF(GX$3=TotalApuestas!GX10,GX$5,0)))</f>
        <v>0</v>
      </c>
      <c r="GY15" s="75">
        <f>IF($B15=0,0,IF(GY$3=TotalApuestas!GY10,GY$5,0))</f>
        <v>0</v>
      </c>
      <c r="GZ15" s="75">
        <f>IF($B15=0,0,IF(GZ$3=TotalApuestas!GZ10,GZ$5,0))</f>
        <v>0</v>
      </c>
      <c r="HA15" s="75">
        <f>IF($B15=0,0,IF(AND(GY$3=TotalApuestas!GY10,Resultado!GZ$3=TotalApuestas!GZ10),Resultado!HA$5+VLOOKUP(HA$4&amp;"bonus",Aux!$AD$1:$AE$46,2,0),IF(HA$3=TotalApuestas!HA10,HA$5,0)))</f>
        <v>0</v>
      </c>
      <c r="HB15" s="75">
        <f>IF($B15=0,0,IF(HB$3=TotalApuestas!HB10,HB$5,0))</f>
        <v>0</v>
      </c>
      <c r="HC15" s="75">
        <f>IF($B15=0,0,IF(HC$3=TotalApuestas!HC10,HC$5,0))</f>
        <v>0</v>
      </c>
      <c r="HD15" s="75">
        <f>IF($B15=0,0,IF(AND(HB$3=TotalApuestas!HB10,Resultado!HC$3=TotalApuestas!HC10),Resultado!HD$5+VLOOKUP(HD$4&amp;"bonus",Aux!$AD$1:$AE$46,2,0),IF(HD$3=TotalApuestas!HD10,HD$5,0)))</f>
        <v>0</v>
      </c>
      <c r="HE15" s="75">
        <f>IF($B15=0,0,IF(HE$3=TotalApuestas!HE10,HE$5,0))</f>
        <v>0</v>
      </c>
      <c r="HF15" s="75">
        <f>IF($B15=0,0,IF(HF$3=TotalApuestas!HF10,HF$5,0))</f>
        <v>0</v>
      </c>
      <c r="HG15" s="75">
        <f>IF($B15=0,0,IF(AND(HE$3=TotalApuestas!HE10,Resultado!HF$3=TotalApuestas!HF10),Resultado!HG$5+VLOOKUP(HG$4&amp;"bonus",Aux!$AD$1:$AE$46,2,0),IF(HG$3=TotalApuestas!HG10,HG$5,0)))</f>
        <v>0</v>
      </c>
      <c r="HH15" s="75">
        <f>IF($B15=0,0,IF(HH$3=TotalApuestas!HH10,HH$5,0))</f>
        <v>0</v>
      </c>
      <c r="HI15" s="75">
        <f>IF($B15=0,0,IF(HI$3=TotalApuestas!HI10,HI$5,0))</f>
        <v>0</v>
      </c>
      <c r="HJ15" s="75">
        <f>IF($B15=0,0,IF(AND(HH$3=TotalApuestas!HH10,Resultado!HI$3=TotalApuestas!HI10),Resultado!HJ$5+VLOOKUP(HJ$4&amp;"bonus",Aux!$AD$1:$AE$46,2,0),IF(HJ$3=TotalApuestas!HJ10,HJ$5,0)))</f>
        <v>0</v>
      </c>
      <c r="HK15" s="75">
        <f>IF($B15=0,0,IF(HK$3=TotalApuestas!HK10,HK$5,0))</f>
        <v>0</v>
      </c>
      <c r="HL15" s="75">
        <f>IF($B15=0,0,IF(HL$3=TotalApuestas!HL10,HL$5,0))</f>
        <v>0</v>
      </c>
      <c r="HM15" s="75">
        <f>IF($B15=0,0,IF(AND(HK$3=TotalApuestas!HK10,Resultado!HL$3=TotalApuestas!HL10),Resultado!HM$5+VLOOKUP(HM$4&amp;"bonus",Aux!$AD$1:$AE$46,2,0),IF(HM$3=TotalApuestas!HM10,HM$5,0)))</f>
        <v>0</v>
      </c>
      <c r="HN15" s="75">
        <f>IF($B15=0,0,IF(HN$3=TotalApuestas!HN10,HN$5,0))</f>
        <v>0</v>
      </c>
      <c r="HO15" s="75">
        <f>IF($B15=0,0,IF(HO$3=TotalApuestas!HO10,HO$5,0))</f>
        <v>0</v>
      </c>
      <c r="HP15" s="75">
        <f>IF($B15=0,0,IF(AND(HN$3=TotalApuestas!HN10,Resultado!HO$3=TotalApuestas!HO10),Resultado!HP$5+VLOOKUP(HP$4&amp;"bonus",Aux!$AD$1:$AE$46,2,0),IF(HP$3=TotalApuestas!HP10,HP$5,0)))</f>
        <v>0</v>
      </c>
    </row>
    <row r="16" spans="2:224" x14ac:dyDescent="0.25">
      <c r="B16">
        <f>+TotalApuestas!B11</f>
        <v>0</v>
      </c>
      <c r="E16" s="75">
        <f>IF($B16=0,0,IF(E$3=TotalApuestas!E11,E$5,0))</f>
        <v>0</v>
      </c>
      <c r="F16" s="75">
        <f>IF($B16=0,0,IF(F$3=TotalApuestas!F11,F$5,0))</f>
        <v>0</v>
      </c>
      <c r="G16" s="75">
        <f>IF($B16=0,0,IF(AND(E$3=TotalApuestas!E11,Resultado!F$3=TotalApuestas!F11),Resultado!G$5+VLOOKUP(G$4&amp;"bonus",Aux!$AD$1:$AE$46,2,0),IF(G$3=TotalApuestas!G11,G$5,0)))</f>
        <v>0</v>
      </c>
      <c r="H16" s="75">
        <f>IF($B16=0,0,IF(H$3=TotalApuestas!H11,H$5,0))</f>
        <v>0</v>
      </c>
      <c r="I16" s="75">
        <f>IF($B16=0,0,IF(I$3=TotalApuestas!I11,I$5,0))</f>
        <v>0</v>
      </c>
      <c r="J16" s="75">
        <f>IF($B16=0,0,IF(AND(H$3=TotalApuestas!H11,Resultado!I$3=TotalApuestas!I11),Resultado!J$5+VLOOKUP(J$4&amp;"bonus",Aux!$AD$1:$AE$46,2,0),IF(J$3=TotalApuestas!J11,J$5,0)))</f>
        <v>0</v>
      </c>
      <c r="K16" s="75">
        <f>IF($B16=0,0,IF(K$3=TotalApuestas!K11,K$5,0))</f>
        <v>0</v>
      </c>
      <c r="L16" s="75">
        <f>IF($B16=0,0,IF(L$3=TotalApuestas!L11,L$5,0))</f>
        <v>0</v>
      </c>
      <c r="M16" s="75">
        <f>IF($B16=0,0,IF(AND(K$3=TotalApuestas!K11,Resultado!L$3=TotalApuestas!L11),Resultado!M$5+VLOOKUP(M$4&amp;"bonus",Aux!$AD$1:$AE$46,2,0),IF(M$3=TotalApuestas!M11,M$5,0)))</f>
        <v>0</v>
      </c>
      <c r="N16" s="75">
        <f>IF($B16=0,0,IF(N$3=TotalApuestas!N11,N$5,0))</f>
        <v>0</v>
      </c>
      <c r="O16" s="75">
        <f>IF($B16=0,0,IF(O$3=TotalApuestas!O11,O$5,0))</f>
        <v>0</v>
      </c>
      <c r="P16" s="75">
        <f>IF($B16=0,0,IF(AND(N$3=TotalApuestas!N11,Resultado!O$3=TotalApuestas!O11),Resultado!P$5+VLOOKUP(P$4&amp;"bonus",Aux!$AD$1:$AE$46,2,0),IF(P$3=TotalApuestas!P11,P$5,0)))</f>
        <v>0</v>
      </c>
      <c r="Q16" s="75">
        <f>IF($B16=0,0,IF(Q$3=TotalApuestas!Q11,Q$5,0))</f>
        <v>0</v>
      </c>
      <c r="R16" s="75">
        <f>IF($B16=0,0,IF(R$3=TotalApuestas!R11,R$5,0))</f>
        <v>0</v>
      </c>
      <c r="S16" s="75">
        <f>IF($B16=0,0,IF(AND(Q$3=TotalApuestas!Q11,Resultado!R$3=TotalApuestas!R11),Resultado!S$5+VLOOKUP(S$4&amp;"bonus",Aux!$AD$1:$AE$46,2,0),IF(S$3=TotalApuestas!S11,S$5,0)))</f>
        <v>0</v>
      </c>
      <c r="T16" s="75">
        <f>IF($B16=0,0,IF(T$3=TotalApuestas!T11,T$5,0))</f>
        <v>0</v>
      </c>
      <c r="U16" s="75">
        <f>IF($B16=0,0,IF(U$3=TotalApuestas!U11,U$5,0))</f>
        <v>0</v>
      </c>
      <c r="V16" s="75">
        <f>IF($B16=0,0,IF(AND(T$3=TotalApuestas!T11,Resultado!U$3=TotalApuestas!U11),Resultado!V$5+VLOOKUP(V$4&amp;"bonus",Aux!$AD$1:$AE$46,2,0),IF(V$3=TotalApuestas!V11,V$5,0)))</f>
        <v>0</v>
      </c>
      <c r="W16" s="75">
        <f>IF($B16=0,0,IF(W$3=TotalApuestas!W11,W$5,0))</f>
        <v>0</v>
      </c>
      <c r="X16" s="75">
        <f>IF($B16=0,0,IF(X$3=TotalApuestas!X11,X$5,0))</f>
        <v>0</v>
      </c>
      <c r="Y16" s="75">
        <f>IF($B16=0,0,IF(AND(W$3=TotalApuestas!W11,Resultado!X$3=TotalApuestas!X11),Resultado!Y$5+VLOOKUP(Y$4&amp;"bonus",Aux!$AD$1:$AE$46,2,0),IF(Y$3=TotalApuestas!Y11,Y$5,0)))</f>
        <v>0</v>
      </c>
      <c r="Z16" s="75">
        <f>IF($B16=0,0,IF(Z$3=TotalApuestas!Z11,Z$5,0))</f>
        <v>0</v>
      </c>
      <c r="AA16" s="75">
        <f>IF($B16=0,0,IF(AA$3=TotalApuestas!AA11,AA$5,0))</f>
        <v>0</v>
      </c>
      <c r="AB16" s="75">
        <f>IF($B16=0,0,IF(AND(Z$3=TotalApuestas!Z11,Resultado!AA$3=TotalApuestas!AA11),Resultado!AB$5+VLOOKUP(AB$4&amp;"bonus",Aux!$AD$1:$AE$46,2,0),IF(AB$3=TotalApuestas!AB11,AB$5,0)))</f>
        <v>0</v>
      </c>
      <c r="AC16" s="75">
        <f>IF($B16=0,0,IF(AC$3=TotalApuestas!AC11,AC$5,0))</f>
        <v>0</v>
      </c>
      <c r="AD16" s="75">
        <f>IF($B16=0,0,IF(AD$3=TotalApuestas!AD11,AD$5,0))</f>
        <v>0</v>
      </c>
      <c r="AE16" s="75">
        <f>IF($B16=0,0,IF(AND(AC$3=TotalApuestas!AC11,Resultado!AD$3=TotalApuestas!AD11),Resultado!AE$5+VLOOKUP(AE$4&amp;"bonus",Aux!$AD$1:$AE$46,2,0),IF(AE$3=TotalApuestas!AE11,AE$5,0)))</f>
        <v>0</v>
      </c>
      <c r="AF16" s="75">
        <f>IF($B16=0,0,IF(AF$3=TotalApuestas!AF11,AF$5,0))</f>
        <v>0</v>
      </c>
      <c r="AG16" s="75">
        <f>IF($B16=0,0,IF(AG$3=TotalApuestas!AG11,AG$5,0))</f>
        <v>0</v>
      </c>
      <c r="AH16" s="75">
        <f>IF($B16=0,0,IF(AND(AF$3=TotalApuestas!AF11,Resultado!AG$3=TotalApuestas!AG11),Resultado!AH$5+VLOOKUP(AH$4&amp;"bonus",Aux!$AD$1:$AE$46,2,0),IF(AH$3=TotalApuestas!AH11,AH$5,0)))</f>
        <v>0</v>
      </c>
      <c r="AI16" s="75">
        <f>IF($B16=0,0,IF(AI$3=TotalApuestas!AI11,AI$5,0))</f>
        <v>0</v>
      </c>
      <c r="AJ16" s="75">
        <f>IF($B16=0,0,IF(AJ$3=TotalApuestas!AJ11,AJ$5,0))</f>
        <v>0</v>
      </c>
      <c r="AK16" s="75">
        <f>IF($B16=0,0,IF(AND(AI$3=TotalApuestas!AI11,Resultado!AJ$3=TotalApuestas!AJ11),Resultado!AK$5+VLOOKUP(AK$4&amp;"bonus",Aux!$AD$1:$AE$46,2,0),IF(AK$3=TotalApuestas!AK11,AK$5,0)))</f>
        <v>0</v>
      </c>
      <c r="AL16" s="75">
        <f>IF($B16=0,0,IF(AL$3=TotalApuestas!AL11,AL$5,0))</f>
        <v>0</v>
      </c>
      <c r="AM16" s="75">
        <f>IF($B16=0,0,IF(AM$3=TotalApuestas!AM11,AM$5,0))</f>
        <v>0</v>
      </c>
      <c r="AN16" s="75">
        <f>IF($B16=0,0,IF(AND(AL$3=TotalApuestas!AL11,Resultado!AM$3=TotalApuestas!AM11),Resultado!AN$5+VLOOKUP(AN$4&amp;"bonus",Aux!$AD$1:$AE$46,2,0),IF(AN$3=TotalApuestas!AN11,AN$5,0)))</f>
        <v>0</v>
      </c>
      <c r="AO16" s="75">
        <f>IF($B16=0,0,IF(AO$3=TotalApuestas!AO11,AO$5,0))</f>
        <v>0</v>
      </c>
      <c r="AP16" s="75">
        <f>IF($B16=0,0,IF(AP$3=TotalApuestas!AP11,AP$5,0))</f>
        <v>0</v>
      </c>
      <c r="AQ16" s="75">
        <f>IF($B16=0,0,IF(AND(AO$3=TotalApuestas!AO11,Resultado!AP$3=TotalApuestas!AP11),Resultado!AQ$5+VLOOKUP(AQ$4&amp;"bonus",Aux!$AD$1:$AE$46,2,0),IF(AQ$3=TotalApuestas!AQ11,AQ$5,0)))</f>
        <v>0</v>
      </c>
      <c r="AR16" s="75">
        <f>IF($B16=0,0,IF(AR$3=TotalApuestas!AR11,AR$5,0))</f>
        <v>0</v>
      </c>
      <c r="AS16" s="75">
        <f>IF($B16=0,0,IF(AS$3=TotalApuestas!AS11,AS$5,0))</f>
        <v>0</v>
      </c>
      <c r="AT16" s="75">
        <f>IF($B16=0,0,IF(AND(AR$3=TotalApuestas!AR11,Resultado!AS$3=TotalApuestas!AS11),Resultado!AT$5+VLOOKUP(AT$4&amp;"bonus",Aux!$AD$1:$AE$46,2,0),IF(AT$3=TotalApuestas!AT11,AT$5,0)))</f>
        <v>0</v>
      </c>
      <c r="AU16" s="75">
        <f>IF($B16=0,0,IF(AU$3=TotalApuestas!AU11,AU$5,0))</f>
        <v>0</v>
      </c>
      <c r="AV16" s="75">
        <f>IF($B16=0,0,IF(AV$3=TotalApuestas!AV11,AV$5,0))</f>
        <v>0</v>
      </c>
      <c r="AW16" s="75">
        <f>IF($B16=0,0,IF(AND(AU$3=TotalApuestas!AU11,Resultado!AV$3=TotalApuestas!AV11),Resultado!AW$5+VLOOKUP(AW$4&amp;"bonus",Aux!$AD$1:$AE$46,2,0),IF(AW$3=TotalApuestas!AW11,AW$5,0)))</f>
        <v>0</v>
      </c>
      <c r="AX16" s="75">
        <f>IF($B16=0,0,IF(AX$3=TotalApuestas!AX11,AX$5,0))</f>
        <v>0</v>
      </c>
      <c r="AY16" s="75">
        <f>IF($B16=0,0,IF(AY$3=TotalApuestas!AY11,AY$5,0))</f>
        <v>0</v>
      </c>
      <c r="AZ16" s="75">
        <f>IF($B16=0,0,IF(AND(AX$3=TotalApuestas!AX11,Resultado!AY$3=TotalApuestas!AY11),Resultado!AZ$5+VLOOKUP(AZ$4&amp;"bonus",Aux!$AD$1:$AE$46,2,0),IF(AZ$3=TotalApuestas!AZ11,AZ$5,0)))</f>
        <v>0</v>
      </c>
      <c r="BA16" s="75">
        <f>IF($B16=0,0,IF(BA$3=TotalApuestas!BA11,BA$5,0))</f>
        <v>0</v>
      </c>
      <c r="BB16" s="75">
        <f>IF($B16=0,0,IF(BB$3=TotalApuestas!BB11,BB$5,0))</f>
        <v>0</v>
      </c>
      <c r="BC16" s="75">
        <f>IF($B16=0,0,IF(AND(BA$3=TotalApuestas!BA11,Resultado!BB$3=TotalApuestas!BB11),Resultado!BC$5+VLOOKUP(BC$4&amp;"bonus",Aux!$AD$1:$AE$46,2,0),IF(BC$3=TotalApuestas!BC11,BC$5,0)))</f>
        <v>0</v>
      </c>
      <c r="BD16" s="75">
        <f>IF($B16=0,0,IF(BD$3=TotalApuestas!BD11,BD$5,0))</f>
        <v>0</v>
      </c>
      <c r="BE16" s="75">
        <f>IF($B16=0,0,IF(BE$3=TotalApuestas!BE11,BE$5,0))</f>
        <v>0</v>
      </c>
      <c r="BF16" s="75">
        <f>IF($B16=0,0,IF(AND(BD$3=TotalApuestas!BD11,Resultado!BE$3=TotalApuestas!BE11),Resultado!BF$5+VLOOKUP(BF$4&amp;"bonus",Aux!$AD$1:$AE$46,2,0),IF(BF$3=TotalApuestas!BF11,BF$5,0)))</f>
        <v>0</v>
      </c>
      <c r="BG16" s="75">
        <f>IF($B16=0,0,IF(BG$3=TotalApuestas!BG11,BG$5,0))</f>
        <v>0</v>
      </c>
      <c r="BH16" s="75">
        <f>IF($B16=0,0,IF(BH$3=TotalApuestas!BH11,BH$5,0))</f>
        <v>0</v>
      </c>
      <c r="BI16" s="75">
        <f>IF($B16=0,0,IF(AND(BG$3=TotalApuestas!BG11,Resultado!BH$3=TotalApuestas!BH11),Resultado!BI$5+VLOOKUP(BI$4&amp;"bonus",Aux!$AD$1:$AE$46,2,0),IF(BI$3=TotalApuestas!BI11,BI$5,0)))</f>
        <v>0</v>
      </c>
      <c r="BJ16" s="75">
        <f>IF($B16=0,0,IF(BJ$3=TotalApuestas!BJ11,BJ$5,0))</f>
        <v>0</v>
      </c>
      <c r="BK16" s="75">
        <f>IF($B16=0,0,IF(BK$3=TotalApuestas!BK11,BK$5,0))</f>
        <v>0</v>
      </c>
      <c r="BL16" s="75">
        <f>IF($B16=0,0,IF(AND(BJ$3=TotalApuestas!BJ11,Resultado!BK$3=TotalApuestas!BK11),Resultado!BL$5+VLOOKUP(BL$4&amp;"bonus",Aux!$AD$1:$AE$46,2,0),IF(BL$3=TotalApuestas!BL11,BL$5,0)))</f>
        <v>0</v>
      </c>
      <c r="BM16" s="75">
        <f>IF($B16=0,0,IF(BM$3=TotalApuestas!BM11,BM$5,0))</f>
        <v>0</v>
      </c>
      <c r="BN16" s="75">
        <f>IF($B16=0,0,IF(BN$3=TotalApuestas!BN11,BN$5,0))</f>
        <v>0</v>
      </c>
      <c r="BO16" s="75">
        <f>IF($B16=0,0,IF(AND(BM$3=TotalApuestas!BM11,Resultado!BN$3=TotalApuestas!BN11),Resultado!BO$5+VLOOKUP(BO$4&amp;"bonus",Aux!$AD$1:$AE$46,2,0),IF(BO$3=TotalApuestas!BO11,BO$5,0)))</f>
        <v>0</v>
      </c>
      <c r="BP16" s="75">
        <f>IF($B16=0,0,IF(BP$3=TotalApuestas!BP11,BP$5,0))</f>
        <v>0</v>
      </c>
      <c r="BQ16" s="75">
        <f>IF($B16=0,0,IF(BQ$3=TotalApuestas!BQ11,BQ$5,0))</f>
        <v>0</v>
      </c>
      <c r="BR16" s="75">
        <f>IF($B16=0,0,IF(AND(BP$3=TotalApuestas!BP11,Resultado!BQ$3=TotalApuestas!BQ11),Resultado!BR$5+VLOOKUP(BR$4&amp;"bonus",Aux!$AD$1:$AE$46,2,0),IF(BR$3=TotalApuestas!BR11,BR$5,0)))</f>
        <v>0</v>
      </c>
      <c r="BS16" s="75">
        <f>IF($B16=0,0,IF(BS$3=TotalApuestas!BS11,BS$5,0))</f>
        <v>0</v>
      </c>
      <c r="BT16" s="75">
        <f>IF($B16=0,0,IF(BT$3=TotalApuestas!BT11,BT$5,0))</f>
        <v>0</v>
      </c>
      <c r="BU16" s="75">
        <f>IF($B16=0,0,IF(AND(BS$3=TotalApuestas!BS11,Resultado!BT$3=TotalApuestas!BT11),Resultado!BU$5+VLOOKUP(BU$4&amp;"bonus",Aux!$AD$1:$AE$46,2,0),IF(BU$3=TotalApuestas!BU11,BU$5,0)))</f>
        <v>0</v>
      </c>
      <c r="BV16" s="75">
        <f>IF($B16=0,0,IF(BV$3=TotalApuestas!BV11,BV$5,0))</f>
        <v>0</v>
      </c>
      <c r="BW16" s="75">
        <f>IF($B16=0,0,IF(BW$3=TotalApuestas!BW11,BW$5,0))</f>
        <v>0</v>
      </c>
      <c r="BX16" s="75">
        <f>IF($B16=0,0,IF(AND(BV$3=TotalApuestas!BV11,Resultado!BW$3=TotalApuestas!BW11),Resultado!BX$5+VLOOKUP(BX$4&amp;"bonus",Aux!$AD$1:$AE$46,2,0),IF(BX$3=TotalApuestas!BX11,BX$5,0)))</f>
        <v>0</v>
      </c>
      <c r="BY16" s="75">
        <f>IF($B16=0,0,IF(BY$3=TotalApuestas!BY11,BY$5,0))</f>
        <v>0</v>
      </c>
      <c r="BZ16" s="75">
        <f>IF($B16=0,0,IF(BZ$3=TotalApuestas!BZ11,BZ$5,0))</f>
        <v>0</v>
      </c>
      <c r="CA16" s="75">
        <f>IF($B16=0,0,IF(AND(BY$3=TotalApuestas!BY11,Resultado!BZ$3=TotalApuestas!BZ11),Resultado!CA$5+VLOOKUP(CA$4&amp;"bonus",Aux!$AD$1:$AE$46,2,0),IF(CA$3=TotalApuestas!CA11,CA$5,0)))</f>
        <v>0</v>
      </c>
      <c r="CB16" s="75">
        <f>IF($B16=0,0,IF(CB$3=TotalApuestas!CB11,CB$5,0))</f>
        <v>0</v>
      </c>
      <c r="CC16" s="75">
        <f>IF($B16=0,0,IF(CC$3=TotalApuestas!CC11,CC$5,0))</f>
        <v>0</v>
      </c>
      <c r="CD16" s="75">
        <f>IF($B16=0,0,IF(AND(CB$3=TotalApuestas!CB11,Resultado!CC$3=TotalApuestas!CC11),Resultado!CD$5+VLOOKUP(CD$4&amp;"bonus",Aux!$AD$1:$AE$46,2,0),IF(CD$3=TotalApuestas!CD11,CD$5,0)))</f>
        <v>0</v>
      </c>
      <c r="CE16" s="75">
        <f>IF($B16=0,0,IF(CE$3=TotalApuestas!CE11,CE$5,0))</f>
        <v>0</v>
      </c>
      <c r="CF16" s="75">
        <f>IF($B16=0,0,IF(CF$3=TotalApuestas!CF11,CF$5,0))</f>
        <v>0</v>
      </c>
      <c r="CG16" s="75">
        <f>IF($B16=0,0,IF(AND(CE$3=TotalApuestas!CE11,Resultado!CF$3=TotalApuestas!CF11),Resultado!CG$5+VLOOKUP(CG$4&amp;"bonus",Aux!$AD$1:$AE$46,2,0),IF(CG$3=TotalApuestas!CG11,CG$5,0)))</f>
        <v>0</v>
      </c>
      <c r="CH16" s="75">
        <f>IF($B16=0,0,IF(CH$3=TotalApuestas!CH11,CH$5,0))</f>
        <v>0</v>
      </c>
      <c r="CI16" s="75">
        <f>IF($B16=0,0,IF(CI$3=TotalApuestas!CI11,CI$5,0))</f>
        <v>0</v>
      </c>
      <c r="CJ16" s="75">
        <f>IF($B16=0,0,IF(AND(CH$3=TotalApuestas!CH11,Resultado!CI$3=TotalApuestas!CI11),Resultado!CJ$5+VLOOKUP(CJ$4&amp;"bonus",Aux!$AD$1:$AE$46,2,0),IF(CJ$3=TotalApuestas!CJ11,CJ$5,0)))</f>
        <v>0</v>
      </c>
      <c r="CK16" s="75">
        <f>IF($B16=0,0,IF(CK$3=TotalApuestas!CK11,CK$5,0))</f>
        <v>0</v>
      </c>
      <c r="CL16" s="75">
        <f>IF($B16=0,0,IF(CL$3=TotalApuestas!CL11,CL$5,0))</f>
        <v>0</v>
      </c>
      <c r="CM16" s="75">
        <f>IF($B16=0,0,IF(AND(CK$3=TotalApuestas!CK11,Resultado!CL$3=TotalApuestas!CL11),Resultado!CM$5+VLOOKUP(CM$4&amp;"bonus",Aux!$AD$1:$AE$46,2,0),IF(CM$3=TotalApuestas!CM11,CM$5,0)))</f>
        <v>0</v>
      </c>
      <c r="CN16" s="75">
        <f>IF($B16=0,0,IF(CN$3=TotalApuestas!CN11,CN$5,0))</f>
        <v>0</v>
      </c>
      <c r="CO16" s="75">
        <f>IF($B16=0,0,IF(CO$3=TotalApuestas!CO11,CO$5,0))</f>
        <v>0</v>
      </c>
      <c r="CP16" s="75">
        <f>IF($B16=0,0,IF(AND(CN$3=TotalApuestas!CN11,Resultado!CO$3=TotalApuestas!CO11),Resultado!CP$5+VLOOKUP(CP$4&amp;"bonus",Aux!$AD$1:$AE$46,2,0),IF(CP$3=TotalApuestas!CP11,CP$5,0)))</f>
        <v>0</v>
      </c>
      <c r="CQ16" s="75">
        <f>IF($B16=0,0,IF(CQ$3=TotalApuestas!CQ11,CQ$5,0))</f>
        <v>0</v>
      </c>
      <c r="CR16" s="75">
        <f>IF($B16=0,0,IF(CR$3=TotalApuestas!CR11,CR$5,0))</f>
        <v>0</v>
      </c>
      <c r="CS16" s="75">
        <f>IF($B16=0,0,IF(AND(CQ$3=TotalApuestas!CQ11,Resultado!CR$3=TotalApuestas!CR11),Resultado!CS$5+VLOOKUP(CS$4&amp;"bonus",Aux!$AD$1:$AE$46,2,0),IF(CS$3=TotalApuestas!CS11,CS$5,0)))</f>
        <v>0</v>
      </c>
      <c r="CT16" s="75">
        <f>IF($B16=0,0,IF(CT$3=TotalApuestas!CT11,CT$5,0))</f>
        <v>0</v>
      </c>
      <c r="CU16" s="75">
        <f>IF($B16=0,0,IF(CU$3=TotalApuestas!CU11,CU$5,0))</f>
        <v>0</v>
      </c>
      <c r="CV16" s="75">
        <f>IF($B16=0,0,IF(AND(CT$3=TotalApuestas!CT11,Resultado!CU$3=TotalApuestas!CU11),Resultado!CV$5+VLOOKUP(CV$4&amp;"bonus",Aux!$AD$1:$AE$46,2,0),IF(CV$3=TotalApuestas!CV11,CV$5,0)))</f>
        <v>0</v>
      </c>
      <c r="CW16" s="75">
        <f>IF($B16=0,0,IF(CW$3=TotalApuestas!CW11,CW$5,0))</f>
        <v>0</v>
      </c>
      <c r="CX16" s="75">
        <f>IF($B16=0,0,IF(CX$3=TotalApuestas!CX11,CX$5,0))</f>
        <v>0</v>
      </c>
      <c r="CY16" s="75">
        <f>IF($B16=0,0,IF(AND(CW$3=TotalApuestas!CW11,Resultado!CX$3=TotalApuestas!CX11),Resultado!CY$5+VLOOKUP(CY$4&amp;"bonus",Aux!$AD$1:$AE$46,2,0),IF(CY$3=TotalApuestas!CY11,CY$5,0)))</f>
        <v>0</v>
      </c>
      <c r="CZ16" s="75">
        <f>IF($B16=0,0,IF(CZ$3=TotalApuestas!CZ11,CZ$5,0))</f>
        <v>0</v>
      </c>
      <c r="DA16" s="75">
        <f>IF($B16=0,0,IF(DA$3=TotalApuestas!DA11,DA$5,0))</f>
        <v>0</v>
      </c>
      <c r="DB16" s="75">
        <f>IF($B16=0,0,IF(AND(CZ$3=TotalApuestas!CZ11,Resultado!DA$3=TotalApuestas!DA11),Resultado!DB$5+VLOOKUP(DB$4&amp;"bonus",Aux!$AD$1:$AE$46,2,0),IF(DB$3=TotalApuestas!DB11,DB$5,0)))</f>
        <v>0</v>
      </c>
      <c r="DC16" s="75">
        <f>IF($B16=0,0,IF(DC$3=TotalApuestas!DC11,DC$5,0))</f>
        <v>0</v>
      </c>
      <c r="DD16" s="75">
        <f>IF($B16=0,0,IF(DD$3=TotalApuestas!DD11,DD$5,0))</f>
        <v>0</v>
      </c>
      <c r="DE16" s="75">
        <f>IF($B16=0,0,IF(AND(DC$3=TotalApuestas!DC11,Resultado!DD$3=TotalApuestas!DD11),Resultado!DE$5+VLOOKUP(DE$4&amp;"bonus",Aux!$AD$1:$AE$46,2,0),IF(DE$3=TotalApuestas!DE11,DE$5,0)))</f>
        <v>0</v>
      </c>
      <c r="DF16" s="75">
        <f>IF($B16=0,0,IF(DF$3=TotalApuestas!DF11,DF$5,0))</f>
        <v>0</v>
      </c>
      <c r="DG16" s="75">
        <f>IF($B16=0,0,IF(DG$3=TotalApuestas!DG11,DG$5,0))</f>
        <v>0</v>
      </c>
      <c r="DH16" s="75">
        <f>IF($B16=0,0,IF(AND(DF$3=TotalApuestas!DF11,Resultado!DG$3=TotalApuestas!DG11),Resultado!DH$5+VLOOKUP(DH$4&amp;"bonus",Aux!$AD$1:$AE$46,2,0),IF(DH$3=TotalApuestas!DH11,DH$5,0)))</f>
        <v>0</v>
      </c>
      <c r="DI16" s="75">
        <f>IF($B16=0,0,IF(DI$3=TotalApuestas!DI11,DI$5,0))</f>
        <v>0</v>
      </c>
      <c r="DJ16" s="75">
        <f>IF($B16=0,0,IF(DJ$3=TotalApuestas!DJ11,DJ$5,0))</f>
        <v>0</v>
      </c>
      <c r="DK16" s="75">
        <f>IF($B16=0,0,IF(AND(DI$3=TotalApuestas!DI11,Resultado!DJ$3=TotalApuestas!DJ11),Resultado!DK$5+VLOOKUP(DK$4&amp;"bonus",Aux!$AD$1:$AE$46,2,0),IF(DK$3=TotalApuestas!DK11,DK$5,0)))</f>
        <v>0</v>
      </c>
      <c r="DL16" s="75">
        <f>IF($B16=0,0,IF(DL$3=TotalApuestas!DL11,DL$5,0))</f>
        <v>0</v>
      </c>
      <c r="DM16" s="75">
        <f>IF($B16=0,0,IF(DM$3=TotalApuestas!DM11,DM$5,0))</f>
        <v>0</v>
      </c>
      <c r="DN16" s="75">
        <f>IF($B16=0,0,IF(AND(DL$3=TotalApuestas!DL11,Resultado!DM$3=TotalApuestas!DM11),Resultado!DN$5+VLOOKUP(DN$4&amp;"bonus",Aux!$AD$1:$AE$46,2,0),IF(DN$3=TotalApuestas!DN11,DN$5,0)))</f>
        <v>0</v>
      </c>
      <c r="DO16" s="75">
        <f>IF($B16=0,0,IF(DO$3=TotalApuestas!DO11,DO$5,0))</f>
        <v>0</v>
      </c>
      <c r="DP16" s="75">
        <f>IF($B16=0,0,IF(DP$3=TotalApuestas!DP11,DP$5,0))</f>
        <v>0</v>
      </c>
      <c r="DQ16" s="75">
        <f>IF($B16=0,0,IF(AND(DO$3=TotalApuestas!DO11,Resultado!DP$3=TotalApuestas!DP11),Resultado!DQ$5+VLOOKUP(DQ$4&amp;"bonus",Aux!$AD$1:$AE$46,2,0),IF(DQ$3=TotalApuestas!DQ11,DQ$5,0)))</f>
        <v>0</v>
      </c>
      <c r="DR16" s="75">
        <f>IF($B16=0,0,IF(DR$3=TotalApuestas!DR11,DR$5,0))</f>
        <v>0</v>
      </c>
      <c r="DS16" s="75">
        <f>IF($B16=0,0,IF(DS$3=TotalApuestas!DS11,DS$5,0))</f>
        <v>0</v>
      </c>
      <c r="DT16" s="75">
        <f>IF($B16=0,0,IF(AND(DR$3=TotalApuestas!DR11,Resultado!DS$3=TotalApuestas!DS11),Resultado!DT$5+VLOOKUP(DT$4&amp;"bonus",Aux!$AD$1:$AE$46,2,0),IF(DT$3=TotalApuestas!DT11,DT$5,0)))</f>
        <v>0</v>
      </c>
      <c r="DU16" s="75">
        <f>IF($B16=0,0,IF(DU$3=TotalApuestas!DU11,DU$5,0))</f>
        <v>0</v>
      </c>
      <c r="DV16" s="75">
        <f>IF($B16=0,0,IF(DV$3=TotalApuestas!DV11,DV$5,0))</f>
        <v>0</v>
      </c>
      <c r="DW16" s="75">
        <f>IF($B16=0,0,IF(AND(DU$3=TotalApuestas!DU11,Resultado!DV$3=TotalApuestas!DV11),Resultado!DW$5+VLOOKUP(DW$4&amp;"bonus",Aux!$AD$1:$AE$46,2,0),IF(DW$3=TotalApuestas!DW11,DW$5,0)))</f>
        <v>0</v>
      </c>
      <c r="DX16" s="75">
        <f>IF($B16=0,0,IF(DX$3=TotalApuestas!DX11,DX$5,0))</f>
        <v>0</v>
      </c>
      <c r="DY16" s="75">
        <f>IF($B16=0,0,IF(DY$3=TotalApuestas!DY11,DY$5,0))</f>
        <v>0</v>
      </c>
      <c r="DZ16" s="75">
        <f>IF($B16=0,0,IF(AND(DX$3=TotalApuestas!DX11,Resultado!DY$3=TotalApuestas!DY11),Resultado!DZ$5+VLOOKUP(DZ$4&amp;"bonus",Aux!$AD$1:$AE$46,2,0),IF(DZ$3=TotalApuestas!DZ11,DZ$5,0)))</f>
        <v>0</v>
      </c>
      <c r="EA16" s="75">
        <f>IF($B16=0,0,IF(EA$3=TotalApuestas!EA11,EA$5,0))</f>
        <v>0</v>
      </c>
      <c r="EB16" s="75">
        <f>IF($B16=0,0,IF(EB$3=TotalApuestas!EB11,EB$5,0))</f>
        <v>0</v>
      </c>
      <c r="EC16" s="75">
        <f>IF($B16=0,0,IF(AND(EA$3=TotalApuestas!EA11,Resultado!EB$3=TotalApuestas!EB11),Resultado!EC$5+VLOOKUP(EC$4&amp;"bonus",Aux!$AD$1:$AE$46,2,0),IF(EC$3=TotalApuestas!EC11,EC$5,0)))</f>
        <v>0</v>
      </c>
      <c r="ED16" s="75">
        <f>IF($B16=0,0,IF(ED$3=TotalApuestas!ED11,ED$5,0))</f>
        <v>0</v>
      </c>
      <c r="EE16" s="75">
        <f>IF($B16=0,0,IF(EE$3=TotalApuestas!EE11,EE$5,0))</f>
        <v>0</v>
      </c>
      <c r="EF16" s="75">
        <f>IF($B16=0,0,IF(AND(ED$3=TotalApuestas!ED11,Resultado!EE$3=TotalApuestas!EE11),Resultado!EF$5+VLOOKUP(EF$4&amp;"bonus",Aux!$AD$1:$AE$46,2,0),IF(EF$3=TotalApuestas!EF11,EF$5,0)))</f>
        <v>0</v>
      </c>
      <c r="EG16" s="75">
        <f>IF($B16=0,0,IF(EG$3=TotalApuestas!EG11,EG$5,0))</f>
        <v>0</v>
      </c>
      <c r="EH16" s="75">
        <f>IF($B16=0,0,IF(EH$3=TotalApuestas!EH11,EH$5,0))</f>
        <v>0</v>
      </c>
      <c r="EI16" s="75">
        <f>IF($B16=0,0,IF(AND(EG$3=TotalApuestas!EG11,Resultado!EH$3=TotalApuestas!EH11),Resultado!EI$5+VLOOKUP(EI$4&amp;"bonus",Aux!$AD$1:$AE$46,2,0),IF(EI$3=TotalApuestas!EI11,EI$5,0)))</f>
        <v>0</v>
      </c>
      <c r="EJ16" s="75">
        <f>IF($B16=0,0,IF(EJ$3=TotalApuestas!EJ11,EJ$5,0))</f>
        <v>0</v>
      </c>
      <c r="EK16" s="75">
        <f>IF($B16=0,0,IF(EK$3=TotalApuestas!EK11,EK$5,0))</f>
        <v>0</v>
      </c>
      <c r="EL16" s="75">
        <f>IF($B16=0,0,IF(AND(EJ$3=TotalApuestas!EJ11,Resultado!EK$3=TotalApuestas!EK11),Resultado!EL$5+VLOOKUP(EL$4&amp;"bonus",Aux!$AD$1:$AE$46,2,0),IF(EL$3=TotalApuestas!EL11,EL$5,0)))</f>
        <v>0</v>
      </c>
      <c r="EM16" s="75">
        <f>IF($B16=0,0,IF(EM$3=TotalApuestas!EM11,EM$5,0))</f>
        <v>0</v>
      </c>
      <c r="EN16" s="75">
        <f>IF($B16=0,0,IF(EN$3=TotalApuestas!EN11,EN$5,0))</f>
        <v>0</v>
      </c>
      <c r="EO16" s="75">
        <f>IF($B16=0,0,IF(AND(EM$3=TotalApuestas!EM11,Resultado!EN$3=TotalApuestas!EN11),Resultado!EO$5+VLOOKUP(EO$4&amp;"bonus",Aux!$AD$1:$AE$46,2,0),IF(EO$3=TotalApuestas!EO11,EO$5,0)))</f>
        <v>0</v>
      </c>
      <c r="EP16" s="75">
        <f>IF($B16=0,0,IF(EP$3=TotalApuestas!EP11,EP$5,0))</f>
        <v>0</v>
      </c>
      <c r="EQ16" s="75">
        <f>IF($B16=0,0,IF(EQ$3=TotalApuestas!EQ11,EQ$5,0))</f>
        <v>0</v>
      </c>
      <c r="ER16" s="75">
        <f>IF($B16=0,0,IF(AND(EP$3=TotalApuestas!EP11,Resultado!EQ$3=TotalApuestas!EQ11),Resultado!ER$5+VLOOKUP(ER$4&amp;"bonus",Aux!$AD$1:$AE$46,2,0),IF(ER$3=TotalApuestas!ER11,ER$5,0)))</f>
        <v>0</v>
      </c>
      <c r="ES16" s="75">
        <f>IF($B16=0,0,IF(ES$3=TotalApuestas!ES11,ES$5,0))</f>
        <v>0</v>
      </c>
      <c r="ET16" s="75">
        <f>IF($B16=0,0,IF(ET$3=TotalApuestas!ET11,ET$5,0))</f>
        <v>0</v>
      </c>
      <c r="EU16" s="75">
        <f>IF($B16=0,0,IF(EU$3=TotalApuestas!EU11,EU$5,0))</f>
        <v>0</v>
      </c>
      <c r="EV16" s="75">
        <f>IF($B16=0,0,IF(EV$3=TotalApuestas!EV11,EV$5,0))</f>
        <v>0</v>
      </c>
      <c r="EW16" s="75">
        <f>IF($B16=0,0,IF(EW$3=TotalApuestas!EW11,EW$5,0))</f>
        <v>0</v>
      </c>
      <c r="EX16" s="75">
        <f>IF($B16=0,0,IF(EX$3=TotalApuestas!EX11,EX$5,0))</f>
        <v>0</v>
      </c>
      <c r="EY16" s="75">
        <f>IF($B16=0,0,IF(EY$3=TotalApuestas!EY11,EY$5,0))</f>
        <v>0</v>
      </c>
      <c r="EZ16" s="75">
        <f>IF($B16=0,0,IF(EZ$3=TotalApuestas!EZ11,EZ$5,0))</f>
        <v>0</v>
      </c>
      <c r="FA16" s="75">
        <f>IF($B16=0,0,IF(FA$3=TotalApuestas!FA11,FA$5,0))</f>
        <v>0</v>
      </c>
      <c r="FB16" s="75">
        <f>IF($B16=0,0,IF(FB$3=TotalApuestas!FB11,FB$5,0))</f>
        <v>0</v>
      </c>
      <c r="FC16" s="75">
        <f>IF($B16=0,0,IF(FC$3=TotalApuestas!FC11,FC$5,0))</f>
        <v>0</v>
      </c>
      <c r="FD16" s="75">
        <f>IF($B16=0,0,IF(FD$3=TotalApuestas!FD11,FD$5,0))</f>
        <v>0</v>
      </c>
      <c r="FE16" s="75">
        <f>IF($B16=0,0,IF(FE$3=TotalApuestas!FE11,FE$5,0))</f>
        <v>0</v>
      </c>
      <c r="FF16" s="75">
        <f>IF($B16=0,0,IF(FF$3=TotalApuestas!FF11,FF$5,0))</f>
        <v>0</v>
      </c>
      <c r="FG16" s="75">
        <f>IF($B16=0,0,IF(FG$3=TotalApuestas!FG11,FG$5,0))</f>
        <v>0</v>
      </c>
      <c r="FH16" s="75">
        <f>IF($B16=0,0,IF(FH$3=TotalApuestas!FH11,FH$5,0))</f>
        <v>0</v>
      </c>
      <c r="FI16" s="75">
        <f>IF($B16=0,0,IF(FI$3=TotalApuestas!FI11,FI$5,0))</f>
        <v>0</v>
      </c>
      <c r="FJ16" s="75">
        <f>IF($B16=0,0,IF(FJ$3=TotalApuestas!FJ11,FJ$5,0))</f>
        <v>0</v>
      </c>
      <c r="FK16" s="75">
        <f>IF($B16=0,0,IF(FK$3=TotalApuestas!FK11,FK$5,0))</f>
        <v>0</v>
      </c>
      <c r="FL16" s="75">
        <f>IF($B16=0,0,IF(FL$3=TotalApuestas!FL11,FL$5,0))</f>
        <v>0</v>
      </c>
      <c r="FM16" s="75">
        <f>IF($B16=0,0,IF(FM$3=TotalApuestas!FM11,FM$5,0))</f>
        <v>0</v>
      </c>
      <c r="FN16" s="75">
        <f>IF($B16=0,0,IF(FN$3=TotalApuestas!FN11,FN$5,0))</f>
        <v>0</v>
      </c>
      <c r="FO16" s="75">
        <f>IF($B16=0,0,IF(FO$3=TotalApuestas!FO11,FO$5,0))</f>
        <v>0</v>
      </c>
      <c r="FP16" s="75">
        <f>IF($B16=0,0,IF(FP$3=TotalApuestas!FP11,FP$5,0))</f>
        <v>0</v>
      </c>
      <c r="FQ16" s="75">
        <f>IF($B16=0,0,IF(FQ$3=TotalApuestas!FQ11,FQ$5,0))</f>
        <v>0</v>
      </c>
      <c r="FR16" s="75">
        <f>IF($B16=0,0,IF(FR$3=TotalApuestas!FR11,FR$5,0))</f>
        <v>0</v>
      </c>
      <c r="FS16" s="75">
        <f>IF($B16=0,0,IF(FS$3=TotalApuestas!FS11,FS$5,0))</f>
        <v>0</v>
      </c>
      <c r="FT16" s="75">
        <f>IF($B16=0,0,IF(FT$3=TotalApuestas!FT11,FT$5,0))</f>
        <v>0</v>
      </c>
      <c r="FU16" s="75">
        <f>IF($B16=0,0,IF(FU$3=TotalApuestas!FU11,FU$5,0))</f>
        <v>0</v>
      </c>
      <c r="FV16" s="75">
        <f>IF($B16=0,0,IF(FV$3=TotalApuestas!FV11,FV$5,0))</f>
        <v>0</v>
      </c>
      <c r="FW16" s="75">
        <f>IF($B16=0,0,IF(FW$3=TotalApuestas!FW11,FW$5,0))</f>
        <v>0</v>
      </c>
      <c r="FX16" s="75">
        <f>IF($B16=0,0,IF(FX$3=TotalApuestas!FX11,FX$5,0))</f>
        <v>0</v>
      </c>
      <c r="FY16" s="75">
        <f>IF($B16=0,0,IF(FY$3=TotalApuestas!FY11,FY$5,0))</f>
        <v>0</v>
      </c>
      <c r="FZ16" s="75">
        <f>IF($B16=0,0,IF(AND(FX$3=TotalApuestas!FX11,Resultado!FY$3=TotalApuestas!FY11),Resultado!FZ$5+VLOOKUP(FZ$4&amp;"bonus",Aux!$AD$1:$AE$46,2,0),IF(FZ$3=TotalApuestas!FZ11,FZ$5,0)))</f>
        <v>0</v>
      </c>
      <c r="GA16" s="75">
        <f>IF($B16=0,0,IF(GA$3=TotalApuestas!GA11,GA$5,0))</f>
        <v>0</v>
      </c>
      <c r="GB16" s="75">
        <f>IF($B16=0,0,IF(GB$3=TotalApuestas!GB11,GB$5,0))</f>
        <v>0</v>
      </c>
      <c r="GC16" s="75">
        <f>IF($B16=0,0,IF(AND(GA$3=TotalApuestas!GA11,Resultado!GB$3=TotalApuestas!GB11),Resultado!GC$5+VLOOKUP(GC$4&amp;"bonus",Aux!$AD$1:$AE$46,2,0),IF(GC$3=TotalApuestas!GC11,GC$5,0)))</f>
        <v>0</v>
      </c>
      <c r="GD16" s="75">
        <f>IF($B16=0,0,IF(GD$3=TotalApuestas!GD11,GD$5,0))</f>
        <v>0</v>
      </c>
      <c r="GE16" s="75">
        <f>IF($B16=0,0,IF(GE$3=TotalApuestas!GE11,GE$5,0))</f>
        <v>0</v>
      </c>
      <c r="GF16" s="75">
        <f>IF($B16=0,0,IF(AND(GD$3=TotalApuestas!GD11,Resultado!GE$3=TotalApuestas!GE11),Resultado!GF$5+VLOOKUP(GF$4&amp;"bonus",Aux!$AD$1:$AE$46,2,0),IF(GF$3=TotalApuestas!GF11,GF$5,0)))</f>
        <v>0</v>
      </c>
      <c r="GG16" s="75">
        <f>IF($B16=0,0,IF(GG$3=TotalApuestas!GG11,GG$5,0))</f>
        <v>0</v>
      </c>
      <c r="GH16" s="75">
        <f>IF($B16=0,0,IF(GH$3=TotalApuestas!GH11,GH$5,0))</f>
        <v>0</v>
      </c>
      <c r="GI16" s="75">
        <f>IF($B16=0,0,IF(AND(GG$3=TotalApuestas!GG11,Resultado!GH$3=TotalApuestas!GH11),Resultado!GI$5+VLOOKUP(GI$4&amp;"bonus",Aux!$AD$1:$AE$46,2,0),IF(GI$3=TotalApuestas!GI11,GI$5,0)))</f>
        <v>0</v>
      </c>
      <c r="GJ16" s="75">
        <f>IF($B16=0,0,IF(GJ$3=TotalApuestas!GJ11,GJ$5,0))</f>
        <v>0</v>
      </c>
      <c r="GK16" s="75">
        <f>IF($B16=0,0,IF(GK$3=TotalApuestas!GK11,GK$5,0))</f>
        <v>0</v>
      </c>
      <c r="GL16" s="75">
        <f>IF($B16=0,0,IF(AND(GJ$3=TotalApuestas!GJ11,Resultado!GK$3=TotalApuestas!GK11),Resultado!GL$5+VLOOKUP(GL$4&amp;"bonus",Aux!$AD$1:$AE$46,2,0),IF(GL$3=TotalApuestas!GL11,GL$5,0)))</f>
        <v>0</v>
      </c>
      <c r="GM16" s="75">
        <f>IF($B16=0,0,IF(GM$3=TotalApuestas!GM11,GM$5,0))</f>
        <v>0</v>
      </c>
      <c r="GN16" s="75">
        <f>IF($B16=0,0,IF(GN$3=TotalApuestas!GN11,GN$5,0))</f>
        <v>0</v>
      </c>
      <c r="GO16" s="75">
        <f>IF($B16=0,0,IF(AND(GM$3=TotalApuestas!GM11,Resultado!GN$3=TotalApuestas!GN11),Resultado!GO$5+VLOOKUP(GO$4&amp;"bonus",Aux!$AD$1:$AE$46,2,0),IF(GO$3=TotalApuestas!GO11,GO$5,0)))</f>
        <v>0</v>
      </c>
      <c r="GP16" s="75">
        <f>IF($B16=0,0,IF(GP$3=TotalApuestas!GP11,GP$5,0))</f>
        <v>0</v>
      </c>
      <c r="GQ16" s="75">
        <f>IF($B16=0,0,IF(GQ$3=TotalApuestas!GQ11,GQ$5,0))</f>
        <v>0</v>
      </c>
      <c r="GR16" s="75">
        <f>IF($B16=0,0,IF(AND(GP$3=TotalApuestas!GP11,Resultado!GQ$3=TotalApuestas!GQ11),Resultado!GR$5+VLOOKUP(GR$4&amp;"bonus",Aux!$AD$1:$AE$46,2,0),IF(GR$3=TotalApuestas!GR11,GR$5,0)))</f>
        <v>0</v>
      </c>
      <c r="GS16" s="75">
        <f>IF($B16=0,0,IF(GS$3=TotalApuestas!GS11,GS$5,0))</f>
        <v>0</v>
      </c>
      <c r="GT16" s="75">
        <f>IF($B16=0,0,IF(GT$3=TotalApuestas!GT11,GT$5,0))</f>
        <v>0</v>
      </c>
      <c r="GU16" s="75">
        <f>IF($B16=0,0,IF(AND(GS$3=TotalApuestas!GS11,Resultado!GT$3=TotalApuestas!GT11),Resultado!GU$5+VLOOKUP(GU$4&amp;"bonus",Aux!$AD$1:$AE$46,2,0),IF(GU$3=TotalApuestas!GU11,GU$5,0)))</f>
        <v>0</v>
      </c>
      <c r="GV16" s="75">
        <f>IF($B16=0,0,IF(GV$3=TotalApuestas!GV11,GV$5,0))</f>
        <v>0</v>
      </c>
      <c r="GW16" s="75">
        <f>IF($B16=0,0,IF(GW$3=TotalApuestas!GW11,GW$5,0))</f>
        <v>0</v>
      </c>
      <c r="GX16" s="75">
        <f>IF($B16=0,0,IF(AND(GV$3=TotalApuestas!GV11,Resultado!GW$3=TotalApuestas!GW11),Resultado!GX$5+VLOOKUP(GX$4&amp;"bonus",Aux!$AD$1:$AE$46,2,0),IF(GX$3=TotalApuestas!GX11,GX$5,0)))</f>
        <v>0</v>
      </c>
      <c r="GY16" s="75">
        <f>IF($B16=0,0,IF(GY$3=TotalApuestas!GY11,GY$5,0))</f>
        <v>0</v>
      </c>
      <c r="GZ16" s="75">
        <f>IF($B16=0,0,IF(GZ$3=TotalApuestas!GZ11,GZ$5,0))</f>
        <v>0</v>
      </c>
      <c r="HA16" s="75">
        <f>IF($B16=0,0,IF(AND(GY$3=TotalApuestas!GY11,Resultado!GZ$3=TotalApuestas!GZ11),Resultado!HA$5+VLOOKUP(HA$4&amp;"bonus",Aux!$AD$1:$AE$46,2,0),IF(HA$3=TotalApuestas!HA11,HA$5,0)))</f>
        <v>0</v>
      </c>
      <c r="HB16" s="75">
        <f>IF($B16=0,0,IF(HB$3=TotalApuestas!HB11,HB$5,0))</f>
        <v>0</v>
      </c>
      <c r="HC16" s="75">
        <f>IF($B16=0,0,IF(HC$3=TotalApuestas!HC11,HC$5,0))</f>
        <v>0</v>
      </c>
      <c r="HD16" s="75">
        <f>IF($B16=0,0,IF(AND(HB$3=TotalApuestas!HB11,Resultado!HC$3=TotalApuestas!HC11),Resultado!HD$5+VLOOKUP(HD$4&amp;"bonus",Aux!$AD$1:$AE$46,2,0),IF(HD$3=TotalApuestas!HD11,HD$5,0)))</f>
        <v>0</v>
      </c>
      <c r="HE16" s="75">
        <f>IF($B16=0,0,IF(HE$3=TotalApuestas!HE11,HE$5,0))</f>
        <v>0</v>
      </c>
      <c r="HF16" s="75">
        <f>IF($B16=0,0,IF(HF$3=TotalApuestas!HF11,HF$5,0))</f>
        <v>0</v>
      </c>
      <c r="HG16" s="75">
        <f>IF($B16=0,0,IF(AND(HE$3=TotalApuestas!HE11,Resultado!HF$3=TotalApuestas!HF11),Resultado!HG$5+VLOOKUP(HG$4&amp;"bonus",Aux!$AD$1:$AE$46,2,0),IF(HG$3=TotalApuestas!HG11,HG$5,0)))</f>
        <v>0</v>
      </c>
      <c r="HH16" s="75">
        <f>IF($B16=0,0,IF(HH$3=TotalApuestas!HH11,HH$5,0))</f>
        <v>0</v>
      </c>
      <c r="HI16" s="75">
        <f>IF($B16=0,0,IF(HI$3=TotalApuestas!HI11,HI$5,0))</f>
        <v>0</v>
      </c>
      <c r="HJ16" s="75">
        <f>IF($B16=0,0,IF(AND(HH$3=TotalApuestas!HH11,Resultado!HI$3=TotalApuestas!HI11),Resultado!HJ$5+VLOOKUP(HJ$4&amp;"bonus",Aux!$AD$1:$AE$46,2,0),IF(HJ$3=TotalApuestas!HJ11,HJ$5,0)))</f>
        <v>0</v>
      </c>
      <c r="HK16" s="75">
        <f>IF($B16=0,0,IF(HK$3=TotalApuestas!HK11,HK$5,0))</f>
        <v>0</v>
      </c>
      <c r="HL16" s="75">
        <f>IF($B16=0,0,IF(HL$3=TotalApuestas!HL11,HL$5,0))</f>
        <v>0</v>
      </c>
      <c r="HM16" s="75">
        <f>IF($B16=0,0,IF(AND(HK$3=TotalApuestas!HK11,Resultado!HL$3=TotalApuestas!HL11),Resultado!HM$5+VLOOKUP(HM$4&amp;"bonus",Aux!$AD$1:$AE$46,2,0),IF(HM$3=TotalApuestas!HM11,HM$5,0)))</f>
        <v>0</v>
      </c>
      <c r="HN16" s="75">
        <f>IF($B16=0,0,IF(HN$3=TotalApuestas!HN11,HN$5,0))</f>
        <v>0</v>
      </c>
      <c r="HO16" s="75">
        <f>IF($B16=0,0,IF(HO$3=TotalApuestas!HO11,HO$5,0))</f>
        <v>0</v>
      </c>
      <c r="HP16" s="75">
        <f>IF($B16=0,0,IF(AND(HN$3=TotalApuestas!HN11,Resultado!HO$3=TotalApuestas!HO11),Resultado!HP$5+VLOOKUP(HP$4&amp;"bonus",Aux!$AD$1:$AE$46,2,0),IF(HP$3=TotalApuestas!HP11,HP$5,0)))</f>
        <v>0</v>
      </c>
    </row>
    <row r="17" spans="2:224" x14ac:dyDescent="0.25">
      <c r="B17">
        <f>+TotalApuestas!B12</f>
        <v>0</v>
      </c>
      <c r="E17" s="75">
        <f>IF($B17=0,0,IF(E$3=TotalApuestas!E12,E$5,0))</f>
        <v>0</v>
      </c>
      <c r="F17" s="75">
        <f>IF($B17=0,0,IF(F$3=TotalApuestas!F12,F$5,0))</f>
        <v>0</v>
      </c>
      <c r="G17" s="75">
        <f>IF($B17=0,0,IF(AND(E$3=TotalApuestas!E12,Resultado!F$3=TotalApuestas!F12),Resultado!G$5+VLOOKUP(G$4&amp;"bonus",Aux!$AD$1:$AE$46,2,0),IF(G$3=TotalApuestas!G12,G$5,0)))</f>
        <v>0</v>
      </c>
      <c r="H17" s="75">
        <f>IF($B17=0,0,IF(H$3=TotalApuestas!H12,H$5,0))</f>
        <v>0</v>
      </c>
      <c r="I17" s="75">
        <f>IF($B17=0,0,IF(I$3=TotalApuestas!I12,I$5,0))</f>
        <v>0</v>
      </c>
      <c r="J17" s="75">
        <f>IF($B17=0,0,IF(AND(H$3=TotalApuestas!H12,Resultado!I$3=TotalApuestas!I12),Resultado!J$5+VLOOKUP(J$4&amp;"bonus",Aux!$AD$1:$AE$46,2,0),IF(J$3=TotalApuestas!J12,J$5,0)))</f>
        <v>0</v>
      </c>
      <c r="K17" s="75">
        <f>IF($B17=0,0,IF(K$3=TotalApuestas!K12,K$5,0))</f>
        <v>0</v>
      </c>
      <c r="L17" s="75">
        <f>IF($B17=0,0,IF(L$3=TotalApuestas!L12,L$5,0))</f>
        <v>0</v>
      </c>
      <c r="M17" s="75">
        <f>IF($B17=0,0,IF(AND(K$3=TotalApuestas!K12,Resultado!L$3=TotalApuestas!L12),Resultado!M$5+VLOOKUP(M$4&amp;"bonus",Aux!$AD$1:$AE$46,2,0),IF(M$3=TotalApuestas!M12,M$5,0)))</f>
        <v>0</v>
      </c>
      <c r="N17" s="75">
        <f>IF($B17=0,0,IF(N$3=TotalApuestas!N12,N$5,0))</f>
        <v>0</v>
      </c>
      <c r="O17" s="75">
        <f>IF($B17=0,0,IF(O$3=TotalApuestas!O12,O$5,0))</f>
        <v>0</v>
      </c>
      <c r="P17" s="75">
        <f>IF($B17=0,0,IF(AND(N$3=TotalApuestas!N12,Resultado!O$3=TotalApuestas!O12),Resultado!P$5+VLOOKUP(P$4&amp;"bonus",Aux!$AD$1:$AE$46,2,0),IF(P$3=TotalApuestas!P12,P$5,0)))</f>
        <v>0</v>
      </c>
      <c r="Q17" s="75">
        <f>IF($B17=0,0,IF(Q$3=TotalApuestas!Q12,Q$5,0))</f>
        <v>0</v>
      </c>
      <c r="R17" s="75">
        <f>IF($B17=0,0,IF(R$3=TotalApuestas!R12,R$5,0))</f>
        <v>0</v>
      </c>
      <c r="S17" s="75">
        <f>IF($B17=0,0,IF(AND(Q$3=TotalApuestas!Q12,Resultado!R$3=TotalApuestas!R12),Resultado!S$5+VLOOKUP(S$4&amp;"bonus",Aux!$AD$1:$AE$46,2,0),IF(S$3=TotalApuestas!S12,S$5,0)))</f>
        <v>0</v>
      </c>
      <c r="T17" s="75">
        <f>IF($B17=0,0,IF(T$3=TotalApuestas!T12,T$5,0))</f>
        <v>0</v>
      </c>
      <c r="U17" s="75">
        <f>IF($B17=0,0,IF(U$3=TotalApuestas!U12,U$5,0))</f>
        <v>0</v>
      </c>
      <c r="V17" s="75">
        <f>IF($B17=0,0,IF(AND(T$3=TotalApuestas!T12,Resultado!U$3=TotalApuestas!U12),Resultado!V$5+VLOOKUP(V$4&amp;"bonus",Aux!$AD$1:$AE$46,2,0),IF(V$3=TotalApuestas!V12,V$5,0)))</f>
        <v>0</v>
      </c>
      <c r="W17" s="75">
        <f>IF($B17=0,0,IF(W$3=TotalApuestas!W12,W$5,0))</f>
        <v>0</v>
      </c>
      <c r="X17" s="75">
        <f>IF($B17=0,0,IF(X$3=TotalApuestas!X12,X$5,0))</f>
        <v>0</v>
      </c>
      <c r="Y17" s="75">
        <f>IF($B17=0,0,IF(AND(W$3=TotalApuestas!W12,Resultado!X$3=TotalApuestas!X12),Resultado!Y$5+VLOOKUP(Y$4&amp;"bonus",Aux!$AD$1:$AE$46,2,0),IF(Y$3=TotalApuestas!Y12,Y$5,0)))</f>
        <v>0</v>
      </c>
      <c r="Z17" s="75">
        <f>IF($B17=0,0,IF(Z$3=TotalApuestas!Z12,Z$5,0))</f>
        <v>0</v>
      </c>
      <c r="AA17" s="75">
        <f>IF($B17=0,0,IF(AA$3=TotalApuestas!AA12,AA$5,0))</f>
        <v>0</v>
      </c>
      <c r="AB17" s="75">
        <f>IF($B17=0,0,IF(AND(Z$3=TotalApuestas!Z12,Resultado!AA$3=TotalApuestas!AA12),Resultado!AB$5+VLOOKUP(AB$4&amp;"bonus",Aux!$AD$1:$AE$46,2,0),IF(AB$3=TotalApuestas!AB12,AB$5,0)))</f>
        <v>0</v>
      </c>
      <c r="AC17" s="75">
        <f>IF($B17=0,0,IF(AC$3=TotalApuestas!AC12,AC$5,0))</f>
        <v>0</v>
      </c>
      <c r="AD17" s="75">
        <f>IF($B17=0,0,IF(AD$3=TotalApuestas!AD12,AD$5,0))</f>
        <v>0</v>
      </c>
      <c r="AE17" s="75">
        <f>IF($B17=0,0,IF(AND(AC$3=TotalApuestas!AC12,Resultado!AD$3=TotalApuestas!AD12),Resultado!AE$5+VLOOKUP(AE$4&amp;"bonus",Aux!$AD$1:$AE$46,2,0),IF(AE$3=TotalApuestas!AE12,AE$5,0)))</f>
        <v>0</v>
      </c>
      <c r="AF17" s="75">
        <f>IF($B17=0,0,IF(AF$3=TotalApuestas!AF12,AF$5,0))</f>
        <v>0</v>
      </c>
      <c r="AG17" s="75">
        <f>IF($B17=0,0,IF(AG$3=TotalApuestas!AG12,AG$5,0))</f>
        <v>0</v>
      </c>
      <c r="AH17" s="75">
        <f>IF($B17=0,0,IF(AND(AF$3=TotalApuestas!AF12,Resultado!AG$3=TotalApuestas!AG12),Resultado!AH$5+VLOOKUP(AH$4&amp;"bonus",Aux!$AD$1:$AE$46,2,0),IF(AH$3=TotalApuestas!AH12,AH$5,0)))</f>
        <v>0</v>
      </c>
      <c r="AI17" s="75">
        <f>IF($B17=0,0,IF(AI$3=TotalApuestas!AI12,AI$5,0))</f>
        <v>0</v>
      </c>
      <c r="AJ17" s="75">
        <f>IF($B17=0,0,IF(AJ$3=TotalApuestas!AJ12,AJ$5,0))</f>
        <v>0</v>
      </c>
      <c r="AK17" s="75">
        <f>IF($B17=0,0,IF(AND(AI$3=TotalApuestas!AI12,Resultado!AJ$3=TotalApuestas!AJ12),Resultado!AK$5+VLOOKUP(AK$4&amp;"bonus",Aux!$AD$1:$AE$46,2,0),IF(AK$3=TotalApuestas!AK12,AK$5,0)))</f>
        <v>0</v>
      </c>
      <c r="AL17" s="75">
        <f>IF($B17=0,0,IF(AL$3=TotalApuestas!AL12,AL$5,0))</f>
        <v>0</v>
      </c>
      <c r="AM17" s="75">
        <f>IF($B17=0,0,IF(AM$3=TotalApuestas!AM12,AM$5,0))</f>
        <v>0</v>
      </c>
      <c r="AN17" s="75">
        <f>IF($B17=0,0,IF(AND(AL$3=TotalApuestas!AL12,Resultado!AM$3=TotalApuestas!AM12),Resultado!AN$5+VLOOKUP(AN$4&amp;"bonus",Aux!$AD$1:$AE$46,2,0),IF(AN$3=TotalApuestas!AN12,AN$5,0)))</f>
        <v>0</v>
      </c>
      <c r="AO17" s="75">
        <f>IF($B17=0,0,IF(AO$3=TotalApuestas!AO12,AO$5,0))</f>
        <v>0</v>
      </c>
      <c r="AP17" s="75">
        <f>IF($B17=0,0,IF(AP$3=TotalApuestas!AP12,AP$5,0))</f>
        <v>0</v>
      </c>
      <c r="AQ17" s="75">
        <f>IF($B17=0,0,IF(AND(AO$3=TotalApuestas!AO12,Resultado!AP$3=TotalApuestas!AP12),Resultado!AQ$5+VLOOKUP(AQ$4&amp;"bonus",Aux!$AD$1:$AE$46,2,0),IF(AQ$3=TotalApuestas!AQ12,AQ$5,0)))</f>
        <v>0</v>
      </c>
      <c r="AR17" s="75">
        <f>IF($B17=0,0,IF(AR$3=TotalApuestas!AR12,AR$5,0))</f>
        <v>0</v>
      </c>
      <c r="AS17" s="75">
        <f>IF($B17=0,0,IF(AS$3=TotalApuestas!AS12,AS$5,0))</f>
        <v>0</v>
      </c>
      <c r="AT17" s="75">
        <f>IF($B17=0,0,IF(AND(AR$3=TotalApuestas!AR12,Resultado!AS$3=TotalApuestas!AS12),Resultado!AT$5+VLOOKUP(AT$4&amp;"bonus",Aux!$AD$1:$AE$46,2,0),IF(AT$3=TotalApuestas!AT12,AT$5,0)))</f>
        <v>0</v>
      </c>
      <c r="AU17" s="75">
        <f>IF($B17=0,0,IF(AU$3=TotalApuestas!AU12,AU$5,0))</f>
        <v>0</v>
      </c>
      <c r="AV17" s="75">
        <f>IF($B17=0,0,IF(AV$3=TotalApuestas!AV12,AV$5,0))</f>
        <v>0</v>
      </c>
      <c r="AW17" s="75">
        <f>IF($B17=0,0,IF(AND(AU$3=TotalApuestas!AU12,Resultado!AV$3=TotalApuestas!AV12),Resultado!AW$5+VLOOKUP(AW$4&amp;"bonus",Aux!$AD$1:$AE$46,2,0),IF(AW$3=TotalApuestas!AW12,AW$5,0)))</f>
        <v>0</v>
      </c>
      <c r="AX17" s="75">
        <f>IF($B17=0,0,IF(AX$3=TotalApuestas!AX12,AX$5,0))</f>
        <v>0</v>
      </c>
      <c r="AY17" s="75">
        <f>IF($B17=0,0,IF(AY$3=TotalApuestas!AY12,AY$5,0))</f>
        <v>0</v>
      </c>
      <c r="AZ17" s="75">
        <f>IF($B17=0,0,IF(AND(AX$3=TotalApuestas!AX12,Resultado!AY$3=TotalApuestas!AY12),Resultado!AZ$5+VLOOKUP(AZ$4&amp;"bonus",Aux!$AD$1:$AE$46,2,0),IF(AZ$3=TotalApuestas!AZ12,AZ$5,0)))</f>
        <v>0</v>
      </c>
      <c r="BA17" s="75">
        <f>IF($B17=0,0,IF(BA$3=TotalApuestas!BA12,BA$5,0))</f>
        <v>0</v>
      </c>
      <c r="BB17" s="75">
        <f>IF($B17=0,0,IF(BB$3=TotalApuestas!BB12,BB$5,0))</f>
        <v>0</v>
      </c>
      <c r="BC17" s="75">
        <f>IF($B17=0,0,IF(AND(BA$3=TotalApuestas!BA12,Resultado!BB$3=TotalApuestas!BB12),Resultado!BC$5+VLOOKUP(BC$4&amp;"bonus",Aux!$AD$1:$AE$46,2,0),IF(BC$3=TotalApuestas!BC12,BC$5,0)))</f>
        <v>0</v>
      </c>
      <c r="BD17" s="75">
        <f>IF($B17=0,0,IF(BD$3=TotalApuestas!BD12,BD$5,0))</f>
        <v>0</v>
      </c>
      <c r="BE17" s="75">
        <f>IF($B17=0,0,IF(BE$3=TotalApuestas!BE12,BE$5,0))</f>
        <v>0</v>
      </c>
      <c r="BF17" s="75">
        <f>IF($B17=0,0,IF(AND(BD$3=TotalApuestas!BD12,Resultado!BE$3=TotalApuestas!BE12),Resultado!BF$5+VLOOKUP(BF$4&amp;"bonus",Aux!$AD$1:$AE$46,2,0),IF(BF$3=TotalApuestas!BF12,BF$5,0)))</f>
        <v>0</v>
      </c>
      <c r="BG17" s="75">
        <f>IF($B17=0,0,IF(BG$3=TotalApuestas!BG12,BG$5,0))</f>
        <v>0</v>
      </c>
      <c r="BH17" s="75">
        <f>IF($B17=0,0,IF(BH$3=TotalApuestas!BH12,BH$5,0))</f>
        <v>0</v>
      </c>
      <c r="BI17" s="75">
        <f>IF($B17=0,0,IF(AND(BG$3=TotalApuestas!BG12,Resultado!BH$3=TotalApuestas!BH12),Resultado!BI$5+VLOOKUP(BI$4&amp;"bonus",Aux!$AD$1:$AE$46,2,0),IF(BI$3=TotalApuestas!BI12,BI$5,0)))</f>
        <v>0</v>
      </c>
      <c r="BJ17" s="75">
        <f>IF($B17=0,0,IF(BJ$3=TotalApuestas!BJ12,BJ$5,0))</f>
        <v>0</v>
      </c>
      <c r="BK17" s="75">
        <f>IF($B17=0,0,IF(BK$3=TotalApuestas!BK12,BK$5,0))</f>
        <v>0</v>
      </c>
      <c r="BL17" s="75">
        <f>IF($B17=0,0,IF(AND(BJ$3=TotalApuestas!BJ12,Resultado!BK$3=TotalApuestas!BK12),Resultado!BL$5+VLOOKUP(BL$4&amp;"bonus",Aux!$AD$1:$AE$46,2,0),IF(BL$3=TotalApuestas!BL12,BL$5,0)))</f>
        <v>0</v>
      </c>
      <c r="BM17" s="75">
        <f>IF($B17=0,0,IF(BM$3=TotalApuestas!BM12,BM$5,0))</f>
        <v>0</v>
      </c>
      <c r="BN17" s="75">
        <f>IF($B17=0,0,IF(BN$3=TotalApuestas!BN12,BN$5,0))</f>
        <v>0</v>
      </c>
      <c r="BO17" s="75">
        <f>IF($B17=0,0,IF(AND(BM$3=TotalApuestas!BM12,Resultado!BN$3=TotalApuestas!BN12),Resultado!BO$5+VLOOKUP(BO$4&amp;"bonus",Aux!$AD$1:$AE$46,2,0),IF(BO$3=TotalApuestas!BO12,BO$5,0)))</f>
        <v>0</v>
      </c>
      <c r="BP17" s="75">
        <f>IF($B17=0,0,IF(BP$3=TotalApuestas!BP12,BP$5,0))</f>
        <v>0</v>
      </c>
      <c r="BQ17" s="75">
        <f>IF($B17=0,0,IF(BQ$3=TotalApuestas!BQ12,BQ$5,0))</f>
        <v>0</v>
      </c>
      <c r="BR17" s="75">
        <f>IF($B17=0,0,IF(AND(BP$3=TotalApuestas!BP12,Resultado!BQ$3=TotalApuestas!BQ12),Resultado!BR$5+VLOOKUP(BR$4&amp;"bonus",Aux!$AD$1:$AE$46,2,0),IF(BR$3=TotalApuestas!BR12,BR$5,0)))</f>
        <v>0</v>
      </c>
      <c r="BS17" s="75">
        <f>IF($B17=0,0,IF(BS$3=TotalApuestas!BS12,BS$5,0))</f>
        <v>0</v>
      </c>
      <c r="BT17" s="75">
        <f>IF($B17=0,0,IF(BT$3=TotalApuestas!BT12,BT$5,0))</f>
        <v>0</v>
      </c>
      <c r="BU17" s="75">
        <f>IF($B17=0,0,IF(AND(BS$3=TotalApuestas!BS12,Resultado!BT$3=TotalApuestas!BT12),Resultado!BU$5+VLOOKUP(BU$4&amp;"bonus",Aux!$AD$1:$AE$46,2,0),IF(BU$3=TotalApuestas!BU12,BU$5,0)))</f>
        <v>0</v>
      </c>
      <c r="BV17" s="75">
        <f>IF($B17=0,0,IF(BV$3=TotalApuestas!BV12,BV$5,0))</f>
        <v>0</v>
      </c>
      <c r="BW17" s="75">
        <f>IF($B17=0,0,IF(BW$3=TotalApuestas!BW12,BW$5,0))</f>
        <v>0</v>
      </c>
      <c r="BX17" s="75">
        <f>IF($B17=0,0,IF(AND(BV$3=TotalApuestas!BV12,Resultado!BW$3=TotalApuestas!BW12),Resultado!BX$5+VLOOKUP(BX$4&amp;"bonus",Aux!$AD$1:$AE$46,2,0),IF(BX$3=TotalApuestas!BX12,BX$5,0)))</f>
        <v>0</v>
      </c>
      <c r="BY17" s="75">
        <f>IF($B17=0,0,IF(BY$3=TotalApuestas!BY12,BY$5,0))</f>
        <v>0</v>
      </c>
      <c r="BZ17" s="75">
        <f>IF($B17=0,0,IF(BZ$3=TotalApuestas!BZ12,BZ$5,0))</f>
        <v>0</v>
      </c>
      <c r="CA17" s="75">
        <f>IF($B17=0,0,IF(AND(BY$3=TotalApuestas!BY12,Resultado!BZ$3=TotalApuestas!BZ12),Resultado!CA$5+VLOOKUP(CA$4&amp;"bonus",Aux!$AD$1:$AE$46,2,0),IF(CA$3=TotalApuestas!CA12,CA$5,0)))</f>
        <v>0</v>
      </c>
      <c r="CB17" s="75">
        <f>IF($B17=0,0,IF(CB$3=TotalApuestas!CB12,CB$5,0))</f>
        <v>0</v>
      </c>
      <c r="CC17" s="75">
        <f>IF($B17=0,0,IF(CC$3=TotalApuestas!CC12,CC$5,0))</f>
        <v>0</v>
      </c>
      <c r="CD17" s="75">
        <f>IF($B17=0,0,IF(AND(CB$3=TotalApuestas!CB12,Resultado!CC$3=TotalApuestas!CC12),Resultado!CD$5+VLOOKUP(CD$4&amp;"bonus",Aux!$AD$1:$AE$46,2,0),IF(CD$3=TotalApuestas!CD12,CD$5,0)))</f>
        <v>0</v>
      </c>
      <c r="CE17" s="75">
        <f>IF($B17=0,0,IF(CE$3=TotalApuestas!CE12,CE$5,0))</f>
        <v>0</v>
      </c>
      <c r="CF17" s="75">
        <f>IF($B17=0,0,IF(CF$3=TotalApuestas!CF12,CF$5,0))</f>
        <v>0</v>
      </c>
      <c r="CG17" s="75">
        <f>IF($B17=0,0,IF(AND(CE$3=TotalApuestas!CE12,Resultado!CF$3=TotalApuestas!CF12),Resultado!CG$5+VLOOKUP(CG$4&amp;"bonus",Aux!$AD$1:$AE$46,2,0),IF(CG$3=TotalApuestas!CG12,CG$5,0)))</f>
        <v>0</v>
      </c>
      <c r="CH17" s="75">
        <f>IF($B17=0,0,IF(CH$3=TotalApuestas!CH12,CH$5,0))</f>
        <v>0</v>
      </c>
      <c r="CI17" s="75">
        <f>IF($B17=0,0,IF(CI$3=TotalApuestas!CI12,CI$5,0))</f>
        <v>0</v>
      </c>
      <c r="CJ17" s="75">
        <f>IF($B17=0,0,IF(AND(CH$3=TotalApuestas!CH12,Resultado!CI$3=TotalApuestas!CI12),Resultado!CJ$5+VLOOKUP(CJ$4&amp;"bonus",Aux!$AD$1:$AE$46,2,0),IF(CJ$3=TotalApuestas!CJ12,CJ$5,0)))</f>
        <v>0</v>
      </c>
      <c r="CK17" s="75">
        <f>IF($B17=0,0,IF(CK$3=TotalApuestas!CK12,CK$5,0))</f>
        <v>0</v>
      </c>
      <c r="CL17" s="75">
        <f>IF($B17=0,0,IF(CL$3=TotalApuestas!CL12,CL$5,0))</f>
        <v>0</v>
      </c>
      <c r="CM17" s="75">
        <f>IF($B17=0,0,IF(AND(CK$3=TotalApuestas!CK12,Resultado!CL$3=TotalApuestas!CL12),Resultado!CM$5+VLOOKUP(CM$4&amp;"bonus",Aux!$AD$1:$AE$46,2,0),IF(CM$3=TotalApuestas!CM12,CM$5,0)))</f>
        <v>0</v>
      </c>
      <c r="CN17" s="75">
        <f>IF($B17=0,0,IF(CN$3=TotalApuestas!CN12,CN$5,0))</f>
        <v>0</v>
      </c>
      <c r="CO17" s="75">
        <f>IF($B17=0,0,IF(CO$3=TotalApuestas!CO12,CO$5,0))</f>
        <v>0</v>
      </c>
      <c r="CP17" s="75">
        <f>IF($B17=0,0,IF(AND(CN$3=TotalApuestas!CN12,Resultado!CO$3=TotalApuestas!CO12),Resultado!CP$5+VLOOKUP(CP$4&amp;"bonus",Aux!$AD$1:$AE$46,2,0),IF(CP$3=TotalApuestas!CP12,CP$5,0)))</f>
        <v>0</v>
      </c>
      <c r="CQ17" s="75">
        <f>IF($B17=0,0,IF(CQ$3=TotalApuestas!CQ12,CQ$5,0))</f>
        <v>0</v>
      </c>
      <c r="CR17" s="75">
        <f>IF($B17=0,0,IF(CR$3=TotalApuestas!CR12,CR$5,0))</f>
        <v>0</v>
      </c>
      <c r="CS17" s="75">
        <f>IF($B17=0,0,IF(AND(CQ$3=TotalApuestas!CQ12,Resultado!CR$3=TotalApuestas!CR12),Resultado!CS$5+VLOOKUP(CS$4&amp;"bonus",Aux!$AD$1:$AE$46,2,0),IF(CS$3=TotalApuestas!CS12,CS$5,0)))</f>
        <v>0</v>
      </c>
      <c r="CT17" s="75">
        <f>IF($B17=0,0,IF(CT$3=TotalApuestas!CT12,CT$5,0))</f>
        <v>0</v>
      </c>
      <c r="CU17" s="75">
        <f>IF($B17=0,0,IF(CU$3=TotalApuestas!CU12,CU$5,0))</f>
        <v>0</v>
      </c>
      <c r="CV17" s="75">
        <f>IF($B17=0,0,IF(AND(CT$3=TotalApuestas!CT12,Resultado!CU$3=TotalApuestas!CU12),Resultado!CV$5+VLOOKUP(CV$4&amp;"bonus",Aux!$AD$1:$AE$46,2,0),IF(CV$3=TotalApuestas!CV12,CV$5,0)))</f>
        <v>0</v>
      </c>
      <c r="CW17" s="75">
        <f>IF($B17=0,0,IF(CW$3=TotalApuestas!CW12,CW$5,0))</f>
        <v>0</v>
      </c>
      <c r="CX17" s="75">
        <f>IF($B17=0,0,IF(CX$3=TotalApuestas!CX12,CX$5,0))</f>
        <v>0</v>
      </c>
      <c r="CY17" s="75">
        <f>IF($B17=0,0,IF(AND(CW$3=TotalApuestas!CW12,Resultado!CX$3=TotalApuestas!CX12),Resultado!CY$5+VLOOKUP(CY$4&amp;"bonus",Aux!$AD$1:$AE$46,2,0),IF(CY$3=TotalApuestas!CY12,CY$5,0)))</f>
        <v>0</v>
      </c>
      <c r="CZ17" s="75">
        <f>IF($B17=0,0,IF(CZ$3=TotalApuestas!CZ12,CZ$5,0))</f>
        <v>0</v>
      </c>
      <c r="DA17" s="75">
        <f>IF($B17=0,0,IF(DA$3=TotalApuestas!DA12,DA$5,0))</f>
        <v>0</v>
      </c>
      <c r="DB17" s="75">
        <f>IF($B17=0,0,IF(AND(CZ$3=TotalApuestas!CZ12,Resultado!DA$3=TotalApuestas!DA12),Resultado!DB$5+VLOOKUP(DB$4&amp;"bonus",Aux!$AD$1:$AE$46,2,0),IF(DB$3=TotalApuestas!DB12,DB$5,0)))</f>
        <v>0</v>
      </c>
      <c r="DC17" s="75">
        <f>IF($B17=0,0,IF(DC$3=TotalApuestas!DC12,DC$5,0))</f>
        <v>0</v>
      </c>
      <c r="DD17" s="75">
        <f>IF($B17=0,0,IF(DD$3=TotalApuestas!DD12,DD$5,0))</f>
        <v>0</v>
      </c>
      <c r="DE17" s="75">
        <f>IF($B17=0,0,IF(AND(DC$3=TotalApuestas!DC12,Resultado!DD$3=TotalApuestas!DD12),Resultado!DE$5+VLOOKUP(DE$4&amp;"bonus",Aux!$AD$1:$AE$46,2,0),IF(DE$3=TotalApuestas!DE12,DE$5,0)))</f>
        <v>0</v>
      </c>
      <c r="DF17" s="75">
        <f>IF($B17=0,0,IF(DF$3=TotalApuestas!DF12,DF$5,0))</f>
        <v>0</v>
      </c>
      <c r="DG17" s="75">
        <f>IF($B17=0,0,IF(DG$3=TotalApuestas!DG12,DG$5,0))</f>
        <v>0</v>
      </c>
      <c r="DH17" s="75">
        <f>IF($B17=0,0,IF(AND(DF$3=TotalApuestas!DF12,Resultado!DG$3=TotalApuestas!DG12),Resultado!DH$5+VLOOKUP(DH$4&amp;"bonus",Aux!$AD$1:$AE$46,2,0),IF(DH$3=TotalApuestas!DH12,DH$5,0)))</f>
        <v>0</v>
      </c>
      <c r="DI17" s="75">
        <f>IF($B17=0,0,IF(DI$3=TotalApuestas!DI12,DI$5,0))</f>
        <v>0</v>
      </c>
      <c r="DJ17" s="75">
        <f>IF($B17=0,0,IF(DJ$3=TotalApuestas!DJ12,DJ$5,0))</f>
        <v>0</v>
      </c>
      <c r="DK17" s="75">
        <f>IF($B17=0,0,IF(AND(DI$3=TotalApuestas!DI12,Resultado!DJ$3=TotalApuestas!DJ12),Resultado!DK$5+VLOOKUP(DK$4&amp;"bonus",Aux!$AD$1:$AE$46,2,0),IF(DK$3=TotalApuestas!DK12,DK$5,0)))</f>
        <v>0</v>
      </c>
      <c r="DL17" s="75">
        <f>IF($B17=0,0,IF(DL$3=TotalApuestas!DL12,DL$5,0))</f>
        <v>0</v>
      </c>
      <c r="DM17" s="75">
        <f>IF($B17=0,0,IF(DM$3=TotalApuestas!DM12,DM$5,0))</f>
        <v>0</v>
      </c>
      <c r="DN17" s="75">
        <f>IF($B17=0,0,IF(AND(DL$3=TotalApuestas!DL12,Resultado!DM$3=TotalApuestas!DM12),Resultado!DN$5+VLOOKUP(DN$4&amp;"bonus",Aux!$AD$1:$AE$46,2,0),IF(DN$3=TotalApuestas!DN12,DN$5,0)))</f>
        <v>0</v>
      </c>
      <c r="DO17" s="75">
        <f>IF($B17=0,0,IF(DO$3=TotalApuestas!DO12,DO$5,0))</f>
        <v>0</v>
      </c>
      <c r="DP17" s="75">
        <f>IF($B17=0,0,IF(DP$3=TotalApuestas!DP12,DP$5,0))</f>
        <v>0</v>
      </c>
      <c r="DQ17" s="75">
        <f>IF($B17=0,0,IF(AND(DO$3=TotalApuestas!DO12,Resultado!DP$3=TotalApuestas!DP12),Resultado!DQ$5+VLOOKUP(DQ$4&amp;"bonus",Aux!$AD$1:$AE$46,2,0),IF(DQ$3=TotalApuestas!DQ12,DQ$5,0)))</f>
        <v>0</v>
      </c>
      <c r="DR17" s="75">
        <f>IF($B17=0,0,IF(DR$3=TotalApuestas!DR12,DR$5,0))</f>
        <v>0</v>
      </c>
      <c r="DS17" s="75">
        <f>IF($B17=0,0,IF(DS$3=TotalApuestas!DS12,DS$5,0))</f>
        <v>0</v>
      </c>
      <c r="DT17" s="75">
        <f>IF($B17=0,0,IF(AND(DR$3=TotalApuestas!DR12,Resultado!DS$3=TotalApuestas!DS12),Resultado!DT$5+VLOOKUP(DT$4&amp;"bonus",Aux!$AD$1:$AE$46,2,0),IF(DT$3=TotalApuestas!DT12,DT$5,0)))</f>
        <v>0</v>
      </c>
      <c r="DU17" s="75">
        <f>IF($B17=0,0,IF(DU$3=TotalApuestas!DU12,DU$5,0))</f>
        <v>0</v>
      </c>
      <c r="DV17" s="75">
        <f>IF($B17=0,0,IF(DV$3=TotalApuestas!DV12,DV$5,0))</f>
        <v>0</v>
      </c>
      <c r="DW17" s="75">
        <f>IF($B17=0,0,IF(AND(DU$3=TotalApuestas!DU12,Resultado!DV$3=TotalApuestas!DV12),Resultado!DW$5+VLOOKUP(DW$4&amp;"bonus",Aux!$AD$1:$AE$46,2,0),IF(DW$3=TotalApuestas!DW12,DW$5,0)))</f>
        <v>0</v>
      </c>
      <c r="DX17" s="75">
        <f>IF($B17=0,0,IF(DX$3=TotalApuestas!DX12,DX$5,0))</f>
        <v>0</v>
      </c>
      <c r="DY17" s="75">
        <f>IF($B17=0,0,IF(DY$3=TotalApuestas!DY12,DY$5,0))</f>
        <v>0</v>
      </c>
      <c r="DZ17" s="75">
        <f>IF($B17=0,0,IF(AND(DX$3=TotalApuestas!DX12,Resultado!DY$3=TotalApuestas!DY12),Resultado!DZ$5+VLOOKUP(DZ$4&amp;"bonus",Aux!$AD$1:$AE$46,2,0),IF(DZ$3=TotalApuestas!DZ12,DZ$5,0)))</f>
        <v>0</v>
      </c>
      <c r="EA17" s="75">
        <f>IF($B17=0,0,IF(EA$3=TotalApuestas!EA12,EA$5,0))</f>
        <v>0</v>
      </c>
      <c r="EB17" s="75">
        <f>IF($B17=0,0,IF(EB$3=TotalApuestas!EB12,EB$5,0))</f>
        <v>0</v>
      </c>
      <c r="EC17" s="75">
        <f>IF($B17=0,0,IF(AND(EA$3=TotalApuestas!EA12,Resultado!EB$3=TotalApuestas!EB12),Resultado!EC$5+VLOOKUP(EC$4&amp;"bonus",Aux!$AD$1:$AE$46,2,0),IF(EC$3=TotalApuestas!EC12,EC$5,0)))</f>
        <v>0</v>
      </c>
      <c r="ED17" s="75">
        <f>IF($B17=0,0,IF(ED$3=TotalApuestas!ED12,ED$5,0))</f>
        <v>0</v>
      </c>
      <c r="EE17" s="75">
        <f>IF($B17=0,0,IF(EE$3=TotalApuestas!EE12,EE$5,0))</f>
        <v>0</v>
      </c>
      <c r="EF17" s="75">
        <f>IF($B17=0,0,IF(AND(ED$3=TotalApuestas!ED12,Resultado!EE$3=TotalApuestas!EE12),Resultado!EF$5+VLOOKUP(EF$4&amp;"bonus",Aux!$AD$1:$AE$46,2,0),IF(EF$3=TotalApuestas!EF12,EF$5,0)))</f>
        <v>0</v>
      </c>
      <c r="EG17" s="75">
        <f>IF($B17=0,0,IF(EG$3=TotalApuestas!EG12,EG$5,0))</f>
        <v>0</v>
      </c>
      <c r="EH17" s="75">
        <f>IF($B17=0,0,IF(EH$3=TotalApuestas!EH12,EH$5,0))</f>
        <v>0</v>
      </c>
      <c r="EI17" s="75">
        <f>IF($B17=0,0,IF(AND(EG$3=TotalApuestas!EG12,Resultado!EH$3=TotalApuestas!EH12),Resultado!EI$5+VLOOKUP(EI$4&amp;"bonus",Aux!$AD$1:$AE$46,2,0),IF(EI$3=TotalApuestas!EI12,EI$5,0)))</f>
        <v>0</v>
      </c>
      <c r="EJ17" s="75">
        <f>IF($B17=0,0,IF(EJ$3=TotalApuestas!EJ12,EJ$5,0))</f>
        <v>0</v>
      </c>
      <c r="EK17" s="75">
        <f>IF($B17=0,0,IF(EK$3=TotalApuestas!EK12,EK$5,0))</f>
        <v>0</v>
      </c>
      <c r="EL17" s="75">
        <f>IF($B17=0,0,IF(AND(EJ$3=TotalApuestas!EJ12,Resultado!EK$3=TotalApuestas!EK12),Resultado!EL$5+VLOOKUP(EL$4&amp;"bonus",Aux!$AD$1:$AE$46,2,0),IF(EL$3=TotalApuestas!EL12,EL$5,0)))</f>
        <v>0</v>
      </c>
      <c r="EM17" s="75">
        <f>IF($B17=0,0,IF(EM$3=TotalApuestas!EM12,EM$5,0))</f>
        <v>0</v>
      </c>
      <c r="EN17" s="75">
        <f>IF($B17=0,0,IF(EN$3=TotalApuestas!EN12,EN$5,0))</f>
        <v>0</v>
      </c>
      <c r="EO17" s="75">
        <f>IF($B17=0,0,IF(AND(EM$3=TotalApuestas!EM12,Resultado!EN$3=TotalApuestas!EN12),Resultado!EO$5+VLOOKUP(EO$4&amp;"bonus",Aux!$AD$1:$AE$46,2,0),IF(EO$3=TotalApuestas!EO12,EO$5,0)))</f>
        <v>0</v>
      </c>
      <c r="EP17" s="75">
        <f>IF($B17=0,0,IF(EP$3=TotalApuestas!EP12,EP$5,0))</f>
        <v>0</v>
      </c>
      <c r="EQ17" s="75">
        <f>IF($B17=0,0,IF(EQ$3=TotalApuestas!EQ12,EQ$5,0))</f>
        <v>0</v>
      </c>
      <c r="ER17" s="75">
        <f>IF($B17=0,0,IF(AND(EP$3=TotalApuestas!EP12,Resultado!EQ$3=TotalApuestas!EQ12),Resultado!ER$5+VLOOKUP(ER$4&amp;"bonus",Aux!$AD$1:$AE$46,2,0),IF(ER$3=TotalApuestas!ER12,ER$5,0)))</f>
        <v>0</v>
      </c>
      <c r="ES17" s="75">
        <f>IF($B17=0,0,IF(ES$3=TotalApuestas!ES12,ES$5,0))</f>
        <v>0</v>
      </c>
      <c r="ET17" s="75">
        <f>IF($B17=0,0,IF(ET$3=TotalApuestas!ET12,ET$5,0))</f>
        <v>0</v>
      </c>
      <c r="EU17" s="75">
        <f>IF($B17=0,0,IF(EU$3=TotalApuestas!EU12,EU$5,0))</f>
        <v>0</v>
      </c>
      <c r="EV17" s="75">
        <f>IF($B17=0,0,IF(EV$3=TotalApuestas!EV12,EV$5,0))</f>
        <v>0</v>
      </c>
      <c r="EW17" s="75">
        <f>IF($B17=0,0,IF(EW$3=TotalApuestas!EW12,EW$5,0))</f>
        <v>0</v>
      </c>
      <c r="EX17" s="75">
        <f>IF($B17=0,0,IF(EX$3=TotalApuestas!EX12,EX$5,0))</f>
        <v>0</v>
      </c>
      <c r="EY17" s="75">
        <f>IF($B17=0,0,IF(EY$3=TotalApuestas!EY12,EY$5,0))</f>
        <v>0</v>
      </c>
      <c r="EZ17" s="75">
        <f>IF($B17=0,0,IF(EZ$3=TotalApuestas!EZ12,EZ$5,0))</f>
        <v>0</v>
      </c>
      <c r="FA17" s="75">
        <f>IF($B17=0,0,IF(FA$3=TotalApuestas!FA12,FA$5,0))</f>
        <v>0</v>
      </c>
      <c r="FB17" s="75">
        <f>IF($B17=0,0,IF(FB$3=TotalApuestas!FB12,FB$5,0))</f>
        <v>0</v>
      </c>
      <c r="FC17" s="75">
        <f>IF($B17=0,0,IF(FC$3=TotalApuestas!FC12,FC$5,0))</f>
        <v>0</v>
      </c>
      <c r="FD17" s="75">
        <f>IF($B17=0,0,IF(FD$3=TotalApuestas!FD12,FD$5,0))</f>
        <v>0</v>
      </c>
      <c r="FE17" s="75">
        <f>IF($B17=0,0,IF(FE$3=TotalApuestas!FE12,FE$5,0))</f>
        <v>0</v>
      </c>
      <c r="FF17" s="75">
        <f>IF($B17=0,0,IF(FF$3=TotalApuestas!FF12,FF$5,0))</f>
        <v>0</v>
      </c>
      <c r="FG17" s="75">
        <f>IF($B17=0,0,IF(FG$3=TotalApuestas!FG12,FG$5,0))</f>
        <v>0</v>
      </c>
      <c r="FH17" s="75">
        <f>IF($B17=0,0,IF(FH$3=TotalApuestas!FH12,FH$5,0))</f>
        <v>0</v>
      </c>
      <c r="FI17" s="75">
        <f>IF($B17=0,0,IF(FI$3=TotalApuestas!FI12,FI$5,0))</f>
        <v>0</v>
      </c>
      <c r="FJ17" s="75">
        <f>IF($B17=0,0,IF(FJ$3=TotalApuestas!FJ12,FJ$5,0))</f>
        <v>0</v>
      </c>
      <c r="FK17" s="75">
        <f>IF($B17=0,0,IF(FK$3=TotalApuestas!FK12,FK$5,0))</f>
        <v>0</v>
      </c>
      <c r="FL17" s="75">
        <f>IF($B17=0,0,IF(FL$3=TotalApuestas!FL12,FL$5,0))</f>
        <v>0</v>
      </c>
      <c r="FM17" s="75">
        <f>IF($B17=0,0,IF(FM$3=TotalApuestas!FM12,FM$5,0))</f>
        <v>0</v>
      </c>
      <c r="FN17" s="75">
        <f>IF($B17=0,0,IF(FN$3=TotalApuestas!FN12,FN$5,0))</f>
        <v>0</v>
      </c>
      <c r="FO17" s="75">
        <f>IF($B17=0,0,IF(FO$3=TotalApuestas!FO12,FO$5,0))</f>
        <v>0</v>
      </c>
      <c r="FP17" s="75">
        <f>IF($B17=0,0,IF(FP$3=TotalApuestas!FP12,FP$5,0))</f>
        <v>0</v>
      </c>
      <c r="FQ17" s="75">
        <f>IF($B17=0,0,IF(FQ$3=TotalApuestas!FQ12,FQ$5,0))</f>
        <v>0</v>
      </c>
      <c r="FR17" s="75">
        <f>IF($B17=0,0,IF(FR$3=TotalApuestas!FR12,FR$5,0))</f>
        <v>0</v>
      </c>
      <c r="FS17" s="75">
        <f>IF($B17=0,0,IF(FS$3=TotalApuestas!FS12,FS$5,0))</f>
        <v>0</v>
      </c>
      <c r="FT17" s="75">
        <f>IF($B17=0,0,IF(FT$3=TotalApuestas!FT12,FT$5,0))</f>
        <v>0</v>
      </c>
      <c r="FU17" s="75">
        <f>IF($B17=0,0,IF(FU$3=TotalApuestas!FU12,FU$5,0))</f>
        <v>0</v>
      </c>
      <c r="FV17" s="75">
        <f>IF($B17=0,0,IF(FV$3=TotalApuestas!FV12,FV$5,0))</f>
        <v>0</v>
      </c>
      <c r="FW17" s="75">
        <f>IF($B17=0,0,IF(FW$3=TotalApuestas!FW12,FW$5,0))</f>
        <v>0</v>
      </c>
      <c r="FX17" s="75">
        <f>IF($B17=0,0,IF(FX$3=TotalApuestas!FX12,FX$5,0))</f>
        <v>0</v>
      </c>
      <c r="FY17" s="75">
        <f>IF($B17=0,0,IF(FY$3=TotalApuestas!FY12,FY$5,0))</f>
        <v>0</v>
      </c>
      <c r="FZ17" s="75">
        <f>IF($B17=0,0,IF(AND(FX$3=TotalApuestas!FX12,Resultado!FY$3=TotalApuestas!FY12),Resultado!FZ$5+VLOOKUP(FZ$4&amp;"bonus",Aux!$AD$1:$AE$46,2,0),IF(FZ$3=TotalApuestas!FZ12,FZ$5,0)))</f>
        <v>0</v>
      </c>
      <c r="GA17" s="75">
        <f>IF($B17=0,0,IF(GA$3=TotalApuestas!GA12,GA$5,0))</f>
        <v>0</v>
      </c>
      <c r="GB17" s="75">
        <f>IF($B17=0,0,IF(GB$3=TotalApuestas!GB12,GB$5,0))</f>
        <v>0</v>
      </c>
      <c r="GC17" s="75">
        <f>IF($B17=0,0,IF(AND(GA$3=TotalApuestas!GA12,Resultado!GB$3=TotalApuestas!GB12),Resultado!GC$5+VLOOKUP(GC$4&amp;"bonus",Aux!$AD$1:$AE$46,2,0),IF(GC$3=TotalApuestas!GC12,GC$5,0)))</f>
        <v>0</v>
      </c>
      <c r="GD17" s="75">
        <f>IF($B17=0,0,IF(GD$3=TotalApuestas!GD12,GD$5,0))</f>
        <v>0</v>
      </c>
      <c r="GE17" s="75">
        <f>IF($B17=0,0,IF(GE$3=TotalApuestas!GE12,GE$5,0))</f>
        <v>0</v>
      </c>
      <c r="GF17" s="75">
        <f>IF($B17=0,0,IF(AND(GD$3=TotalApuestas!GD12,Resultado!GE$3=TotalApuestas!GE12),Resultado!GF$5+VLOOKUP(GF$4&amp;"bonus",Aux!$AD$1:$AE$46,2,0),IF(GF$3=TotalApuestas!GF12,GF$5,0)))</f>
        <v>0</v>
      </c>
      <c r="GG17" s="75">
        <f>IF($B17=0,0,IF(GG$3=TotalApuestas!GG12,GG$5,0))</f>
        <v>0</v>
      </c>
      <c r="GH17" s="75">
        <f>IF($B17=0,0,IF(GH$3=TotalApuestas!GH12,GH$5,0))</f>
        <v>0</v>
      </c>
      <c r="GI17" s="75">
        <f>IF($B17=0,0,IF(AND(GG$3=TotalApuestas!GG12,Resultado!GH$3=TotalApuestas!GH12),Resultado!GI$5+VLOOKUP(GI$4&amp;"bonus",Aux!$AD$1:$AE$46,2,0),IF(GI$3=TotalApuestas!GI12,GI$5,0)))</f>
        <v>0</v>
      </c>
      <c r="GJ17" s="75">
        <f>IF($B17=0,0,IF(GJ$3=TotalApuestas!GJ12,GJ$5,0))</f>
        <v>0</v>
      </c>
      <c r="GK17" s="75">
        <f>IF($B17=0,0,IF(GK$3=TotalApuestas!GK12,GK$5,0))</f>
        <v>0</v>
      </c>
      <c r="GL17" s="75">
        <f>IF($B17=0,0,IF(AND(GJ$3=TotalApuestas!GJ12,Resultado!GK$3=TotalApuestas!GK12),Resultado!GL$5+VLOOKUP(GL$4&amp;"bonus",Aux!$AD$1:$AE$46,2,0),IF(GL$3=TotalApuestas!GL12,GL$5,0)))</f>
        <v>0</v>
      </c>
      <c r="GM17" s="75">
        <f>IF($B17=0,0,IF(GM$3=TotalApuestas!GM12,GM$5,0))</f>
        <v>0</v>
      </c>
      <c r="GN17" s="75">
        <f>IF($B17=0,0,IF(GN$3=TotalApuestas!GN12,GN$5,0))</f>
        <v>0</v>
      </c>
      <c r="GO17" s="75">
        <f>IF($B17=0,0,IF(AND(GM$3=TotalApuestas!GM12,Resultado!GN$3=TotalApuestas!GN12),Resultado!GO$5+VLOOKUP(GO$4&amp;"bonus",Aux!$AD$1:$AE$46,2,0),IF(GO$3=TotalApuestas!GO12,GO$5,0)))</f>
        <v>0</v>
      </c>
      <c r="GP17" s="75">
        <f>IF($B17=0,0,IF(GP$3=TotalApuestas!GP12,GP$5,0))</f>
        <v>0</v>
      </c>
      <c r="GQ17" s="75">
        <f>IF($B17=0,0,IF(GQ$3=TotalApuestas!GQ12,GQ$5,0))</f>
        <v>0</v>
      </c>
      <c r="GR17" s="75">
        <f>IF($B17=0,0,IF(AND(GP$3=TotalApuestas!GP12,Resultado!GQ$3=TotalApuestas!GQ12),Resultado!GR$5+VLOOKUP(GR$4&amp;"bonus",Aux!$AD$1:$AE$46,2,0),IF(GR$3=TotalApuestas!GR12,GR$5,0)))</f>
        <v>0</v>
      </c>
      <c r="GS17" s="75">
        <f>IF($B17=0,0,IF(GS$3=TotalApuestas!GS12,GS$5,0))</f>
        <v>0</v>
      </c>
      <c r="GT17" s="75">
        <f>IF($B17=0,0,IF(GT$3=TotalApuestas!GT12,GT$5,0))</f>
        <v>0</v>
      </c>
      <c r="GU17" s="75">
        <f>IF($B17=0,0,IF(AND(GS$3=TotalApuestas!GS12,Resultado!GT$3=TotalApuestas!GT12),Resultado!GU$5+VLOOKUP(GU$4&amp;"bonus",Aux!$AD$1:$AE$46,2,0),IF(GU$3=TotalApuestas!GU12,GU$5,0)))</f>
        <v>0</v>
      </c>
      <c r="GV17" s="75">
        <f>IF($B17=0,0,IF(GV$3=TotalApuestas!GV12,GV$5,0))</f>
        <v>0</v>
      </c>
      <c r="GW17" s="75">
        <f>IF($B17=0,0,IF(GW$3=TotalApuestas!GW12,GW$5,0))</f>
        <v>0</v>
      </c>
      <c r="GX17" s="75">
        <f>IF($B17=0,0,IF(AND(GV$3=TotalApuestas!GV12,Resultado!GW$3=TotalApuestas!GW12),Resultado!GX$5+VLOOKUP(GX$4&amp;"bonus",Aux!$AD$1:$AE$46,2,0),IF(GX$3=TotalApuestas!GX12,GX$5,0)))</f>
        <v>0</v>
      </c>
      <c r="GY17" s="75">
        <f>IF($B17=0,0,IF(GY$3=TotalApuestas!GY12,GY$5,0))</f>
        <v>0</v>
      </c>
      <c r="GZ17" s="75">
        <f>IF($B17=0,0,IF(GZ$3=TotalApuestas!GZ12,GZ$5,0))</f>
        <v>0</v>
      </c>
      <c r="HA17" s="75">
        <f>IF($B17=0,0,IF(AND(GY$3=TotalApuestas!GY12,Resultado!GZ$3=TotalApuestas!GZ12),Resultado!HA$5+VLOOKUP(HA$4&amp;"bonus",Aux!$AD$1:$AE$46,2,0),IF(HA$3=TotalApuestas!HA12,HA$5,0)))</f>
        <v>0</v>
      </c>
      <c r="HB17" s="75">
        <f>IF($B17=0,0,IF(HB$3=TotalApuestas!HB12,HB$5,0))</f>
        <v>0</v>
      </c>
      <c r="HC17" s="75">
        <f>IF($B17=0,0,IF(HC$3=TotalApuestas!HC12,HC$5,0))</f>
        <v>0</v>
      </c>
      <c r="HD17" s="75">
        <f>IF($B17=0,0,IF(AND(HB$3=TotalApuestas!HB12,Resultado!HC$3=TotalApuestas!HC12),Resultado!HD$5+VLOOKUP(HD$4&amp;"bonus",Aux!$AD$1:$AE$46,2,0),IF(HD$3=TotalApuestas!HD12,HD$5,0)))</f>
        <v>0</v>
      </c>
      <c r="HE17" s="75">
        <f>IF($B17=0,0,IF(HE$3=TotalApuestas!HE12,HE$5,0))</f>
        <v>0</v>
      </c>
      <c r="HF17" s="75">
        <f>IF($B17=0,0,IF(HF$3=TotalApuestas!HF12,HF$5,0))</f>
        <v>0</v>
      </c>
      <c r="HG17" s="75">
        <f>IF($B17=0,0,IF(AND(HE$3=TotalApuestas!HE12,Resultado!HF$3=TotalApuestas!HF12),Resultado!HG$5+VLOOKUP(HG$4&amp;"bonus",Aux!$AD$1:$AE$46,2,0),IF(HG$3=TotalApuestas!HG12,HG$5,0)))</f>
        <v>0</v>
      </c>
      <c r="HH17" s="75">
        <f>IF($B17=0,0,IF(HH$3=TotalApuestas!HH12,HH$5,0))</f>
        <v>0</v>
      </c>
      <c r="HI17" s="75">
        <f>IF($B17=0,0,IF(HI$3=TotalApuestas!HI12,HI$5,0))</f>
        <v>0</v>
      </c>
      <c r="HJ17" s="75">
        <f>IF($B17=0,0,IF(AND(HH$3=TotalApuestas!HH12,Resultado!HI$3=TotalApuestas!HI12),Resultado!HJ$5+VLOOKUP(HJ$4&amp;"bonus",Aux!$AD$1:$AE$46,2,0),IF(HJ$3=TotalApuestas!HJ12,HJ$5,0)))</f>
        <v>0</v>
      </c>
      <c r="HK17" s="75">
        <f>IF($B17=0,0,IF(HK$3=TotalApuestas!HK12,HK$5,0))</f>
        <v>0</v>
      </c>
      <c r="HL17" s="75">
        <f>IF($B17=0,0,IF(HL$3=TotalApuestas!HL12,HL$5,0))</f>
        <v>0</v>
      </c>
      <c r="HM17" s="75">
        <f>IF($B17=0,0,IF(AND(HK$3=TotalApuestas!HK12,Resultado!HL$3=TotalApuestas!HL12),Resultado!HM$5+VLOOKUP(HM$4&amp;"bonus",Aux!$AD$1:$AE$46,2,0),IF(HM$3=TotalApuestas!HM12,HM$5,0)))</f>
        <v>0</v>
      </c>
      <c r="HN17" s="75">
        <f>IF($B17=0,0,IF(HN$3=TotalApuestas!HN12,HN$5,0))</f>
        <v>0</v>
      </c>
      <c r="HO17" s="75">
        <f>IF($B17=0,0,IF(HO$3=TotalApuestas!HO12,HO$5,0))</f>
        <v>0</v>
      </c>
      <c r="HP17" s="75">
        <f>IF($B17=0,0,IF(AND(HN$3=TotalApuestas!HN12,Resultado!HO$3=TotalApuestas!HO12),Resultado!HP$5+VLOOKUP(HP$4&amp;"bonus",Aux!$AD$1:$AE$46,2,0),IF(HP$3=TotalApuestas!HP12,HP$5,0)))</f>
        <v>0</v>
      </c>
    </row>
    <row r="18" spans="2:224" x14ac:dyDescent="0.25">
      <c r="B18">
        <f>+TotalApuestas!B13</f>
        <v>0</v>
      </c>
      <c r="E18" s="75">
        <f>IF($B18=0,0,IF(E$3=TotalApuestas!E13,E$5,0))</f>
        <v>0</v>
      </c>
      <c r="F18" s="75">
        <f>IF($B18=0,0,IF(F$3=TotalApuestas!F13,F$5,0))</f>
        <v>0</v>
      </c>
      <c r="G18" s="75">
        <f>IF($B18=0,0,IF(AND(E$3=TotalApuestas!E13,Resultado!F$3=TotalApuestas!F13),Resultado!G$5+VLOOKUP(G$4&amp;"bonus",Aux!$AD$1:$AE$46,2,0),IF(G$3=TotalApuestas!G13,G$5,0)))</f>
        <v>0</v>
      </c>
      <c r="H18" s="75">
        <f>IF($B18=0,0,IF(H$3=TotalApuestas!H13,H$5,0))</f>
        <v>0</v>
      </c>
      <c r="I18" s="75">
        <f>IF($B18=0,0,IF(I$3=TotalApuestas!I13,I$5,0))</f>
        <v>0</v>
      </c>
      <c r="J18" s="75">
        <f>IF($B18=0,0,IF(AND(H$3=TotalApuestas!H13,Resultado!I$3=TotalApuestas!I13),Resultado!J$5+VLOOKUP(J$4&amp;"bonus",Aux!$AD$1:$AE$46,2,0),IF(J$3=TotalApuestas!J13,J$5,0)))</f>
        <v>0</v>
      </c>
      <c r="K18" s="75">
        <f>IF($B18=0,0,IF(K$3=TotalApuestas!K13,K$5,0))</f>
        <v>0</v>
      </c>
      <c r="L18" s="75">
        <f>IF($B18=0,0,IF(L$3=TotalApuestas!L13,L$5,0))</f>
        <v>0</v>
      </c>
      <c r="M18" s="75">
        <f>IF($B18=0,0,IF(AND(K$3=TotalApuestas!K13,Resultado!L$3=TotalApuestas!L13),Resultado!M$5+VLOOKUP(M$4&amp;"bonus",Aux!$AD$1:$AE$46,2,0),IF(M$3=TotalApuestas!M13,M$5,0)))</f>
        <v>0</v>
      </c>
      <c r="N18" s="75">
        <f>IF($B18=0,0,IF(N$3=TotalApuestas!N13,N$5,0))</f>
        <v>0</v>
      </c>
      <c r="O18" s="75">
        <f>IF($B18=0,0,IF(O$3=TotalApuestas!O13,O$5,0))</f>
        <v>0</v>
      </c>
      <c r="P18" s="75">
        <f>IF($B18=0,0,IF(AND(N$3=TotalApuestas!N13,Resultado!O$3=TotalApuestas!O13),Resultado!P$5+VLOOKUP(P$4&amp;"bonus",Aux!$AD$1:$AE$46,2,0),IF(P$3=TotalApuestas!P13,P$5,0)))</f>
        <v>0</v>
      </c>
      <c r="Q18" s="75">
        <f>IF($B18=0,0,IF(Q$3=TotalApuestas!Q13,Q$5,0))</f>
        <v>0</v>
      </c>
      <c r="R18" s="75">
        <f>IF($B18=0,0,IF(R$3=TotalApuestas!R13,R$5,0))</f>
        <v>0</v>
      </c>
      <c r="S18" s="75">
        <f>IF($B18=0,0,IF(AND(Q$3=TotalApuestas!Q13,Resultado!R$3=TotalApuestas!R13),Resultado!S$5+VLOOKUP(S$4&amp;"bonus",Aux!$AD$1:$AE$46,2,0),IF(S$3=TotalApuestas!S13,S$5,0)))</f>
        <v>0</v>
      </c>
      <c r="T18" s="75">
        <f>IF($B18=0,0,IF(T$3=TotalApuestas!T13,T$5,0))</f>
        <v>0</v>
      </c>
      <c r="U18" s="75">
        <f>IF($B18=0,0,IF(U$3=TotalApuestas!U13,U$5,0))</f>
        <v>0</v>
      </c>
      <c r="V18" s="75">
        <f>IF($B18=0,0,IF(AND(T$3=TotalApuestas!T13,Resultado!U$3=TotalApuestas!U13),Resultado!V$5+VLOOKUP(V$4&amp;"bonus",Aux!$AD$1:$AE$46,2,0),IF(V$3=TotalApuestas!V13,V$5,0)))</f>
        <v>0</v>
      </c>
      <c r="W18" s="75">
        <f>IF($B18=0,0,IF(W$3=TotalApuestas!W13,W$5,0))</f>
        <v>0</v>
      </c>
      <c r="X18" s="75">
        <f>IF($B18=0,0,IF(X$3=TotalApuestas!X13,X$5,0))</f>
        <v>0</v>
      </c>
      <c r="Y18" s="75">
        <f>IF($B18=0,0,IF(AND(W$3=TotalApuestas!W13,Resultado!X$3=TotalApuestas!X13),Resultado!Y$5+VLOOKUP(Y$4&amp;"bonus",Aux!$AD$1:$AE$46,2,0),IF(Y$3=TotalApuestas!Y13,Y$5,0)))</f>
        <v>0</v>
      </c>
      <c r="Z18" s="75">
        <f>IF($B18=0,0,IF(Z$3=TotalApuestas!Z13,Z$5,0))</f>
        <v>0</v>
      </c>
      <c r="AA18" s="75">
        <f>IF($B18=0,0,IF(AA$3=TotalApuestas!AA13,AA$5,0))</f>
        <v>0</v>
      </c>
      <c r="AB18" s="75">
        <f>IF($B18=0,0,IF(AND(Z$3=TotalApuestas!Z13,Resultado!AA$3=TotalApuestas!AA13),Resultado!AB$5+VLOOKUP(AB$4&amp;"bonus",Aux!$AD$1:$AE$46,2,0),IF(AB$3=TotalApuestas!AB13,AB$5,0)))</f>
        <v>0</v>
      </c>
      <c r="AC18" s="75">
        <f>IF($B18=0,0,IF(AC$3=TotalApuestas!AC13,AC$5,0))</f>
        <v>0</v>
      </c>
      <c r="AD18" s="75">
        <f>IF($B18=0,0,IF(AD$3=TotalApuestas!AD13,AD$5,0))</f>
        <v>0</v>
      </c>
      <c r="AE18" s="75">
        <f>IF($B18=0,0,IF(AND(AC$3=TotalApuestas!AC13,Resultado!AD$3=TotalApuestas!AD13),Resultado!AE$5+VLOOKUP(AE$4&amp;"bonus",Aux!$AD$1:$AE$46,2,0),IF(AE$3=TotalApuestas!AE13,AE$5,0)))</f>
        <v>0</v>
      </c>
      <c r="AF18" s="75">
        <f>IF($B18=0,0,IF(AF$3=TotalApuestas!AF13,AF$5,0))</f>
        <v>0</v>
      </c>
      <c r="AG18" s="75">
        <f>IF($B18=0,0,IF(AG$3=TotalApuestas!AG13,AG$5,0))</f>
        <v>0</v>
      </c>
      <c r="AH18" s="75">
        <f>IF($B18=0,0,IF(AND(AF$3=TotalApuestas!AF13,Resultado!AG$3=TotalApuestas!AG13),Resultado!AH$5+VLOOKUP(AH$4&amp;"bonus",Aux!$AD$1:$AE$46,2,0),IF(AH$3=TotalApuestas!AH13,AH$5,0)))</f>
        <v>0</v>
      </c>
      <c r="AI18" s="75">
        <f>IF($B18=0,0,IF(AI$3=TotalApuestas!AI13,AI$5,0))</f>
        <v>0</v>
      </c>
      <c r="AJ18" s="75">
        <f>IF($B18=0,0,IF(AJ$3=TotalApuestas!AJ13,AJ$5,0))</f>
        <v>0</v>
      </c>
      <c r="AK18" s="75">
        <f>IF($B18=0,0,IF(AND(AI$3=TotalApuestas!AI13,Resultado!AJ$3=TotalApuestas!AJ13),Resultado!AK$5+VLOOKUP(AK$4&amp;"bonus",Aux!$AD$1:$AE$46,2,0),IF(AK$3=TotalApuestas!AK13,AK$5,0)))</f>
        <v>0</v>
      </c>
      <c r="AL18" s="75">
        <f>IF($B18=0,0,IF(AL$3=TotalApuestas!AL13,AL$5,0))</f>
        <v>0</v>
      </c>
      <c r="AM18" s="75">
        <f>IF($B18=0,0,IF(AM$3=TotalApuestas!AM13,AM$5,0))</f>
        <v>0</v>
      </c>
      <c r="AN18" s="75">
        <f>IF($B18=0,0,IF(AND(AL$3=TotalApuestas!AL13,Resultado!AM$3=TotalApuestas!AM13),Resultado!AN$5+VLOOKUP(AN$4&amp;"bonus",Aux!$AD$1:$AE$46,2,0),IF(AN$3=TotalApuestas!AN13,AN$5,0)))</f>
        <v>0</v>
      </c>
      <c r="AO18" s="75">
        <f>IF($B18=0,0,IF(AO$3=TotalApuestas!AO13,AO$5,0))</f>
        <v>0</v>
      </c>
      <c r="AP18" s="75">
        <f>IF($B18=0,0,IF(AP$3=TotalApuestas!AP13,AP$5,0))</f>
        <v>0</v>
      </c>
      <c r="AQ18" s="75">
        <f>IF($B18=0,0,IF(AND(AO$3=TotalApuestas!AO13,Resultado!AP$3=TotalApuestas!AP13),Resultado!AQ$5+VLOOKUP(AQ$4&amp;"bonus",Aux!$AD$1:$AE$46,2,0),IF(AQ$3=TotalApuestas!AQ13,AQ$5,0)))</f>
        <v>0</v>
      </c>
      <c r="AR18" s="75">
        <f>IF($B18=0,0,IF(AR$3=TotalApuestas!AR13,AR$5,0))</f>
        <v>0</v>
      </c>
      <c r="AS18" s="75">
        <f>IF($B18=0,0,IF(AS$3=TotalApuestas!AS13,AS$5,0))</f>
        <v>0</v>
      </c>
      <c r="AT18" s="75">
        <f>IF($B18=0,0,IF(AND(AR$3=TotalApuestas!AR13,Resultado!AS$3=TotalApuestas!AS13),Resultado!AT$5+VLOOKUP(AT$4&amp;"bonus",Aux!$AD$1:$AE$46,2,0),IF(AT$3=TotalApuestas!AT13,AT$5,0)))</f>
        <v>0</v>
      </c>
      <c r="AU18" s="75">
        <f>IF($B18=0,0,IF(AU$3=TotalApuestas!AU13,AU$5,0))</f>
        <v>0</v>
      </c>
      <c r="AV18" s="75">
        <f>IF($B18=0,0,IF(AV$3=TotalApuestas!AV13,AV$5,0))</f>
        <v>0</v>
      </c>
      <c r="AW18" s="75">
        <f>IF($B18=0,0,IF(AND(AU$3=TotalApuestas!AU13,Resultado!AV$3=TotalApuestas!AV13),Resultado!AW$5+VLOOKUP(AW$4&amp;"bonus",Aux!$AD$1:$AE$46,2,0),IF(AW$3=TotalApuestas!AW13,AW$5,0)))</f>
        <v>0</v>
      </c>
      <c r="AX18" s="75">
        <f>IF($B18=0,0,IF(AX$3=TotalApuestas!AX13,AX$5,0))</f>
        <v>0</v>
      </c>
      <c r="AY18" s="75">
        <f>IF($B18=0,0,IF(AY$3=TotalApuestas!AY13,AY$5,0))</f>
        <v>0</v>
      </c>
      <c r="AZ18" s="75">
        <f>IF($B18=0,0,IF(AND(AX$3=TotalApuestas!AX13,Resultado!AY$3=TotalApuestas!AY13),Resultado!AZ$5+VLOOKUP(AZ$4&amp;"bonus",Aux!$AD$1:$AE$46,2,0),IF(AZ$3=TotalApuestas!AZ13,AZ$5,0)))</f>
        <v>0</v>
      </c>
      <c r="BA18" s="75">
        <f>IF($B18=0,0,IF(BA$3=TotalApuestas!BA13,BA$5,0))</f>
        <v>0</v>
      </c>
      <c r="BB18" s="75">
        <f>IF($B18=0,0,IF(BB$3=TotalApuestas!BB13,BB$5,0))</f>
        <v>0</v>
      </c>
      <c r="BC18" s="75">
        <f>IF($B18=0,0,IF(AND(BA$3=TotalApuestas!BA13,Resultado!BB$3=TotalApuestas!BB13),Resultado!BC$5+VLOOKUP(BC$4&amp;"bonus",Aux!$AD$1:$AE$46,2,0),IF(BC$3=TotalApuestas!BC13,BC$5,0)))</f>
        <v>0</v>
      </c>
      <c r="BD18" s="75">
        <f>IF($B18=0,0,IF(BD$3=TotalApuestas!BD13,BD$5,0))</f>
        <v>0</v>
      </c>
      <c r="BE18" s="75">
        <f>IF($B18=0,0,IF(BE$3=TotalApuestas!BE13,BE$5,0))</f>
        <v>0</v>
      </c>
      <c r="BF18" s="75">
        <f>IF($B18=0,0,IF(AND(BD$3=TotalApuestas!BD13,Resultado!BE$3=TotalApuestas!BE13),Resultado!BF$5+VLOOKUP(BF$4&amp;"bonus",Aux!$AD$1:$AE$46,2,0),IF(BF$3=TotalApuestas!BF13,BF$5,0)))</f>
        <v>0</v>
      </c>
      <c r="BG18" s="75">
        <f>IF($B18=0,0,IF(BG$3=TotalApuestas!BG13,BG$5,0))</f>
        <v>0</v>
      </c>
      <c r="BH18" s="75">
        <f>IF($B18=0,0,IF(BH$3=TotalApuestas!BH13,BH$5,0))</f>
        <v>0</v>
      </c>
      <c r="BI18" s="75">
        <f>IF($B18=0,0,IF(AND(BG$3=TotalApuestas!BG13,Resultado!BH$3=TotalApuestas!BH13),Resultado!BI$5+VLOOKUP(BI$4&amp;"bonus",Aux!$AD$1:$AE$46,2,0),IF(BI$3=TotalApuestas!BI13,BI$5,0)))</f>
        <v>0</v>
      </c>
      <c r="BJ18" s="75">
        <f>IF($B18=0,0,IF(BJ$3=TotalApuestas!BJ13,BJ$5,0))</f>
        <v>0</v>
      </c>
      <c r="BK18" s="75">
        <f>IF($B18=0,0,IF(BK$3=TotalApuestas!BK13,BK$5,0))</f>
        <v>0</v>
      </c>
      <c r="BL18" s="75">
        <f>IF($B18=0,0,IF(AND(BJ$3=TotalApuestas!BJ13,Resultado!BK$3=TotalApuestas!BK13),Resultado!BL$5+VLOOKUP(BL$4&amp;"bonus",Aux!$AD$1:$AE$46,2,0),IF(BL$3=TotalApuestas!BL13,BL$5,0)))</f>
        <v>0</v>
      </c>
      <c r="BM18" s="75">
        <f>IF($B18=0,0,IF(BM$3=TotalApuestas!BM13,BM$5,0))</f>
        <v>0</v>
      </c>
      <c r="BN18" s="75">
        <f>IF($B18=0,0,IF(BN$3=TotalApuestas!BN13,BN$5,0))</f>
        <v>0</v>
      </c>
      <c r="BO18" s="75">
        <f>IF($B18=0,0,IF(AND(BM$3=TotalApuestas!BM13,Resultado!BN$3=TotalApuestas!BN13),Resultado!BO$5+VLOOKUP(BO$4&amp;"bonus",Aux!$AD$1:$AE$46,2,0),IF(BO$3=TotalApuestas!BO13,BO$5,0)))</f>
        <v>0</v>
      </c>
      <c r="BP18" s="75">
        <f>IF($B18=0,0,IF(BP$3=TotalApuestas!BP13,BP$5,0))</f>
        <v>0</v>
      </c>
      <c r="BQ18" s="75">
        <f>IF($B18=0,0,IF(BQ$3=TotalApuestas!BQ13,BQ$5,0))</f>
        <v>0</v>
      </c>
      <c r="BR18" s="75">
        <f>IF($B18=0,0,IF(AND(BP$3=TotalApuestas!BP13,Resultado!BQ$3=TotalApuestas!BQ13),Resultado!BR$5+VLOOKUP(BR$4&amp;"bonus",Aux!$AD$1:$AE$46,2,0),IF(BR$3=TotalApuestas!BR13,BR$5,0)))</f>
        <v>0</v>
      </c>
      <c r="BS18" s="75">
        <f>IF($B18=0,0,IF(BS$3=TotalApuestas!BS13,BS$5,0))</f>
        <v>0</v>
      </c>
      <c r="BT18" s="75">
        <f>IF($B18=0,0,IF(BT$3=TotalApuestas!BT13,BT$5,0))</f>
        <v>0</v>
      </c>
      <c r="BU18" s="75">
        <f>IF($B18=0,0,IF(AND(BS$3=TotalApuestas!BS13,Resultado!BT$3=TotalApuestas!BT13),Resultado!BU$5+VLOOKUP(BU$4&amp;"bonus",Aux!$AD$1:$AE$46,2,0),IF(BU$3=TotalApuestas!BU13,BU$5,0)))</f>
        <v>0</v>
      </c>
      <c r="BV18" s="75">
        <f>IF($B18=0,0,IF(BV$3=TotalApuestas!BV13,BV$5,0))</f>
        <v>0</v>
      </c>
      <c r="BW18" s="75">
        <f>IF($B18=0,0,IF(BW$3=TotalApuestas!BW13,BW$5,0))</f>
        <v>0</v>
      </c>
      <c r="BX18" s="75">
        <f>IF($B18=0,0,IF(AND(BV$3=TotalApuestas!BV13,Resultado!BW$3=TotalApuestas!BW13),Resultado!BX$5+VLOOKUP(BX$4&amp;"bonus",Aux!$AD$1:$AE$46,2,0),IF(BX$3=TotalApuestas!BX13,BX$5,0)))</f>
        <v>0</v>
      </c>
      <c r="BY18" s="75">
        <f>IF($B18=0,0,IF(BY$3=TotalApuestas!BY13,BY$5,0))</f>
        <v>0</v>
      </c>
      <c r="BZ18" s="75">
        <f>IF($B18=0,0,IF(BZ$3=TotalApuestas!BZ13,BZ$5,0))</f>
        <v>0</v>
      </c>
      <c r="CA18" s="75">
        <f>IF($B18=0,0,IF(AND(BY$3=TotalApuestas!BY13,Resultado!BZ$3=TotalApuestas!BZ13),Resultado!CA$5+VLOOKUP(CA$4&amp;"bonus",Aux!$AD$1:$AE$46,2,0),IF(CA$3=TotalApuestas!CA13,CA$5,0)))</f>
        <v>0</v>
      </c>
      <c r="CB18" s="75">
        <f>IF($B18=0,0,IF(CB$3=TotalApuestas!CB13,CB$5,0))</f>
        <v>0</v>
      </c>
      <c r="CC18" s="75">
        <f>IF($B18=0,0,IF(CC$3=TotalApuestas!CC13,CC$5,0))</f>
        <v>0</v>
      </c>
      <c r="CD18" s="75">
        <f>IF($B18=0,0,IF(AND(CB$3=TotalApuestas!CB13,Resultado!CC$3=TotalApuestas!CC13),Resultado!CD$5+VLOOKUP(CD$4&amp;"bonus",Aux!$AD$1:$AE$46,2,0),IF(CD$3=TotalApuestas!CD13,CD$5,0)))</f>
        <v>0</v>
      </c>
      <c r="CE18" s="75">
        <f>IF($B18=0,0,IF(CE$3=TotalApuestas!CE13,CE$5,0))</f>
        <v>0</v>
      </c>
      <c r="CF18" s="75">
        <f>IF($B18=0,0,IF(CF$3=TotalApuestas!CF13,CF$5,0))</f>
        <v>0</v>
      </c>
      <c r="CG18" s="75">
        <f>IF($B18=0,0,IF(AND(CE$3=TotalApuestas!CE13,Resultado!CF$3=TotalApuestas!CF13),Resultado!CG$5+VLOOKUP(CG$4&amp;"bonus",Aux!$AD$1:$AE$46,2,0),IF(CG$3=TotalApuestas!CG13,CG$5,0)))</f>
        <v>0</v>
      </c>
      <c r="CH18" s="75">
        <f>IF($B18=0,0,IF(CH$3=TotalApuestas!CH13,CH$5,0))</f>
        <v>0</v>
      </c>
      <c r="CI18" s="75">
        <f>IF($B18=0,0,IF(CI$3=TotalApuestas!CI13,CI$5,0))</f>
        <v>0</v>
      </c>
      <c r="CJ18" s="75">
        <f>IF($B18=0,0,IF(AND(CH$3=TotalApuestas!CH13,Resultado!CI$3=TotalApuestas!CI13),Resultado!CJ$5+VLOOKUP(CJ$4&amp;"bonus",Aux!$AD$1:$AE$46,2,0),IF(CJ$3=TotalApuestas!CJ13,CJ$5,0)))</f>
        <v>0</v>
      </c>
      <c r="CK18" s="75">
        <f>IF($B18=0,0,IF(CK$3=TotalApuestas!CK13,CK$5,0))</f>
        <v>0</v>
      </c>
      <c r="CL18" s="75">
        <f>IF($B18=0,0,IF(CL$3=TotalApuestas!CL13,CL$5,0))</f>
        <v>0</v>
      </c>
      <c r="CM18" s="75">
        <f>IF($B18=0,0,IF(AND(CK$3=TotalApuestas!CK13,Resultado!CL$3=TotalApuestas!CL13),Resultado!CM$5+VLOOKUP(CM$4&amp;"bonus",Aux!$AD$1:$AE$46,2,0),IF(CM$3=TotalApuestas!CM13,CM$5,0)))</f>
        <v>0</v>
      </c>
      <c r="CN18" s="75">
        <f>IF($B18=0,0,IF(CN$3=TotalApuestas!CN13,CN$5,0))</f>
        <v>0</v>
      </c>
      <c r="CO18" s="75">
        <f>IF($B18=0,0,IF(CO$3=TotalApuestas!CO13,CO$5,0))</f>
        <v>0</v>
      </c>
      <c r="CP18" s="75">
        <f>IF($B18=0,0,IF(AND(CN$3=TotalApuestas!CN13,Resultado!CO$3=TotalApuestas!CO13),Resultado!CP$5+VLOOKUP(CP$4&amp;"bonus",Aux!$AD$1:$AE$46,2,0),IF(CP$3=TotalApuestas!CP13,CP$5,0)))</f>
        <v>0</v>
      </c>
      <c r="CQ18" s="75">
        <f>IF($B18=0,0,IF(CQ$3=TotalApuestas!CQ13,CQ$5,0))</f>
        <v>0</v>
      </c>
      <c r="CR18" s="75">
        <f>IF($B18=0,0,IF(CR$3=TotalApuestas!CR13,CR$5,0))</f>
        <v>0</v>
      </c>
      <c r="CS18" s="75">
        <f>IF($B18=0,0,IF(AND(CQ$3=TotalApuestas!CQ13,Resultado!CR$3=TotalApuestas!CR13),Resultado!CS$5+VLOOKUP(CS$4&amp;"bonus",Aux!$AD$1:$AE$46,2,0),IF(CS$3=TotalApuestas!CS13,CS$5,0)))</f>
        <v>0</v>
      </c>
      <c r="CT18" s="75">
        <f>IF($B18=0,0,IF(CT$3=TotalApuestas!CT13,CT$5,0))</f>
        <v>0</v>
      </c>
      <c r="CU18" s="75">
        <f>IF($B18=0,0,IF(CU$3=TotalApuestas!CU13,CU$5,0))</f>
        <v>0</v>
      </c>
      <c r="CV18" s="75">
        <f>IF($B18=0,0,IF(AND(CT$3=TotalApuestas!CT13,Resultado!CU$3=TotalApuestas!CU13),Resultado!CV$5+VLOOKUP(CV$4&amp;"bonus",Aux!$AD$1:$AE$46,2,0),IF(CV$3=TotalApuestas!CV13,CV$5,0)))</f>
        <v>0</v>
      </c>
      <c r="CW18" s="75">
        <f>IF($B18=0,0,IF(CW$3=TotalApuestas!CW13,CW$5,0))</f>
        <v>0</v>
      </c>
      <c r="CX18" s="75">
        <f>IF($B18=0,0,IF(CX$3=TotalApuestas!CX13,CX$5,0))</f>
        <v>0</v>
      </c>
      <c r="CY18" s="75">
        <f>IF($B18=0,0,IF(AND(CW$3=TotalApuestas!CW13,Resultado!CX$3=TotalApuestas!CX13),Resultado!CY$5+VLOOKUP(CY$4&amp;"bonus",Aux!$AD$1:$AE$46,2,0),IF(CY$3=TotalApuestas!CY13,CY$5,0)))</f>
        <v>0</v>
      </c>
      <c r="CZ18" s="75">
        <f>IF($B18=0,0,IF(CZ$3=TotalApuestas!CZ13,CZ$5,0))</f>
        <v>0</v>
      </c>
      <c r="DA18" s="75">
        <f>IF($B18=0,0,IF(DA$3=TotalApuestas!DA13,DA$5,0))</f>
        <v>0</v>
      </c>
      <c r="DB18" s="75">
        <f>IF($B18=0,0,IF(AND(CZ$3=TotalApuestas!CZ13,Resultado!DA$3=TotalApuestas!DA13),Resultado!DB$5+VLOOKUP(DB$4&amp;"bonus",Aux!$AD$1:$AE$46,2,0),IF(DB$3=TotalApuestas!DB13,DB$5,0)))</f>
        <v>0</v>
      </c>
      <c r="DC18" s="75">
        <f>IF($B18=0,0,IF(DC$3=TotalApuestas!DC13,DC$5,0))</f>
        <v>0</v>
      </c>
      <c r="DD18" s="75">
        <f>IF($B18=0,0,IF(DD$3=TotalApuestas!DD13,DD$5,0))</f>
        <v>0</v>
      </c>
      <c r="DE18" s="75">
        <f>IF($B18=0,0,IF(AND(DC$3=TotalApuestas!DC13,Resultado!DD$3=TotalApuestas!DD13),Resultado!DE$5+VLOOKUP(DE$4&amp;"bonus",Aux!$AD$1:$AE$46,2,0),IF(DE$3=TotalApuestas!DE13,DE$5,0)))</f>
        <v>0</v>
      </c>
      <c r="DF18" s="75">
        <f>IF($B18=0,0,IF(DF$3=TotalApuestas!DF13,DF$5,0))</f>
        <v>0</v>
      </c>
      <c r="DG18" s="75">
        <f>IF($B18=0,0,IF(DG$3=TotalApuestas!DG13,DG$5,0))</f>
        <v>0</v>
      </c>
      <c r="DH18" s="75">
        <f>IF($B18=0,0,IF(AND(DF$3=TotalApuestas!DF13,Resultado!DG$3=TotalApuestas!DG13),Resultado!DH$5+VLOOKUP(DH$4&amp;"bonus",Aux!$AD$1:$AE$46,2,0),IF(DH$3=TotalApuestas!DH13,DH$5,0)))</f>
        <v>0</v>
      </c>
      <c r="DI18" s="75">
        <f>IF($B18=0,0,IF(DI$3=TotalApuestas!DI13,DI$5,0))</f>
        <v>0</v>
      </c>
      <c r="DJ18" s="75">
        <f>IF($B18=0,0,IF(DJ$3=TotalApuestas!DJ13,DJ$5,0))</f>
        <v>0</v>
      </c>
      <c r="DK18" s="75">
        <f>IF($B18=0,0,IF(AND(DI$3=TotalApuestas!DI13,Resultado!DJ$3=TotalApuestas!DJ13),Resultado!DK$5+VLOOKUP(DK$4&amp;"bonus",Aux!$AD$1:$AE$46,2,0),IF(DK$3=TotalApuestas!DK13,DK$5,0)))</f>
        <v>0</v>
      </c>
      <c r="DL18" s="75">
        <f>IF($B18=0,0,IF(DL$3=TotalApuestas!DL13,DL$5,0))</f>
        <v>0</v>
      </c>
      <c r="DM18" s="75">
        <f>IF($B18=0,0,IF(DM$3=TotalApuestas!DM13,DM$5,0))</f>
        <v>0</v>
      </c>
      <c r="DN18" s="75">
        <f>IF($B18=0,0,IF(AND(DL$3=TotalApuestas!DL13,Resultado!DM$3=TotalApuestas!DM13),Resultado!DN$5+VLOOKUP(DN$4&amp;"bonus",Aux!$AD$1:$AE$46,2,0),IF(DN$3=TotalApuestas!DN13,DN$5,0)))</f>
        <v>0</v>
      </c>
      <c r="DO18" s="75">
        <f>IF($B18=0,0,IF(DO$3=TotalApuestas!DO13,DO$5,0))</f>
        <v>0</v>
      </c>
      <c r="DP18" s="75">
        <f>IF($B18=0,0,IF(DP$3=TotalApuestas!DP13,DP$5,0))</f>
        <v>0</v>
      </c>
      <c r="DQ18" s="75">
        <f>IF($B18=0,0,IF(AND(DO$3=TotalApuestas!DO13,Resultado!DP$3=TotalApuestas!DP13),Resultado!DQ$5+VLOOKUP(DQ$4&amp;"bonus",Aux!$AD$1:$AE$46,2,0),IF(DQ$3=TotalApuestas!DQ13,DQ$5,0)))</f>
        <v>0</v>
      </c>
      <c r="DR18" s="75">
        <f>IF($B18=0,0,IF(DR$3=TotalApuestas!DR13,DR$5,0))</f>
        <v>0</v>
      </c>
      <c r="DS18" s="75">
        <f>IF($B18=0,0,IF(DS$3=TotalApuestas!DS13,DS$5,0))</f>
        <v>0</v>
      </c>
      <c r="DT18" s="75">
        <f>IF($B18=0,0,IF(AND(DR$3=TotalApuestas!DR13,Resultado!DS$3=TotalApuestas!DS13),Resultado!DT$5+VLOOKUP(DT$4&amp;"bonus",Aux!$AD$1:$AE$46,2,0),IF(DT$3=TotalApuestas!DT13,DT$5,0)))</f>
        <v>0</v>
      </c>
      <c r="DU18" s="75">
        <f>IF($B18=0,0,IF(DU$3=TotalApuestas!DU13,DU$5,0))</f>
        <v>0</v>
      </c>
      <c r="DV18" s="75">
        <f>IF($B18=0,0,IF(DV$3=TotalApuestas!DV13,DV$5,0))</f>
        <v>0</v>
      </c>
      <c r="DW18" s="75">
        <f>IF($B18=0,0,IF(AND(DU$3=TotalApuestas!DU13,Resultado!DV$3=TotalApuestas!DV13),Resultado!DW$5+VLOOKUP(DW$4&amp;"bonus",Aux!$AD$1:$AE$46,2,0),IF(DW$3=TotalApuestas!DW13,DW$5,0)))</f>
        <v>0</v>
      </c>
      <c r="DX18" s="75">
        <f>IF($B18=0,0,IF(DX$3=TotalApuestas!DX13,DX$5,0))</f>
        <v>0</v>
      </c>
      <c r="DY18" s="75">
        <f>IF($B18=0,0,IF(DY$3=TotalApuestas!DY13,DY$5,0))</f>
        <v>0</v>
      </c>
      <c r="DZ18" s="75">
        <f>IF($B18=0,0,IF(AND(DX$3=TotalApuestas!DX13,Resultado!DY$3=TotalApuestas!DY13),Resultado!DZ$5+VLOOKUP(DZ$4&amp;"bonus",Aux!$AD$1:$AE$46,2,0),IF(DZ$3=TotalApuestas!DZ13,DZ$5,0)))</f>
        <v>0</v>
      </c>
      <c r="EA18" s="75">
        <f>IF($B18=0,0,IF(EA$3=TotalApuestas!EA13,EA$5,0))</f>
        <v>0</v>
      </c>
      <c r="EB18" s="75">
        <f>IF($B18=0,0,IF(EB$3=TotalApuestas!EB13,EB$5,0))</f>
        <v>0</v>
      </c>
      <c r="EC18" s="75">
        <f>IF($B18=0,0,IF(AND(EA$3=TotalApuestas!EA13,Resultado!EB$3=TotalApuestas!EB13),Resultado!EC$5+VLOOKUP(EC$4&amp;"bonus",Aux!$AD$1:$AE$46,2,0),IF(EC$3=TotalApuestas!EC13,EC$5,0)))</f>
        <v>0</v>
      </c>
      <c r="ED18" s="75">
        <f>IF($B18=0,0,IF(ED$3=TotalApuestas!ED13,ED$5,0))</f>
        <v>0</v>
      </c>
      <c r="EE18" s="75">
        <f>IF($B18=0,0,IF(EE$3=TotalApuestas!EE13,EE$5,0))</f>
        <v>0</v>
      </c>
      <c r="EF18" s="75">
        <f>IF($B18=0,0,IF(AND(ED$3=TotalApuestas!ED13,Resultado!EE$3=TotalApuestas!EE13),Resultado!EF$5+VLOOKUP(EF$4&amp;"bonus",Aux!$AD$1:$AE$46,2,0),IF(EF$3=TotalApuestas!EF13,EF$5,0)))</f>
        <v>0</v>
      </c>
      <c r="EG18" s="75">
        <f>IF($B18=0,0,IF(EG$3=TotalApuestas!EG13,EG$5,0))</f>
        <v>0</v>
      </c>
      <c r="EH18" s="75">
        <f>IF($B18=0,0,IF(EH$3=TotalApuestas!EH13,EH$5,0))</f>
        <v>0</v>
      </c>
      <c r="EI18" s="75">
        <f>IF($B18=0,0,IF(AND(EG$3=TotalApuestas!EG13,Resultado!EH$3=TotalApuestas!EH13),Resultado!EI$5+VLOOKUP(EI$4&amp;"bonus",Aux!$AD$1:$AE$46,2,0),IF(EI$3=TotalApuestas!EI13,EI$5,0)))</f>
        <v>0</v>
      </c>
      <c r="EJ18" s="75">
        <f>IF($B18=0,0,IF(EJ$3=TotalApuestas!EJ13,EJ$5,0))</f>
        <v>0</v>
      </c>
      <c r="EK18" s="75">
        <f>IF($B18=0,0,IF(EK$3=TotalApuestas!EK13,EK$5,0))</f>
        <v>0</v>
      </c>
      <c r="EL18" s="75">
        <f>IF($B18=0,0,IF(AND(EJ$3=TotalApuestas!EJ13,Resultado!EK$3=TotalApuestas!EK13),Resultado!EL$5+VLOOKUP(EL$4&amp;"bonus",Aux!$AD$1:$AE$46,2,0),IF(EL$3=TotalApuestas!EL13,EL$5,0)))</f>
        <v>0</v>
      </c>
      <c r="EM18" s="75">
        <f>IF($B18=0,0,IF(EM$3=TotalApuestas!EM13,EM$5,0))</f>
        <v>0</v>
      </c>
      <c r="EN18" s="75">
        <f>IF($B18=0,0,IF(EN$3=TotalApuestas!EN13,EN$5,0))</f>
        <v>0</v>
      </c>
      <c r="EO18" s="75">
        <f>IF($B18=0,0,IF(AND(EM$3=TotalApuestas!EM13,Resultado!EN$3=TotalApuestas!EN13),Resultado!EO$5+VLOOKUP(EO$4&amp;"bonus",Aux!$AD$1:$AE$46,2,0),IF(EO$3=TotalApuestas!EO13,EO$5,0)))</f>
        <v>0</v>
      </c>
      <c r="EP18" s="75">
        <f>IF($B18=0,0,IF(EP$3=TotalApuestas!EP13,EP$5,0))</f>
        <v>0</v>
      </c>
      <c r="EQ18" s="75">
        <f>IF($B18=0,0,IF(EQ$3=TotalApuestas!EQ13,EQ$5,0))</f>
        <v>0</v>
      </c>
      <c r="ER18" s="75">
        <f>IF($B18=0,0,IF(AND(EP$3=TotalApuestas!EP13,Resultado!EQ$3=TotalApuestas!EQ13),Resultado!ER$5+VLOOKUP(ER$4&amp;"bonus",Aux!$AD$1:$AE$46,2,0),IF(ER$3=TotalApuestas!ER13,ER$5,0)))</f>
        <v>0</v>
      </c>
      <c r="ES18" s="75">
        <f>IF($B18=0,0,IF(ES$3=TotalApuestas!ES13,ES$5,0))</f>
        <v>0</v>
      </c>
      <c r="ET18" s="75">
        <f>IF($B18=0,0,IF(ET$3=TotalApuestas!ET13,ET$5,0))</f>
        <v>0</v>
      </c>
      <c r="EU18" s="75">
        <f>IF($B18=0,0,IF(EU$3=TotalApuestas!EU13,EU$5,0))</f>
        <v>0</v>
      </c>
      <c r="EV18" s="75">
        <f>IF($B18=0,0,IF(EV$3=TotalApuestas!EV13,EV$5,0))</f>
        <v>0</v>
      </c>
      <c r="EW18" s="75">
        <f>IF($B18=0,0,IF(EW$3=TotalApuestas!EW13,EW$5,0))</f>
        <v>0</v>
      </c>
      <c r="EX18" s="75">
        <f>IF($B18=0,0,IF(EX$3=TotalApuestas!EX13,EX$5,0))</f>
        <v>0</v>
      </c>
      <c r="EY18" s="75">
        <f>IF($B18=0,0,IF(EY$3=TotalApuestas!EY13,EY$5,0))</f>
        <v>0</v>
      </c>
      <c r="EZ18" s="75">
        <f>IF($B18=0,0,IF(EZ$3=TotalApuestas!EZ13,EZ$5,0))</f>
        <v>0</v>
      </c>
      <c r="FA18" s="75">
        <f>IF($B18=0,0,IF(FA$3=TotalApuestas!FA13,FA$5,0))</f>
        <v>0</v>
      </c>
      <c r="FB18" s="75">
        <f>IF($B18=0,0,IF(FB$3=TotalApuestas!FB13,FB$5,0))</f>
        <v>0</v>
      </c>
      <c r="FC18" s="75">
        <f>IF($B18=0,0,IF(FC$3=TotalApuestas!FC13,FC$5,0))</f>
        <v>0</v>
      </c>
      <c r="FD18" s="75">
        <f>IF($B18=0,0,IF(FD$3=TotalApuestas!FD13,FD$5,0))</f>
        <v>0</v>
      </c>
      <c r="FE18" s="75">
        <f>IF($B18=0,0,IF(FE$3=TotalApuestas!FE13,FE$5,0))</f>
        <v>0</v>
      </c>
      <c r="FF18" s="75">
        <f>IF($B18=0,0,IF(FF$3=TotalApuestas!FF13,FF$5,0))</f>
        <v>0</v>
      </c>
      <c r="FG18" s="75">
        <f>IF($B18=0,0,IF(FG$3=TotalApuestas!FG13,FG$5,0))</f>
        <v>0</v>
      </c>
      <c r="FH18" s="75">
        <f>IF($B18=0,0,IF(FH$3=TotalApuestas!FH13,FH$5,0))</f>
        <v>0</v>
      </c>
      <c r="FI18" s="75">
        <f>IF($B18=0,0,IF(FI$3=TotalApuestas!FI13,FI$5,0))</f>
        <v>0</v>
      </c>
      <c r="FJ18" s="75">
        <f>IF($B18=0,0,IF(FJ$3=TotalApuestas!FJ13,FJ$5,0))</f>
        <v>0</v>
      </c>
      <c r="FK18" s="75">
        <f>IF($B18=0,0,IF(FK$3=TotalApuestas!FK13,FK$5,0))</f>
        <v>0</v>
      </c>
      <c r="FL18" s="75">
        <f>IF($B18=0,0,IF(FL$3=TotalApuestas!FL13,FL$5,0))</f>
        <v>0</v>
      </c>
      <c r="FM18" s="75">
        <f>IF($B18=0,0,IF(FM$3=TotalApuestas!FM13,FM$5,0))</f>
        <v>0</v>
      </c>
      <c r="FN18" s="75">
        <f>IF($B18=0,0,IF(FN$3=TotalApuestas!FN13,FN$5,0))</f>
        <v>0</v>
      </c>
      <c r="FO18" s="75">
        <f>IF($B18=0,0,IF(FO$3=TotalApuestas!FO13,FO$5,0))</f>
        <v>0</v>
      </c>
      <c r="FP18" s="75">
        <f>IF($B18=0,0,IF(FP$3=TotalApuestas!FP13,FP$5,0))</f>
        <v>0</v>
      </c>
      <c r="FQ18" s="75">
        <f>IF($B18=0,0,IF(FQ$3=TotalApuestas!FQ13,FQ$5,0))</f>
        <v>0</v>
      </c>
      <c r="FR18" s="75">
        <f>IF($B18=0,0,IF(FR$3=TotalApuestas!FR13,FR$5,0))</f>
        <v>0</v>
      </c>
      <c r="FS18" s="75">
        <f>IF($B18=0,0,IF(FS$3=TotalApuestas!FS13,FS$5,0))</f>
        <v>0</v>
      </c>
      <c r="FT18" s="75">
        <f>IF($B18=0,0,IF(FT$3=TotalApuestas!FT13,FT$5,0))</f>
        <v>0</v>
      </c>
      <c r="FU18" s="75">
        <f>IF($B18=0,0,IF(FU$3=TotalApuestas!FU13,FU$5,0))</f>
        <v>0</v>
      </c>
      <c r="FV18" s="75">
        <f>IF($B18=0,0,IF(FV$3=TotalApuestas!FV13,FV$5,0))</f>
        <v>0</v>
      </c>
      <c r="FW18" s="75">
        <f>IF($B18=0,0,IF(FW$3=TotalApuestas!FW13,FW$5,0))</f>
        <v>0</v>
      </c>
      <c r="FX18" s="75">
        <f>IF($B18=0,0,IF(FX$3=TotalApuestas!FX13,FX$5,0))</f>
        <v>0</v>
      </c>
      <c r="FY18" s="75">
        <f>IF($B18=0,0,IF(FY$3=TotalApuestas!FY13,FY$5,0))</f>
        <v>0</v>
      </c>
      <c r="FZ18" s="75">
        <f>IF($B18=0,0,IF(AND(FX$3=TotalApuestas!FX13,Resultado!FY$3=TotalApuestas!FY13),Resultado!FZ$5+VLOOKUP(FZ$4&amp;"bonus",Aux!$AD$1:$AE$46,2,0),IF(FZ$3=TotalApuestas!FZ13,FZ$5,0)))</f>
        <v>0</v>
      </c>
      <c r="GA18" s="75">
        <f>IF($B18=0,0,IF(GA$3=TotalApuestas!GA13,GA$5,0))</f>
        <v>0</v>
      </c>
      <c r="GB18" s="75">
        <f>IF($B18=0,0,IF(GB$3=TotalApuestas!GB13,GB$5,0))</f>
        <v>0</v>
      </c>
      <c r="GC18" s="75">
        <f>IF($B18=0,0,IF(AND(GA$3=TotalApuestas!GA13,Resultado!GB$3=TotalApuestas!GB13),Resultado!GC$5+VLOOKUP(GC$4&amp;"bonus",Aux!$AD$1:$AE$46,2,0),IF(GC$3=TotalApuestas!GC13,GC$5,0)))</f>
        <v>0</v>
      </c>
      <c r="GD18" s="75">
        <f>IF($B18=0,0,IF(GD$3=TotalApuestas!GD13,GD$5,0))</f>
        <v>0</v>
      </c>
      <c r="GE18" s="75">
        <f>IF($B18=0,0,IF(GE$3=TotalApuestas!GE13,GE$5,0))</f>
        <v>0</v>
      </c>
      <c r="GF18" s="75">
        <f>IF($B18=0,0,IF(AND(GD$3=TotalApuestas!GD13,Resultado!GE$3=TotalApuestas!GE13),Resultado!GF$5+VLOOKUP(GF$4&amp;"bonus",Aux!$AD$1:$AE$46,2,0),IF(GF$3=TotalApuestas!GF13,GF$5,0)))</f>
        <v>0</v>
      </c>
      <c r="GG18" s="75">
        <f>IF($B18=0,0,IF(GG$3=TotalApuestas!GG13,GG$5,0))</f>
        <v>0</v>
      </c>
      <c r="GH18" s="75">
        <f>IF($B18=0,0,IF(GH$3=TotalApuestas!GH13,GH$5,0))</f>
        <v>0</v>
      </c>
      <c r="GI18" s="75">
        <f>IF($B18=0,0,IF(AND(GG$3=TotalApuestas!GG13,Resultado!GH$3=TotalApuestas!GH13),Resultado!GI$5+VLOOKUP(GI$4&amp;"bonus",Aux!$AD$1:$AE$46,2,0),IF(GI$3=TotalApuestas!GI13,GI$5,0)))</f>
        <v>0</v>
      </c>
      <c r="GJ18" s="75">
        <f>IF($B18=0,0,IF(GJ$3=TotalApuestas!GJ13,GJ$5,0))</f>
        <v>0</v>
      </c>
      <c r="GK18" s="75">
        <f>IF($B18=0,0,IF(GK$3=TotalApuestas!GK13,GK$5,0))</f>
        <v>0</v>
      </c>
      <c r="GL18" s="75">
        <f>IF($B18=0,0,IF(AND(GJ$3=TotalApuestas!GJ13,Resultado!GK$3=TotalApuestas!GK13),Resultado!GL$5+VLOOKUP(GL$4&amp;"bonus",Aux!$AD$1:$AE$46,2,0),IF(GL$3=TotalApuestas!GL13,GL$5,0)))</f>
        <v>0</v>
      </c>
      <c r="GM18" s="75">
        <f>IF($B18=0,0,IF(GM$3=TotalApuestas!GM13,GM$5,0))</f>
        <v>0</v>
      </c>
      <c r="GN18" s="75">
        <f>IF($B18=0,0,IF(GN$3=TotalApuestas!GN13,GN$5,0))</f>
        <v>0</v>
      </c>
      <c r="GO18" s="75">
        <f>IF($B18=0,0,IF(AND(GM$3=TotalApuestas!GM13,Resultado!GN$3=TotalApuestas!GN13),Resultado!GO$5+VLOOKUP(GO$4&amp;"bonus",Aux!$AD$1:$AE$46,2,0),IF(GO$3=TotalApuestas!GO13,GO$5,0)))</f>
        <v>0</v>
      </c>
      <c r="GP18" s="75">
        <f>IF($B18=0,0,IF(GP$3=TotalApuestas!GP13,GP$5,0))</f>
        <v>0</v>
      </c>
      <c r="GQ18" s="75">
        <f>IF($B18=0,0,IF(GQ$3=TotalApuestas!GQ13,GQ$5,0))</f>
        <v>0</v>
      </c>
      <c r="GR18" s="75">
        <f>IF($B18=0,0,IF(AND(GP$3=TotalApuestas!GP13,Resultado!GQ$3=TotalApuestas!GQ13),Resultado!GR$5+VLOOKUP(GR$4&amp;"bonus",Aux!$AD$1:$AE$46,2,0),IF(GR$3=TotalApuestas!GR13,GR$5,0)))</f>
        <v>0</v>
      </c>
      <c r="GS18" s="75">
        <f>IF($B18=0,0,IF(GS$3=TotalApuestas!GS13,GS$5,0))</f>
        <v>0</v>
      </c>
      <c r="GT18" s="75">
        <f>IF($B18=0,0,IF(GT$3=TotalApuestas!GT13,GT$5,0))</f>
        <v>0</v>
      </c>
      <c r="GU18" s="75">
        <f>IF($B18=0,0,IF(AND(GS$3=TotalApuestas!GS13,Resultado!GT$3=TotalApuestas!GT13),Resultado!GU$5+VLOOKUP(GU$4&amp;"bonus",Aux!$AD$1:$AE$46,2,0),IF(GU$3=TotalApuestas!GU13,GU$5,0)))</f>
        <v>0</v>
      </c>
      <c r="GV18" s="75">
        <f>IF($B18=0,0,IF(GV$3=TotalApuestas!GV13,GV$5,0))</f>
        <v>0</v>
      </c>
      <c r="GW18" s="75">
        <f>IF($B18=0,0,IF(GW$3=TotalApuestas!GW13,GW$5,0))</f>
        <v>0</v>
      </c>
      <c r="GX18" s="75">
        <f>IF($B18=0,0,IF(AND(GV$3=TotalApuestas!GV13,Resultado!GW$3=TotalApuestas!GW13),Resultado!GX$5+VLOOKUP(GX$4&amp;"bonus",Aux!$AD$1:$AE$46,2,0),IF(GX$3=TotalApuestas!GX13,GX$5,0)))</f>
        <v>0</v>
      </c>
      <c r="GY18" s="75">
        <f>IF($B18=0,0,IF(GY$3=TotalApuestas!GY13,GY$5,0))</f>
        <v>0</v>
      </c>
      <c r="GZ18" s="75">
        <f>IF($B18=0,0,IF(GZ$3=TotalApuestas!GZ13,GZ$5,0))</f>
        <v>0</v>
      </c>
      <c r="HA18" s="75">
        <f>IF($B18=0,0,IF(AND(GY$3=TotalApuestas!GY13,Resultado!GZ$3=TotalApuestas!GZ13),Resultado!HA$5+VLOOKUP(HA$4&amp;"bonus",Aux!$AD$1:$AE$46,2,0),IF(HA$3=TotalApuestas!HA13,HA$5,0)))</f>
        <v>0</v>
      </c>
      <c r="HB18" s="75">
        <f>IF($B18=0,0,IF(HB$3=TotalApuestas!HB13,HB$5,0))</f>
        <v>0</v>
      </c>
      <c r="HC18" s="75">
        <f>IF($B18=0,0,IF(HC$3=TotalApuestas!HC13,HC$5,0))</f>
        <v>0</v>
      </c>
      <c r="HD18" s="75">
        <f>IF($B18=0,0,IF(AND(HB$3=TotalApuestas!HB13,Resultado!HC$3=TotalApuestas!HC13),Resultado!HD$5+VLOOKUP(HD$4&amp;"bonus",Aux!$AD$1:$AE$46,2,0),IF(HD$3=TotalApuestas!HD13,HD$5,0)))</f>
        <v>0</v>
      </c>
      <c r="HE18" s="75">
        <f>IF($B18=0,0,IF(HE$3=TotalApuestas!HE13,HE$5,0))</f>
        <v>0</v>
      </c>
      <c r="HF18" s="75">
        <f>IF($B18=0,0,IF(HF$3=TotalApuestas!HF13,HF$5,0))</f>
        <v>0</v>
      </c>
      <c r="HG18" s="75">
        <f>IF($B18=0,0,IF(AND(HE$3=TotalApuestas!HE13,Resultado!HF$3=TotalApuestas!HF13),Resultado!HG$5+VLOOKUP(HG$4&amp;"bonus",Aux!$AD$1:$AE$46,2,0),IF(HG$3=TotalApuestas!HG13,HG$5,0)))</f>
        <v>0</v>
      </c>
      <c r="HH18" s="75">
        <f>IF($B18=0,0,IF(HH$3=TotalApuestas!HH13,HH$5,0))</f>
        <v>0</v>
      </c>
      <c r="HI18" s="75">
        <f>IF($B18=0,0,IF(HI$3=TotalApuestas!HI13,HI$5,0))</f>
        <v>0</v>
      </c>
      <c r="HJ18" s="75">
        <f>IF($B18=0,0,IF(AND(HH$3=TotalApuestas!HH13,Resultado!HI$3=TotalApuestas!HI13),Resultado!HJ$5+VLOOKUP(HJ$4&amp;"bonus",Aux!$AD$1:$AE$46,2,0),IF(HJ$3=TotalApuestas!HJ13,HJ$5,0)))</f>
        <v>0</v>
      </c>
      <c r="HK18" s="75">
        <f>IF($B18=0,0,IF(HK$3=TotalApuestas!HK13,HK$5,0))</f>
        <v>0</v>
      </c>
      <c r="HL18" s="75">
        <f>IF($B18=0,0,IF(HL$3=TotalApuestas!HL13,HL$5,0))</f>
        <v>0</v>
      </c>
      <c r="HM18" s="75">
        <f>IF($B18=0,0,IF(AND(HK$3=TotalApuestas!HK13,Resultado!HL$3=TotalApuestas!HL13),Resultado!HM$5+VLOOKUP(HM$4&amp;"bonus",Aux!$AD$1:$AE$46,2,0),IF(HM$3=TotalApuestas!HM13,HM$5,0)))</f>
        <v>0</v>
      </c>
      <c r="HN18" s="75">
        <f>IF($B18=0,0,IF(HN$3=TotalApuestas!HN13,HN$5,0))</f>
        <v>0</v>
      </c>
      <c r="HO18" s="75">
        <f>IF($B18=0,0,IF(HO$3=TotalApuestas!HO13,HO$5,0))</f>
        <v>0</v>
      </c>
      <c r="HP18" s="75">
        <f>IF($B18=0,0,IF(AND(HN$3=TotalApuestas!HN13,Resultado!HO$3=TotalApuestas!HO13),Resultado!HP$5+VLOOKUP(HP$4&amp;"bonus",Aux!$AD$1:$AE$46,2,0),IF(HP$3=TotalApuestas!HP13,HP$5,0)))</f>
        <v>0</v>
      </c>
    </row>
    <row r="19" spans="2:224" x14ac:dyDescent="0.25">
      <c r="B19">
        <f>+TotalApuestas!B14</f>
        <v>0</v>
      </c>
      <c r="E19" s="75">
        <f>IF($B19=0,0,IF(E$3=TotalApuestas!E14,E$5,0))</f>
        <v>0</v>
      </c>
      <c r="F19" s="75">
        <f>IF($B19=0,0,IF(F$3=TotalApuestas!F14,F$5,0))</f>
        <v>0</v>
      </c>
      <c r="G19" s="75">
        <f>IF($B19=0,0,IF(AND(E$3=TotalApuestas!E14,Resultado!F$3=TotalApuestas!F14),Resultado!G$5+VLOOKUP(G$4&amp;"bonus",Aux!$AD$1:$AE$46,2,0),IF(G$3=TotalApuestas!G14,G$5,0)))</f>
        <v>0</v>
      </c>
      <c r="H19" s="75">
        <f>IF($B19=0,0,IF(H$3=TotalApuestas!H14,H$5,0))</f>
        <v>0</v>
      </c>
      <c r="I19" s="75">
        <f>IF($B19=0,0,IF(I$3=TotalApuestas!I14,I$5,0))</f>
        <v>0</v>
      </c>
      <c r="J19" s="75">
        <f>IF($B19=0,0,IF(AND(H$3=TotalApuestas!H14,Resultado!I$3=TotalApuestas!I14),Resultado!J$5+VLOOKUP(J$4&amp;"bonus",Aux!$AD$1:$AE$46,2,0),IF(J$3=TotalApuestas!J14,J$5,0)))</f>
        <v>0</v>
      </c>
      <c r="K19" s="75">
        <f>IF($B19=0,0,IF(K$3=TotalApuestas!K14,K$5,0))</f>
        <v>0</v>
      </c>
      <c r="L19" s="75">
        <f>IF($B19=0,0,IF(L$3=TotalApuestas!L14,L$5,0))</f>
        <v>0</v>
      </c>
      <c r="M19" s="75">
        <f>IF($B19=0,0,IF(AND(K$3=TotalApuestas!K14,Resultado!L$3=TotalApuestas!L14),Resultado!M$5+VLOOKUP(M$4&amp;"bonus",Aux!$AD$1:$AE$46,2,0),IF(M$3=TotalApuestas!M14,M$5,0)))</f>
        <v>0</v>
      </c>
      <c r="N19" s="75">
        <f>IF($B19=0,0,IF(N$3=TotalApuestas!N14,N$5,0))</f>
        <v>0</v>
      </c>
      <c r="O19" s="75">
        <f>IF($B19=0,0,IF(O$3=TotalApuestas!O14,O$5,0))</f>
        <v>0</v>
      </c>
      <c r="P19" s="75">
        <f>IF($B19=0,0,IF(AND(N$3=TotalApuestas!N14,Resultado!O$3=TotalApuestas!O14),Resultado!P$5+VLOOKUP(P$4&amp;"bonus",Aux!$AD$1:$AE$46,2,0),IF(P$3=TotalApuestas!P14,P$5,0)))</f>
        <v>0</v>
      </c>
      <c r="Q19" s="75">
        <f>IF($B19=0,0,IF(Q$3=TotalApuestas!Q14,Q$5,0))</f>
        <v>0</v>
      </c>
      <c r="R19" s="75">
        <f>IF($B19=0,0,IF(R$3=TotalApuestas!R14,R$5,0))</f>
        <v>0</v>
      </c>
      <c r="S19" s="75">
        <f>IF($B19=0,0,IF(AND(Q$3=TotalApuestas!Q14,Resultado!R$3=TotalApuestas!R14),Resultado!S$5+VLOOKUP(S$4&amp;"bonus",Aux!$AD$1:$AE$46,2,0),IF(S$3=TotalApuestas!S14,S$5,0)))</f>
        <v>0</v>
      </c>
      <c r="T19" s="75">
        <f>IF($B19=0,0,IF(T$3=TotalApuestas!T14,T$5,0))</f>
        <v>0</v>
      </c>
      <c r="U19" s="75">
        <f>IF($B19=0,0,IF(U$3=TotalApuestas!U14,U$5,0))</f>
        <v>0</v>
      </c>
      <c r="V19" s="75">
        <f>IF($B19=0,0,IF(AND(T$3=TotalApuestas!T14,Resultado!U$3=TotalApuestas!U14),Resultado!V$5+VLOOKUP(V$4&amp;"bonus",Aux!$AD$1:$AE$46,2,0),IF(V$3=TotalApuestas!V14,V$5,0)))</f>
        <v>0</v>
      </c>
      <c r="W19" s="75">
        <f>IF($B19=0,0,IF(W$3=TotalApuestas!W14,W$5,0))</f>
        <v>0</v>
      </c>
      <c r="X19" s="75">
        <f>IF($B19=0,0,IF(X$3=TotalApuestas!X14,X$5,0))</f>
        <v>0</v>
      </c>
      <c r="Y19" s="75">
        <f>IF($B19=0,0,IF(AND(W$3=TotalApuestas!W14,Resultado!X$3=TotalApuestas!X14),Resultado!Y$5+VLOOKUP(Y$4&amp;"bonus",Aux!$AD$1:$AE$46,2,0),IF(Y$3=TotalApuestas!Y14,Y$5,0)))</f>
        <v>0</v>
      </c>
      <c r="Z19" s="75">
        <f>IF($B19=0,0,IF(Z$3=TotalApuestas!Z14,Z$5,0))</f>
        <v>0</v>
      </c>
      <c r="AA19" s="75">
        <f>IF($B19=0,0,IF(AA$3=TotalApuestas!AA14,AA$5,0))</f>
        <v>0</v>
      </c>
      <c r="AB19" s="75">
        <f>IF($B19=0,0,IF(AND(Z$3=TotalApuestas!Z14,Resultado!AA$3=TotalApuestas!AA14),Resultado!AB$5+VLOOKUP(AB$4&amp;"bonus",Aux!$AD$1:$AE$46,2,0),IF(AB$3=TotalApuestas!AB14,AB$5,0)))</f>
        <v>0</v>
      </c>
      <c r="AC19" s="75">
        <f>IF($B19=0,0,IF(AC$3=TotalApuestas!AC14,AC$5,0))</f>
        <v>0</v>
      </c>
      <c r="AD19" s="75">
        <f>IF($B19=0,0,IF(AD$3=TotalApuestas!AD14,AD$5,0))</f>
        <v>0</v>
      </c>
      <c r="AE19" s="75">
        <f>IF($B19=0,0,IF(AND(AC$3=TotalApuestas!AC14,Resultado!AD$3=TotalApuestas!AD14),Resultado!AE$5+VLOOKUP(AE$4&amp;"bonus",Aux!$AD$1:$AE$46,2,0),IF(AE$3=TotalApuestas!AE14,AE$5,0)))</f>
        <v>0</v>
      </c>
      <c r="AF19" s="75">
        <f>IF($B19=0,0,IF(AF$3=TotalApuestas!AF14,AF$5,0))</f>
        <v>0</v>
      </c>
      <c r="AG19" s="75">
        <f>IF($B19=0,0,IF(AG$3=TotalApuestas!AG14,AG$5,0))</f>
        <v>0</v>
      </c>
      <c r="AH19" s="75">
        <f>IF($B19=0,0,IF(AND(AF$3=TotalApuestas!AF14,Resultado!AG$3=TotalApuestas!AG14),Resultado!AH$5+VLOOKUP(AH$4&amp;"bonus",Aux!$AD$1:$AE$46,2,0),IF(AH$3=TotalApuestas!AH14,AH$5,0)))</f>
        <v>0</v>
      </c>
      <c r="AI19" s="75">
        <f>IF($B19=0,0,IF(AI$3=TotalApuestas!AI14,AI$5,0))</f>
        <v>0</v>
      </c>
      <c r="AJ19" s="75">
        <f>IF($B19=0,0,IF(AJ$3=TotalApuestas!AJ14,AJ$5,0))</f>
        <v>0</v>
      </c>
      <c r="AK19" s="75">
        <f>IF($B19=0,0,IF(AND(AI$3=TotalApuestas!AI14,Resultado!AJ$3=TotalApuestas!AJ14),Resultado!AK$5+VLOOKUP(AK$4&amp;"bonus",Aux!$AD$1:$AE$46,2,0),IF(AK$3=TotalApuestas!AK14,AK$5,0)))</f>
        <v>0</v>
      </c>
      <c r="AL19" s="75">
        <f>IF($B19=0,0,IF(AL$3=TotalApuestas!AL14,AL$5,0))</f>
        <v>0</v>
      </c>
      <c r="AM19" s="75">
        <f>IF($B19=0,0,IF(AM$3=TotalApuestas!AM14,AM$5,0))</f>
        <v>0</v>
      </c>
      <c r="AN19" s="75">
        <f>IF($B19=0,0,IF(AND(AL$3=TotalApuestas!AL14,Resultado!AM$3=TotalApuestas!AM14),Resultado!AN$5+VLOOKUP(AN$4&amp;"bonus",Aux!$AD$1:$AE$46,2,0),IF(AN$3=TotalApuestas!AN14,AN$5,0)))</f>
        <v>0</v>
      </c>
      <c r="AO19" s="75">
        <f>IF($B19=0,0,IF(AO$3=TotalApuestas!AO14,AO$5,0))</f>
        <v>0</v>
      </c>
      <c r="AP19" s="75">
        <f>IF($B19=0,0,IF(AP$3=TotalApuestas!AP14,AP$5,0))</f>
        <v>0</v>
      </c>
      <c r="AQ19" s="75">
        <f>IF($B19=0,0,IF(AND(AO$3=TotalApuestas!AO14,Resultado!AP$3=TotalApuestas!AP14),Resultado!AQ$5+VLOOKUP(AQ$4&amp;"bonus",Aux!$AD$1:$AE$46,2,0),IF(AQ$3=TotalApuestas!AQ14,AQ$5,0)))</f>
        <v>0</v>
      </c>
      <c r="AR19" s="75">
        <f>IF($B19=0,0,IF(AR$3=TotalApuestas!AR14,AR$5,0))</f>
        <v>0</v>
      </c>
      <c r="AS19" s="75">
        <f>IF($B19=0,0,IF(AS$3=TotalApuestas!AS14,AS$5,0))</f>
        <v>0</v>
      </c>
      <c r="AT19" s="75">
        <f>IF($B19=0,0,IF(AND(AR$3=TotalApuestas!AR14,Resultado!AS$3=TotalApuestas!AS14),Resultado!AT$5+VLOOKUP(AT$4&amp;"bonus",Aux!$AD$1:$AE$46,2,0),IF(AT$3=TotalApuestas!AT14,AT$5,0)))</f>
        <v>0</v>
      </c>
      <c r="AU19" s="75">
        <f>IF($B19=0,0,IF(AU$3=TotalApuestas!AU14,AU$5,0))</f>
        <v>0</v>
      </c>
      <c r="AV19" s="75">
        <f>IF($B19=0,0,IF(AV$3=TotalApuestas!AV14,AV$5,0))</f>
        <v>0</v>
      </c>
      <c r="AW19" s="75">
        <f>IF($B19=0,0,IF(AND(AU$3=TotalApuestas!AU14,Resultado!AV$3=TotalApuestas!AV14),Resultado!AW$5+VLOOKUP(AW$4&amp;"bonus",Aux!$AD$1:$AE$46,2,0),IF(AW$3=TotalApuestas!AW14,AW$5,0)))</f>
        <v>0</v>
      </c>
      <c r="AX19" s="75">
        <f>IF($B19=0,0,IF(AX$3=TotalApuestas!AX14,AX$5,0))</f>
        <v>0</v>
      </c>
      <c r="AY19" s="75">
        <f>IF($B19=0,0,IF(AY$3=TotalApuestas!AY14,AY$5,0))</f>
        <v>0</v>
      </c>
      <c r="AZ19" s="75">
        <f>IF($B19=0,0,IF(AND(AX$3=TotalApuestas!AX14,Resultado!AY$3=TotalApuestas!AY14),Resultado!AZ$5+VLOOKUP(AZ$4&amp;"bonus",Aux!$AD$1:$AE$46,2,0),IF(AZ$3=TotalApuestas!AZ14,AZ$5,0)))</f>
        <v>0</v>
      </c>
      <c r="BA19" s="75">
        <f>IF($B19=0,0,IF(BA$3=TotalApuestas!BA14,BA$5,0))</f>
        <v>0</v>
      </c>
      <c r="BB19" s="75">
        <f>IF($B19=0,0,IF(BB$3=TotalApuestas!BB14,BB$5,0))</f>
        <v>0</v>
      </c>
      <c r="BC19" s="75">
        <f>IF($B19=0,0,IF(AND(BA$3=TotalApuestas!BA14,Resultado!BB$3=TotalApuestas!BB14),Resultado!BC$5+VLOOKUP(BC$4&amp;"bonus",Aux!$AD$1:$AE$46,2,0),IF(BC$3=TotalApuestas!BC14,BC$5,0)))</f>
        <v>0</v>
      </c>
      <c r="BD19" s="75">
        <f>IF($B19=0,0,IF(BD$3=TotalApuestas!BD14,BD$5,0))</f>
        <v>0</v>
      </c>
      <c r="BE19" s="75">
        <f>IF($B19=0,0,IF(BE$3=TotalApuestas!BE14,BE$5,0))</f>
        <v>0</v>
      </c>
      <c r="BF19" s="75">
        <f>IF($B19=0,0,IF(AND(BD$3=TotalApuestas!BD14,Resultado!BE$3=TotalApuestas!BE14),Resultado!BF$5+VLOOKUP(BF$4&amp;"bonus",Aux!$AD$1:$AE$46,2,0),IF(BF$3=TotalApuestas!BF14,BF$5,0)))</f>
        <v>0</v>
      </c>
      <c r="BG19" s="75">
        <f>IF($B19=0,0,IF(BG$3=TotalApuestas!BG14,BG$5,0))</f>
        <v>0</v>
      </c>
      <c r="BH19" s="75">
        <f>IF($B19=0,0,IF(BH$3=TotalApuestas!BH14,BH$5,0))</f>
        <v>0</v>
      </c>
      <c r="BI19" s="75">
        <f>IF($B19=0,0,IF(AND(BG$3=TotalApuestas!BG14,Resultado!BH$3=TotalApuestas!BH14),Resultado!BI$5+VLOOKUP(BI$4&amp;"bonus",Aux!$AD$1:$AE$46,2,0),IF(BI$3=TotalApuestas!BI14,BI$5,0)))</f>
        <v>0</v>
      </c>
      <c r="BJ19" s="75">
        <f>IF($B19=0,0,IF(BJ$3=TotalApuestas!BJ14,BJ$5,0))</f>
        <v>0</v>
      </c>
      <c r="BK19" s="75">
        <f>IF($B19=0,0,IF(BK$3=TotalApuestas!BK14,BK$5,0))</f>
        <v>0</v>
      </c>
      <c r="BL19" s="75">
        <f>IF($B19=0,0,IF(AND(BJ$3=TotalApuestas!BJ14,Resultado!BK$3=TotalApuestas!BK14),Resultado!BL$5+VLOOKUP(BL$4&amp;"bonus",Aux!$AD$1:$AE$46,2,0),IF(BL$3=TotalApuestas!BL14,BL$5,0)))</f>
        <v>0</v>
      </c>
      <c r="BM19" s="75">
        <f>IF($B19=0,0,IF(BM$3=TotalApuestas!BM14,BM$5,0))</f>
        <v>0</v>
      </c>
      <c r="BN19" s="75">
        <f>IF($B19=0,0,IF(BN$3=TotalApuestas!BN14,BN$5,0))</f>
        <v>0</v>
      </c>
      <c r="BO19" s="75">
        <f>IF($B19=0,0,IF(AND(BM$3=TotalApuestas!BM14,Resultado!BN$3=TotalApuestas!BN14),Resultado!BO$5+VLOOKUP(BO$4&amp;"bonus",Aux!$AD$1:$AE$46,2,0),IF(BO$3=TotalApuestas!BO14,BO$5,0)))</f>
        <v>0</v>
      </c>
      <c r="BP19" s="75">
        <f>IF($B19=0,0,IF(BP$3=TotalApuestas!BP14,BP$5,0))</f>
        <v>0</v>
      </c>
      <c r="BQ19" s="75">
        <f>IF($B19=0,0,IF(BQ$3=TotalApuestas!BQ14,BQ$5,0))</f>
        <v>0</v>
      </c>
      <c r="BR19" s="75">
        <f>IF($B19=0,0,IF(AND(BP$3=TotalApuestas!BP14,Resultado!BQ$3=TotalApuestas!BQ14),Resultado!BR$5+VLOOKUP(BR$4&amp;"bonus",Aux!$AD$1:$AE$46,2,0),IF(BR$3=TotalApuestas!BR14,BR$5,0)))</f>
        <v>0</v>
      </c>
      <c r="BS19" s="75">
        <f>IF($B19=0,0,IF(BS$3=TotalApuestas!BS14,BS$5,0))</f>
        <v>0</v>
      </c>
      <c r="BT19" s="75">
        <f>IF($B19=0,0,IF(BT$3=TotalApuestas!BT14,BT$5,0))</f>
        <v>0</v>
      </c>
      <c r="BU19" s="75">
        <f>IF($B19=0,0,IF(AND(BS$3=TotalApuestas!BS14,Resultado!BT$3=TotalApuestas!BT14),Resultado!BU$5+VLOOKUP(BU$4&amp;"bonus",Aux!$AD$1:$AE$46,2,0),IF(BU$3=TotalApuestas!BU14,BU$5,0)))</f>
        <v>0</v>
      </c>
      <c r="BV19" s="75">
        <f>IF($B19=0,0,IF(BV$3=TotalApuestas!BV14,BV$5,0))</f>
        <v>0</v>
      </c>
      <c r="BW19" s="75">
        <f>IF($B19=0,0,IF(BW$3=TotalApuestas!BW14,BW$5,0))</f>
        <v>0</v>
      </c>
      <c r="BX19" s="75">
        <f>IF($B19=0,0,IF(AND(BV$3=TotalApuestas!BV14,Resultado!BW$3=TotalApuestas!BW14),Resultado!BX$5+VLOOKUP(BX$4&amp;"bonus",Aux!$AD$1:$AE$46,2,0),IF(BX$3=TotalApuestas!BX14,BX$5,0)))</f>
        <v>0</v>
      </c>
      <c r="BY19" s="75">
        <f>IF($B19=0,0,IF(BY$3=TotalApuestas!BY14,BY$5,0))</f>
        <v>0</v>
      </c>
      <c r="BZ19" s="75">
        <f>IF($B19=0,0,IF(BZ$3=TotalApuestas!BZ14,BZ$5,0))</f>
        <v>0</v>
      </c>
      <c r="CA19" s="75">
        <f>IF($B19=0,0,IF(AND(BY$3=TotalApuestas!BY14,Resultado!BZ$3=TotalApuestas!BZ14),Resultado!CA$5+VLOOKUP(CA$4&amp;"bonus",Aux!$AD$1:$AE$46,2,0),IF(CA$3=TotalApuestas!CA14,CA$5,0)))</f>
        <v>0</v>
      </c>
      <c r="CB19" s="75">
        <f>IF($B19=0,0,IF(CB$3=TotalApuestas!CB14,CB$5,0))</f>
        <v>0</v>
      </c>
      <c r="CC19" s="75">
        <f>IF($B19=0,0,IF(CC$3=TotalApuestas!CC14,CC$5,0))</f>
        <v>0</v>
      </c>
      <c r="CD19" s="75">
        <f>IF($B19=0,0,IF(AND(CB$3=TotalApuestas!CB14,Resultado!CC$3=TotalApuestas!CC14),Resultado!CD$5+VLOOKUP(CD$4&amp;"bonus",Aux!$AD$1:$AE$46,2,0),IF(CD$3=TotalApuestas!CD14,CD$5,0)))</f>
        <v>0</v>
      </c>
      <c r="CE19" s="75">
        <f>IF($B19=0,0,IF(CE$3=TotalApuestas!CE14,CE$5,0))</f>
        <v>0</v>
      </c>
      <c r="CF19" s="75">
        <f>IF($B19=0,0,IF(CF$3=TotalApuestas!CF14,CF$5,0))</f>
        <v>0</v>
      </c>
      <c r="CG19" s="75">
        <f>IF($B19=0,0,IF(AND(CE$3=TotalApuestas!CE14,Resultado!CF$3=TotalApuestas!CF14),Resultado!CG$5+VLOOKUP(CG$4&amp;"bonus",Aux!$AD$1:$AE$46,2,0),IF(CG$3=TotalApuestas!CG14,CG$5,0)))</f>
        <v>0</v>
      </c>
      <c r="CH19" s="75">
        <f>IF($B19=0,0,IF(CH$3=TotalApuestas!CH14,CH$5,0))</f>
        <v>0</v>
      </c>
      <c r="CI19" s="75">
        <f>IF($B19=0,0,IF(CI$3=TotalApuestas!CI14,CI$5,0))</f>
        <v>0</v>
      </c>
      <c r="CJ19" s="75">
        <f>IF($B19=0,0,IF(AND(CH$3=TotalApuestas!CH14,Resultado!CI$3=TotalApuestas!CI14),Resultado!CJ$5+VLOOKUP(CJ$4&amp;"bonus",Aux!$AD$1:$AE$46,2,0),IF(CJ$3=TotalApuestas!CJ14,CJ$5,0)))</f>
        <v>0</v>
      </c>
      <c r="CK19" s="75">
        <f>IF($B19=0,0,IF(CK$3=TotalApuestas!CK14,CK$5,0))</f>
        <v>0</v>
      </c>
      <c r="CL19" s="75">
        <f>IF($B19=0,0,IF(CL$3=TotalApuestas!CL14,CL$5,0))</f>
        <v>0</v>
      </c>
      <c r="CM19" s="75">
        <f>IF($B19=0,0,IF(AND(CK$3=TotalApuestas!CK14,Resultado!CL$3=TotalApuestas!CL14),Resultado!CM$5+VLOOKUP(CM$4&amp;"bonus",Aux!$AD$1:$AE$46,2,0),IF(CM$3=TotalApuestas!CM14,CM$5,0)))</f>
        <v>0</v>
      </c>
      <c r="CN19" s="75">
        <f>IF($B19=0,0,IF(CN$3=TotalApuestas!CN14,CN$5,0))</f>
        <v>0</v>
      </c>
      <c r="CO19" s="75">
        <f>IF($B19=0,0,IF(CO$3=TotalApuestas!CO14,CO$5,0))</f>
        <v>0</v>
      </c>
      <c r="CP19" s="75">
        <f>IF($B19=0,0,IF(AND(CN$3=TotalApuestas!CN14,Resultado!CO$3=TotalApuestas!CO14),Resultado!CP$5+VLOOKUP(CP$4&amp;"bonus",Aux!$AD$1:$AE$46,2,0),IF(CP$3=TotalApuestas!CP14,CP$5,0)))</f>
        <v>0</v>
      </c>
      <c r="CQ19" s="75">
        <f>IF($B19=0,0,IF(CQ$3=TotalApuestas!CQ14,CQ$5,0))</f>
        <v>0</v>
      </c>
      <c r="CR19" s="75">
        <f>IF($B19=0,0,IF(CR$3=TotalApuestas!CR14,CR$5,0))</f>
        <v>0</v>
      </c>
      <c r="CS19" s="75">
        <f>IF($B19=0,0,IF(AND(CQ$3=TotalApuestas!CQ14,Resultado!CR$3=TotalApuestas!CR14),Resultado!CS$5+VLOOKUP(CS$4&amp;"bonus",Aux!$AD$1:$AE$46,2,0),IF(CS$3=TotalApuestas!CS14,CS$5,0)))</f>
        <v>0</v>
      </c>
      <c r="CT19" s="75">
        <f>IF($B19=0,0,IF(CT$3=TotalApuestas!CT14,CT$5,0))</f>
        <v>0</v>
      </c>
      <c r="CU19" s="75">
        <f>IF($B19=0,0,IF(CU$3=TotalApuestas!CU14,CU$5,0))</f>
        <v>0</v>
      </c>
      <c r="CV19" s="75">
        <f>IF($B19=0,0,IF(AND(CT$3=TotalApuestas!CT14,Resultado!CU$3=TotalApuestas!CU14),Resultado!CV$5+VLOOKUP(CV$4&amp;"bonus",Aux!$AD$1:$AE$46,2,0),IF(CV$3=TotalApuestas!CV14,CV$5,0)))</f>
        <v>0</v>
      </c>
      <c r="CW19" s="75">
        <f>IF($B19=0,0,IF(CW$3=TotalApuestas!CW14,CW$5,0))</f>
        <v>0</v>
      </c>
      <c r="CX19" s="75">
        <f>IF($B19=0,0,IF(CX$3=TotalApuestas!CX14,CX$5,0))</f>
        <v>0</v>
      </c>
      <c r="CY19" s="75">
        <f>IF($B19=0,0,IF(AND(CW$3=TotalApuestas!CW14,Resultado!CX$3=TotalApuestas!CX14),Resultado!CY$5+VLOOKUP(CY$4&amp;"bonus",Aux!$AD$1:$AE$46,2,0),IF(CY$3=TotalApuestas!CY14,CY$5,0)))</f>
        <v>0</v>
      </c>
      <c r="CZ19" s="75">
        <f>IF($B19=0,0,IF(CZ$3=TotalApuestas!CZ14,CZ$5,0))</f>
        <v>0</v>
      </c>
      <c r="DA19" s="75">
        <f>IF($B19=0,0,IF(DA$3=TotalApuestas!DA14,DA$5,0))</f>
        <v>0</v>
      </c>
      <c r="DB19" s="75">
        <f>IF($B19=0,0,IF(AND(CZ$3=TotalApuestas!CZ14,Resultado!DA$3=TotalApuestas!DA14),Resultado!DB$5+VLOOKUP(DB$4&amp;"bonus",Aux!$AD$1:$AE$46,2,0),IF(DB$3=TotalApuestas!DB14,DB$5,0)))</f>
        <v>0</v>
      </c>
      <c r="DC19" s="75">
        <f>IF($B19=0,0,IF(DC$3=TotalApuestas!DC14,DC$5,0))</f>
        <v>0</v>
      </c>
      <c r="DD19" s="75">
        <f>IF($B19=0,0,IF(DD$3=TotalApuestas!DD14,DD$5,0))</f>
        <v>0</v>
      </c>
      <c r="DE19" s="75">
        <f>IF($B19=0,0,IF(AND(DC$3=TotalApuestas!DC14,Resultado!DD$3=TotalApuestas!DD14),Resultado!DE$5+VLOOKUP(DE$4&amp;"bonus",Aux!$AD$1:$AE$46,2,0),IF(DE$3=TotalApuestas!DE14,DE$5,0)))</f>
        <v>0</v>
      </c>
      <c r="DF19" s="75">
        <f>IF($B19=0,0,IF(DF$3=TotalApuestas!DF14,DF$5,0))</f>
        <v>0</v>
      </c>
      <c r="DG19" s="75">
        <f>IF($B19=0,0,IF(DG$3=TotalApuestas!DG14,DG$5,0))</f>
        <v>0</v>
      </c>
      <c r="DH19" s="75">
        <f>IF($B19=0,0,IF(AND(DF$3=TotalApuestas!DF14,Resultado!DG$3=TotalApuestas!DG14),Resultado!DH$5+VLOOKUP(DH$4&amp;"bonus",Aux!$AD$1:$AE$46,2,0),IF(DH$3=TotalApuestas!DH14,DH$5,0)))</f>
        <v>0</v>
      </c>
      <c r="DI19" s="75">
        <f>IF($B19=0,0,IF(DI$3=TotalApuestas!DI14,DI$5,0))</f>
        <v>0</v>
      </c>
      <c r="DJ19" s="75">
        <f>IF($B19=0,0,IF(DJ$3=TotalApuestas!DJ14,DJ$5,0))</f>
        <v>0</v>
      </c>
      <c r="DK19" s="75">
        <f>IF($B19=0,0,IF(AND(DI$3=TotalApuestas!DI14,Resultado!DJ$3=TotalApuestas!DJ14),Resultado!DK$5+VLOOKUP(DK$4&amp;"bonus",Aux!$AD$1:$AE$46,2,0),IF(DK$3=TotalApuestas!DK14,DK$5,0)))</f>
        <v>0</v>
      </c>
      <c r="DL19" s="75">
        <f>IF($B19=0,0,IF(DL$3=TotalApuestas!DL14,DL$5,0))</f>
        <v>0</v>
      </c>
      <c r="DM19" s="75">
        <f>IF($B19=0,0,IF(DM$3=TotalApuestas!DM14,DM$5,0))</f>
        <v>0</v>
      </c>
      <c r="DN19" s="75">
        <f>IF($B19=0,0,IF(AND(DL$3=TotalApuestas!DL14,Resultado!DM$3=TotalApuestas!DM14),Resultado!DN$5+VLOOKUP(DN$4&amp;"bonus",Aux!$AD$1:$AE$46,2,0),IF(DN$3=TotalApuestas!DN14,DN$5,0)))</f>
        <v>0</v>
      </c>
      <c r="DO19" s="75">
        <f>IF($B19=0,0,IF(DO$3=TotalApuestas!DO14,DO$5,0))</f>
        <v>0</v>
      </c>
      <c r="DP19" s="75">
        <f>IF($B19=0,0,IF(DP$3=TotalApuestas!DP14,DP$5,0))</f>
        <v>0</v>
      </c>
      <c r="DQ19" s="75">
        <f>IF($B19=0,0,IF(AND(DO$3=TotalApuestas!DO14,Resultado!DP$3=TotalApuestas!DP14),Resultado!DQ$5+VLOOKUP(DQ$4&amp;"bonus",Aux!$AD$1:$AE$46,2,0),IF(DQ$3=TotalApuestas!DQ14,DQ$5,0)))</f>
        <v>0</v>
      </c>
      <c r="DR19" s="75">
        <f>IF($B19=0,0,IF(DR$3=TotalApuestas!DR14,DR$5,0))</f>
        <v>0</v>
      </c>
      <c r="DS19" s="75">
        <f>IF($B19=0,0,IF(DS$3=TotalApuestas!DS14,DS$5,0))</f>
        <v>0</v>
      </c>
      <c r="DT19" s="75">
        <f>IF($B19=0,0,IF(AND(DR$3=TotalApuestas!DR14,Resultado!DS$3=TotalApuestas!DS14),Resultado!DT$5+VLOOKUP(DT$4&amp;"bonus",Aux!$AD$1:$AE$46,2,0),IF(DT$3=TotalApuestas!DT14,DT$5,0)))</f>
        <v>0</v>
      </c>
      <c r="DU19" s="75">
        <f>IF($B19=0,0,IF(DU$3=TotalApuestas!DU14,DU$5,0))</f>
        <v>0</v>
      </c>
      <c r="DV19" s="75">
        <f>IF($B19=0,0,IF(DV$3=TotalApuestas!DV14,DV$5,0))</f>
        <v>0</v>
      </c>
      <c r="DW19" s="75">
        <f>IF($B19=0,0,IF(AND(DU$3=TotalApuestas!DU14,Resultado!DV$3=TotalApuestas!DV14),Resultado!DW$5+VLOOKUP(DW$4&amp;"bonus",Aux!$AD$1:$AE$46,2,0),IF(DW$3=TotalApuestas!DW14,DW$5,0)))</f>
        <v>0</v>
      </c>
      <c r="DX19" s="75">
        <f>IF($B19=0,0,IF(DX$3=TotalApuestas!DX14,DX$5,0))</f>
        <v>0</v>
      </c>
      <c r="DY19" s="75">
        <f>IF($B19=0,0,IF(DY$3=TotalApuestas!DY14,DY$5,0))</f>
        <v>0</v>
      </c>
      <c r="DZ19" s="75">
        <f>IF($B19=0,0,IF(AND(DX$3=TotalApuestas!DX14,Resultado!DY$3=TotalApuestas!DY14),Resultado!DZ$5+VLOOKUP(DZ$4&amp;"bonus",Aux!$AD$1:$AE$46,2,0),IF(DZ$3=TotalApuestas!DZ14,DZ$5,0)))</f>
        <v>0</v>
      </c>
      <c r="EA19" s="75">
        <f>IF($B19=0,0,IF(EA$3=TotalApuestas!EA14,EA$5,0))</f>
        <v>0</v>
      </c>
      <c r="EB19" s="75">
        <f>IF($B19=0,0,IF(EB$3=TotalApuestas!EB14,EB$5,0))</f>
        <v>0</v>
      </c>
      <c r="EC19" s="75">
        <f>IF($B19=0,0,IF(AND(EA$3=TotalApuestas!EA14,Resultado!EB$3=TotalApuestas!EB14),Resultado!EC$5+VLOOKUP(EC$4&amp;"bonus",Aux!$AD$1:$AE$46,2,0),IF(EC$3=TotalApuestas!EC14,EC$5,0)))</f>
        <v>0</v>
      </c>
      <c r="ED19" s="75">
        <f>IF($B19=0,0,IF(ED$3=TotalApuestas!ED14,ED$5,0))</f>
        <v>0</v>
      </c>
      <c r="EE19" s="75">
        <f>IF($B19=0,0,IF(EE$3=TotalApuestas!EE14,EE$5,0))</f>
        <v>0</v>
      </c>
      <c r="EF19" s="75">
        <f>IF($B19=0,0,IF(AND(ED$3=TotalApuestas!ED14,Resultado!EE$3=TotalApuestas!EE14),Resultado!EF$5+VLOOKUP(EF$4&amp;"bonus",Aux!$AD$1:$AE$46,2,0),IF(EF$3=TotalApuestas!EF14,EF$5,0)))</f>
        <v>0</v>
      </c>
      <c r="EG19" s="75">
        <f>IF($B19=0,0,IF(EG$3=TotalApuestas!EG14,EG$5,0))</f>
        <v>0</v>
      </c>
      <c r="EH19" s="75">
        <f>IF($B19=0,0,IF(EH$3=TotalApuestas!EH14,EH$5,0))</f>
        <v>0</v>
      </c>
      <c r="EI19" s="75">
        <f>IF($B19=0,0,IF(AND(EG$3=TotalApuestas!EG14,Resultado!EH$3=TotalApuestas!EH14),Resultado!EI$5+VLOOKUP(EI$4&amp;"bonus",Aux!$AD$1:$AE$46,2,0),IF(EI$3=TotalApuestas!EI14,EI$5,0)))</f>
        <v>0</v>
      </c>
      <c r="EJ19" s="75">
        <f>IF($B19=0,0,IF(EJ$3=TotalApuestas!EJ14,EJ$5,0))</f>
        <v>0</v>
      </c>
      <c r="EK19" s="75">
        <f>IF($B19=0,0,IF(EK$3=TotalApuestas!EK14,EK$5,0))</f>
        <v>0</v>
      </c>
      <c r="EL19" s="75">
        <f>IF($B19=0,0,IF(AND(EJ$3=TotalApuestas!EJ14,Resultado!EK$3=TotalApuestas!EK14),Resultado!EL$5+VLOOKUP(EL$4&amp;"bonus",Aux!$AD$1:$AE$46,2,0),IF(EL$3=TotalApuestas!EL14,EL$5,0)))</f>
        <v>0</v>
      </c>
      <c r="EM19" s="75">
        <f>IF($B19=0,0,IF(EM$3=TotalApuestas!EM14,EM$5,0))</f>
        <v>0</v>
      </c>
      <c r="EN19" s="75">
        <f>IF($B19=0,0,IF(EN$3=TotalApuestas!EN14,EN$5,0))</f>
        <v>0</v>
      </c>
      <c r="EO19" s="75">
        <f>IF($B19=0,0,IF(AND(EM$3=TotalApuestas!EM14,Resultado!EN$3=TotalApuestas!EN14),Resultado!EO$5+VLOOKUP(EO$4&amp;"bonus",Aux!$AD$1:$AE$46,2,0),IF(EO$3=TotalApuestas!EO14,EO$5,0)))</f>
        <v>0</v>
      </c>
      <c r="EP19" s="75">
        <f>IF($B19=0,0,IF(EP$3=TotalApuestas!EP14,EP$5,0))</f>
        <v>0</v>
      </c>
      <c r="EQ19" s="75">
        <f>IF($B19=0,0,IF(EQ$3=TotalApuestas!EQ14,EQ$5,0))</f>
        <v>0</v>
      </c>
      <c r="ER19" s="75">
        <f>IF($B19=0,0,IF(AND(EP$3=TotalApuestas!EP14,Resultado!EQ$3=TotalApuestas!EQ14),Resultado!ER$5+VLOOKUP(ER$4&amp;"bonus",Aux!$AD$1:$AE$46,2,0),IF(ER$3=TotalApuestas!ER14,ER$5,0)))</f>
        <v>0</v>
      </c>
      <c r="ES19" s="75">
        <f>IF($B19=0,0,IF(ES$3=TotalApuestas!ES14,ES$5,0))</f>
        <v>0</v>
      </c>
      <c r="ET19" s="75">
        <f>IF($B19=0,0,IF(ET$3=TotalApuestas!ET14,ET$5,0))</f>
        <v>0</v>
      </c>
      <c r="EU19" s="75">
        <f>IF($B19=0,0,IF(EU$3=TotalApuestas!EU14,EU$5,0))</f>
        <v>0</v>
      </c>
      <c r="EV19" s="75">
        <f>IF($B19=0,0,IF(EV$3=TotalApuestas!EV14,EV$5,0))</f>
        <v>0</v>
      </c>
      <c r="EW19" s="75">
        <f>IF($B19=0,0,IF(EW$3=TotalApuestas!EW14,EW$5,0))</f>
        <v>0</v>
      </c>
      <c r="EX19" s="75">
        <f>IF($B19=0,0,IF(EX$3=TotalApuestas!EX14,EX$5,0))</f>
        <v>0</v>
      </c>
      <c r="EY19" s="75">
        <f>IF($B19=0,0,IF(EY$3=TotalApuestas!EY14,EY$5,0))</f>
        <v>0</v>
      </c>
      <c r="EZ19" s="75">
        <f>IF($B19=0,0,IF(EZ$3=TotalApuestas!EZ14,EZ$5,0))</f>
        <v>0</v>
      </c>
      <c r="FA19" s="75">
        <f>IF($B19=0,0,IF(FA$3=TotalApuestas!FA14,FA$5,0))</f>
        <v>0</v>
      </c>
      <c r="FB19" s="75">
        <f>IF($B19=0,0,IF(FB$3=TotalApuestas!FB14,FB$5,0))</f>
        <v>0</v>
      </c>
      <c r="FC19" s="75">
        <f>IF($B19=0,0,IF(FC$3=TotalApuestas!FC14,FC$5,0))</f>
        <v>0</v>
      </c>
      <c r="FD19" s="75">
        <f>IF($B19=0,0,IF(FD$3=TotalApuestas!FD14,FD$5,0))</f>
        <v>0</v>
      </c>
      <c r="FE19" s="75">
        <f>IF($B19=0,0,IF(FE$3=TotalApuestas!FE14,FE$5,0))</f>
        <v>0</v>
      </c>
      <c r="FF19" s="75">
        <f>IF($B19=0,0,IF(FF$3=TotalApuestas!FF14,FF$5,0))</f>
        <v>0</v>
      </c>
      <c r="FG19" s="75">
        <f>IF($B19=0,0,IF(FG$3=TotalApuestas!FG14,FG$5,0))</f>
        <v>0</v>
      </c>
      <c r="FH19" s="75">
        <f>IF($B19=0,0,IF(FH$3=TotalApuestas!FH14,FH$5,0))</f>
        <v>0</v>
      </c>
      <c r="FI19" s="75">
        <f>IF($B19=0,0,IF(FI$3=TotalApuestas!FI14,FI$5,0))</f>
        <v>0</v>
      </c>
      <c r="FJ19" s="75">
        <f>IF($B19=0,0,IF(FJ$3=TotalApuestas!FJ14,FJ$5,0))</f>
        <v>0</v>
      </c>
      <c r="FK19" s="75">
        <f>IF($B19=0,0,IF(FK$3=TotalApuestas!FK14,FK$5,0))</f>
        <v>0</v>
      </c>
      <c r="FL19" s="75">
        <f>IF($B19=0,0,IF(FL$3=TotalApuestas!FL14,FL$5,0))</f>
        <v>0</v>
      </c>
      <c r="FM19" s="75">
        <f>IF($B19=0,0,IF(FM$3=TotalApuestas!FM14,FM$5,0))</f>
        <v>0</v>
      </c>
      <c r="FN19" s="75">
        <f>IF($B19=0,0,IF(FN$3=TotalApuestas!FN14,FN$5,0))</f>
        <v>0</v>
      </c>
      <c r="FO19" s="75">
        <f>IF($B19=0,0,IF(FO$3=TotalApuestas!FO14,FO$5,0))</f>
        <v>0</v>
      </c>
      <c r="FP19" s="75">
        <f>IF($B19=0,0,IF(FP$3=TotalApuestas!FP14,FP$5,0))</f>
        <v>0</v>
      </c>
      <c r="FQ19" s="75">
        <f>IF($B19=0,0,IF(FQ$3=TotalApuestas!FQ14,FQ$5,0))</f>
        <v>0</v>
      </c>
      <c r="FR19" s="75">
        <f>IF($B19=0,0,IF(FR$3=TotalApuestas!FR14,FR$5,0))</f>
        <v>0</v>
      </c>
      <c r="FS19" s="75">
        <f>IF($B19=0,0,IF(FS$3=TotalApuestas!FS14,FS$5,0))</f>
        <v>0</v>
      </c>
      <c r="FT19" s="75">
        <f>IF($B19=0,0,IF(FT$3=TotalApuestas!FT14,FT$5,0))</f>
        <v>0</v>
      </c>
      <c r="FU19" s="75">
        <f>IF($B19=0,0,IF(FU$3=TotalApuestas!FU14,FU$5,0))</f>
        <v>0</v>
      </c>
      <c r="FV19" s="75">
        <f>IF($B19=0,0,IF(FV$3=TotalApuestas!FV14,FV$5,0))</f>
        <v>0</v>
      </c>
      <c r="FW19" s="75">
        <f>IF($B19=0,0,IF(FW$3=TotalApuestas!FW14,FW$5,0))</f>
        <v>0</v>
      </c>
      <c r="FX19" s="75">
        <f>IF($B19=0,0,IF(FX$3=TotalApuestas!FX14,FX$5,0))</f>
        <v>0</v>
      </c>
      <c r="FY19" s="75">
        <f>IF($B19=0,0,IF(FY$3=TotalApuestas!FY14,FY$5,0))</f>
        <v>0</v>
      </c>
      <c r="FZ19" s="75">
        <f>IF($B19=0,0,IF(AND(FX$3=TotalApuestas!FX14,Resultado!FY$3=TotalApuestas!FY14),Resultado!FZ$5+VLOOKUP(FZ$4&amp;"bonus",Aux!$AD$1:$AE$46,2,0),IF(FZ$3=TotalApuestas!FZ14,FZ$5,0)))</f>
        <v>0</v>
      </c>
      <c r="GA19" s="75">
        <f>IF($B19=0,0,IF(GA$3=TotalApuestas!GA14,GA$5,0))</f>
        <v>0</v>
      </c>
      <c r="GB19" s="75">
        <f>IF($B19=0,0,IF(GB$3=TotalApuestas!GB14,GB$5,0))</f>
        <v>0</v>
      </c>
      <c r="GC19" s="75">
        <f>IF($B19=0,0,IF(AND(GA$3=TotalApuestas!GA14,Resultado!GB$3=TotalApuestas!GB14),Resultado!GC$5+VLOOKUP(GC$4&amp;"bonus",Aux!$AD$1:$AE$46,2,0),IF(GC$3=TotalApuestas!GC14,GC$5,0)))</f>
        <v>0</v>
      </c>
      <c r="GD19" s="75">
        <f>IF($B19=0,0,IF(GD$3=TotalApuestas!GD14,GD$5,0))</f>
        <v>0</v>
      </c>
      <c r="GE19" s="75">
        <f>IF($B19=0,0,IF(GE$3=TotalApuestas!GE14,GE$5,0))</f>
        <v>0</v>
      </c>
      <c r="GF19" s="75">
        <f>IF($B19=0,0,IF(AND(GD$3=TotalApuestas!GD14,Resultado!GE$3=TotalApuestas!GE14),Resultado!GF$5+VLOOKUP(GF$4&amp;"bonus",Aux!$AD$1:$AE$46,2,0),IF(GF$3=TotalApuestas!GF14,GF$5,0)))</f>
        <v>0</v>
      </c>
      <c r="GG19" s="75">
        <f>IF($B19=0,0,IF(GG$3=TotalApuestas!GG14,GG$5,0))</f>
        <v>0</v>
      </c>
      <c r="GH19" s="75">
        <f>IF($B19=0,0,IF(GH$3=TotalApuestas!GH14,GH$5,0))</f>
        <v>0</v>
      </c>
      <c r="GI19" s="75">
        <f>IF($B19=0,0,IF(AND(GG$3=TotalApuestas!GG14,Resultado!GH$3=TotalApuestas!GH14),Resultado!GI$5+VLOOKUP(GI$4&amp;"bonus",Aux!$AD$1:$AE$46,2,0),IF(GI$3=TotalApuestas!GI14,GI$5,0)))</f>
        <v>0</v>
      </c>
      <c r="GJ19" s="75">
        <f>IF($B19=0,0,IF(GJ$3=TotalApuestas!GJ14,GJ$5,0))</f>
        <v>0</v>
      </c>
      <c r="GK19" s="75">
        <f>IF($B19=0,0,IF(GK$3=TotalApuestas!GK14,GK$5,0))</f>
        <v>0</v>
      </c>
      <c r="GL19" s="75">
        <f>IF($B19=0,0,IF(AND(GJ$3=TotalApuestas!GJ14,Resultado!GK$3=TotalApuestas!GK14),Resultado!GL$5+VLOOKUP(GL$4&amp;"bonus",Aux!$AD$1:$AE$46,2,0),IF(GL$3=TotalApuestas!GL14,GL$5,0)))</f>
        <v>0</v>
      </c>
      <c r="GM19" s="75">
        <f>IF($B19=0,0,IF(GM$3=TotalApuestas!GM14,GM$5,0))</f>
        <v>0</v>
      </c>
      <c r="GN19" s="75">
        <f>IF($B19=0,0,IF(GN$3=TotalApuestas!GN14,GN$5,0))</f>
        <v>0</v>
      </c>
      <c r="GO19" s="75">
        <f>IF($B19=0,0,IF(AND(GM$3=TotalApuestas!GM14,Resultado!GN$3=TotalApuestas!GN14),Resultado!GO$5+VLOOKUP(GO$4&amp;"bonus",Aux!$AD$1:$AE$46,2,0),IF(GO$3=TotalApuestas!GO14,GO$5,0)))</f>
        <v>0</v>
      </c>
      <c r="GP19" s="75">
        <f>IF($B19=0,0,IF(GP$3=TotalApuestas!GP14,GP$5,0))</f>
        <v>0</v>
      </c>
      <c r="GQ19" s="75">
        <f>IF($B19=0,0,IF(GQ$3=TotalApuestas!GQ14,GQ$5,0))</f>
        <v>0</v>
      </c>
      <c r="GR19" s="75">
        <f>IF($B19=0,0,IF(AND(GP$3=TotalApuestas!GP14,Resultado!GQ$3=TotalApuestas!GQ14),Resultado!GR$5+VLOOKUP(GR$4&amp;"bonus",Aux!$AD$1:$AE$46,2,0),IF(GR$3=TotalApuestas!GR14,GR$5,0)))</f>
        <v>0</v>
      </c>
      <c r="GS19" s="75">
        <f>IF($B19=0,0,IF(GS$3=TotalApuestas!GS14,GS$5,0))</f>
        <v>0</v>
      </c>
      <c r="GT19" s="75">
        <f>IF($B19=0,0,IF(GT$3=TotalApuestas!GT14,GT$5,0))</f>
        <v>0</v>
      </c>
      <c r="GU19" s="75">
        <f>IF($B19=0,0,IF(AND(GS$3=TotalApuestas!GS14,Resultado!GT$3=TotalApuestas!GT14),Resultado!GU$5+VLOOKUP(GU$4&amp;"bonus",Aux!$AD$1:$AE$46,2,0),IF(GU$3=TotalApuestas!GU14,GU$5,0)))</f>
        <v>0</v>
      </c>
      <c r="GV19" s="75">
        <f>IF($B19=0,0,IF(GV$3=TotalApuestas!GV14,GV$5,0))</f>
        <v>0</v>
      </c>
      <c r="GW19" s="75">
        <f>IF($B19=0,0,IF(GW$3=TotalApuestas!GW14,GW$5,0))</f>
        <v>0</v>
      </c>
      <c r="GX19" s="75">
        <f>IF($B19=0,0,IF(AND(GV$3=TotalApuestas!GV14,Resultado!GW$3=TotalApuestas!GW14),Resultado!GX$5+VLOOKUP(GX$4&amp;"bonus",Aux!$AD$1:$AE$46,2,0),IF(GX$3=TotalApuestas!GX14,GX$5,0)))</f>
        <v>0</v>
      </c>
      <c r="GY19" s="75">
        <f>IF($B19=0,0,IF(GY$3=TotalApuestas!GY14,GY$5,0))</f>
        <v>0</v>
      </c>
      <c r="GZ19" s="75">
        <f>IF($B19=0,0,IF(GZ$3=TotalApuestas!GZ14,GZ$5,0))</f>
        <v>0</v>
      </c>
      <c r="HA19" s="75">
        <f>IF($B19=0,0,IF(AND(GY$3=TotalApuestas!GY14,Resultado!GZ$3=TotalApuestas!GZ14),Resultado!HA$5+VLOOKUP(HA$4&amp;"bonus",Aux!$AD$1:$AE$46,2,0),IF(HA$3=TotalApuestas!HA14,HA$5,0)))</f>
        <v>0</v>
      </c>
      <c r="HB19" s="75">
        <f>IF($B19=0,0,IF(HB$3=TotalApuestas!HB14,HB$5,0))</f>
        <v>0</v>
      </c>
      <c r="HC19" s="75">
        <f>IF($B19=0,0,IF(HC$3=TotalApuestas!HC14,HC$5,0))</f>
        <v>0</v>
      </c>
      <c r="HD19" s="75">
        <f>IF($B19=0,0,IF(AND(HB$3=TotalApuestas!HB14,Resultado!HC$3=TotalApuestas!HC14),Resultado!HD$5+VLOOKUP(HD$4&amp;"bonus",Aux!$AD$1:$AE$46,2,0),IF(HD$3=TotalApuestas!HD14,HD$5,0)))</f>
        <v>0</v>
      </c>
      <c r="HE19" s="75">
        <f>IF($B19=0,0,IF(HE$3=TotalApuestas!HE14,HE$5,0))</f>
        <v>0</v>
      </c>
      <c r="HF19" s="75">
        <f>IF($B19=0,0,IF(HF$3=TotalApuestas!HF14,HF$5,0))</f>
        <v>0</v>
      </c>
      <c r="HG19" s="75">
        <f>IF($B19=0,0,IF(AND(HE$3=TotalApuestas!HE14,Resultado!HF$3=TotalApuestas!HF14),Resultado!HG$5+VLOOKUP(HG$4&amp;"bonus",Aux!$AD$1:$AE$46,2,0),IF(HG$3=TotalApuestas!HG14,HG$5,0)))</f>
        <v>0</v>
      </c>
      <c r="HH19" s="75">
        <f>IF($B19=0,0,IF(HH$3=TotalApuestas!HH14,HH$5,0))</f>
        <v>0</v>
      </c>
      <c r="HI19" s="75">
        <f>IF($B19=0,0,IF(HI$3=TotalApuestas!HI14,HI$5,0))</f>
        <v>0</v>
      </c>
      <c r="HJ19" s="75">
        <f>IF($B19=0,0,IF(AND(HH$3=TotalApuestas!HH14,Resultado!HI$3=TotalApuestas!HI14),Resultado!HJ$5+VLOOKUP(HJ$4&amp;"bonus",Aux!$AD$1:$AE$46,2,0),IF(HJ$3=TotalApuestas!HJ14,HJ$5,0)))</f>
        <v>0</v>
      </c>
      <c r="HK19" s="75">
        <f>IF($B19=0,0,IF(HK$3=TotalApuestas!HK14,HK$5,0))</f>
        <v>0</v>
      </c>
      <c r="HL19" s="75">
        <f>IF($B19=0,0,IF(HL$3=TotalApuestas!HL14,HL$5,0))</f>
        <v>0</v>
      </c>
      <c r="HM19" s="75">
        <f>IF($B19=0,0,IF(AND(HK$3=TotalApuestas!HK14,Resultado!HL$3=TotalApuestas!HL14),Resultado!HM$5+VLOOKUP(HM$4&amp;"bonus",Aux!$AD$1:$AE$46,2,0),IF(HM$3=TotalApuestas!HM14,HM$5,0)))</f>
        <v>0</v>
      </c>
      <c r="HN19" s="75">
        <f>IF($B19=0,0,IF(HN$3=TotalApuestas!HN14,HN$5,0))</f>
        <v>0</v>
      </c>
      <c r="HO19" s="75">
        <f>IF($B19=0,0,IF(HO$3=TotalApuestas!HO14,HO$5,0))</f>
        <v>0</v>
      </c>
      <c r="HP19" s="75">
        <f>IF($B19=0,0,IF(AND(HN$3=TotalApuestas!HN14,Resultado!HO$3=TotalApuestas!HO14),Resultado!HP$5+VLOOKUP(HP$4&amp;"bonus",Aux!$AD$1:$AE$46,2,0),IF(HP$3=TotalApuestas!HP14,HP$5,0)))</f>
        <v>0</v>
      </c>
    </row>
    <row r="20" spans="2:224" x14ac:dyDescent="0.25">
      <c r="B20">
        <f>+TotalApuestas!B15</f>
        <v>0</v>
      </c>
      <c r="E20" s="75">
        <f>IF($B20=0,0,IF(E$3=TotalApuestas!E15,E$5,0))</f>
        <v>0</v>
      </c>
      <c r="F20" s="75">
        <f>IF($B20=0,0,IF(F$3=TotalApuestas!F15,F$5,0))</f>
        <v>0</v>
      </c>
      <c r="G20" s="75">
        <f>IF($B20=0,0,IF(AND(E$3=TotalApuestas!E15,Resultado!F$3=TotalApuestas!F15),Resultado!G$5+VLOOKUP(G$4&amp;"bonus",Aux!$AD$1:$AE$46,2,0),IF(G$3=TotalApuestas!G15,G$5,0)))</f>
        <v>0</v>
      </c>
      <c r="H20" s="75">
        <f>IF($B20=0,0,IF(H$3=TotalApuestas!H15,H$5,0))</f>
        <v>0</v>
      </c>
      <c r="I20" s="75">
        <f>IF($B20=0,0,IF(I$3=TotalApuestas!I15,I$5,0))</f>
        <v>0</v>
      </c>
      <c r="J20" s="75">
        <f>IF($B20=0,0,IF(AND(H$3=TotalApuestas!H15,Resultado!I$3=TotalApuestas!I15),Resultado!J$5+VLOOKUP(J$4&amp;"bonus",Aux!$AD$1:$AE$46,2,0),IF(J$3=TotalApuestas!J15,J$5,0)))</f>
        <v>0</v>
      </c>
      <c r="K20" s="75">
        <f>IF($B20=0,0,IF(K$3=TotalApuestas!K15,K$5,0))</f>
        <v>0</v>
      </c>
      <c r="L20" s="75">
        <f>IF($B20=0,0,IF(L$3=TotalApuestas!L15,L$5,0))</f>
        <v>0</v>
      </c>
      <c r="M20" s="75">
        <f>IF($B20=0,0,IF(AND(K$3=TotalApuestas!K15,Resultado!L$3=TotalApuestas!L15),Resultado!M$5+VLOOKUP(M$4&amp;"bonus",Aux!$AD$1:$AE$46,2,0),IF(M$3=TotalApuestas!M15,M$5,0)))</f>
        <v>0</v>
      </c>
      <c r="N20" s="75">
        <f>IF($B20=0,0,IF(N$3=TotalApuestas!N15,N$5,0))</f>
        <v>0</v>
      </c>
      <c r="O20" s="75">
        <f>IF($B20=0,0,IF(O$3=TotalApuestas!O15,O$5,0))</f>
        <v>0</v>
      </c>
      <c r="P20" s="75">
        <f>IF($B20=0,0,IF(AND(N$3=TotalApuestas!N15,Resultado!O$3=TotalApuestas!O15),Resultado!P$5+VLOOKUP(P$4&amp;"bonus",Aux!$AD$1:$AE$46,2,0),IF(P$3=TotalApuestas!P15,P$5,0)))</f>
        <v>0</v>
      </c>
      <c r="Q20" s="75">
        <f>IF($B20=0,0,IF(Q$3=TotalApuestas!Q15,Q$5,0))</f>
        <v>0</v>
      </c>
      <c r="R20" s="75">
        <f>IF($B20=0,0,IF(R$3=TotalApuestas!R15,R$5,0))</f>
        <v>0</v>
      </c>
      <c r="S20" s="75">
        <f>IF($B20=0,0,IF(AND(Q$3=TotalApuestas!Q15,Resultado!R$3=TotalApuestas!R15),Resultado!S$5+VLOOKUP(S$4&amp;"bonus",Aux!$AD$1:$AE$46,2,0),IF(S$3=TotalApuestas!S15,S$5,0)))</f>
        <v>0</v>
      </c>
      <c r="T20" s="75">
        <f>IF($B20=0,0,IF(T$3=TotalApuestas!T15,T$5,0))</f>
        <v>0</v>
      </c>
      <c r="U20" s="75">
        <f>IF($B20=0,0,IF(U$3=TotalApuestas!U15,U$5,0))</f>
        <v>0</v>
      </c>
      <c r="V20" s="75">
        <f>IF($B20=0,0,IF(AND(T$3=TotalApuestas!T15,Resultado!U$3=TotalApuestas!U15),Resultado!V$5+VLOOKUP(V$4&amp;"bonus",Aux!$AD$1:$AE$46,2,0),IF(V$3=TotalApuestas!V15,V$5,0)))</f>
        <v>0</v>
      </c>
      <c r="W20" s="75">
        <f>IF($B20=0,0,IF(W$3=TotalApuestas!W15,W$5,0))</f>
        <v>0</v>
      </c>
      <c r="X20" s="75">
        <f>IF($B20=0,0,IF(X$3=TotalApuestas!X15,X$5,0))</f>
        <v>0</v>
      </c>
      <c r="Y20" s="75">
        <f>IF($B20=0,0,IF(AND(W$3=TotalApuestas!W15,Resultado!X$3=TotalApuestas!X15),Resultado!Y$5+VLOOKUP(Y$4&amp;"bonus",Aux!$AD$1:$AE$46,2,0),IF(Y$3=TotalApuestas!Y15,Y$5,0)))</f>
        <v>0</v>
      </c>
      <c r="Z20" s="75">
        <f>IF($B20=0,0,IF(Z$3=TotalApuestas!Z15,Z$5,0))</f>
        <v>0</v>
      </c>
      <c r="AA20" s="75">
        <f>IF($B20=0,0,IF(AA$3=TotalApuestas!AA15,AA$5,0))</f>
        <v>0</v>
      </c>
      <c r="AB20" s="75">
        <f>IF($B20=0,0,IF(AND(Z$3=TotalApuestas!Z15,Resultado!AA$3=TotalApuestas!AA15),Resultado!AB$5+VLOOKUP(AB$4&amp;"bonus",Aux!$AD$1:$AE$46,2,0),IF(AB$3=TotalApuestas!AB15,AB$5,0)))</f>
        <v>0</v>
      </c>
      <c r="AC20" s="75">
        <f>IF($B20=0,0,IF(AC$3=TotalApuestas!AC15,AC$5,0))</f>
        <v>0</v>
      </c>
      <c r="AD20" s="75">
        <f>IF($B20=0,0,IF(AD$3=TotalApuestas!AD15,AD$5,0))</f>
        <v>0</v>
      </c>
      <c r="AE20" s="75">
        <f>IF($B20=0,0,IF(AND(AC$3=TotalApuestas!AC15,Resultado!AD$3=TotalApuestas!AD15),Resultado!AE$5+VLOOKUP(AE$4&amp;"bonus",Aux!$AD$1:$AE$46,2,0),IF(AE$3=TotalApuestas!AE15,AE$5,0)))</f>
        <v>0</v>
      </c>
      <c r="AF20" s="75">
        <f>IF($B20=0,0,IF(AF$3=TotalApuestas!AF15,AF$5,0))</f>
        <v>0</v>
      </c>
      <c r="AG20" s="75">
        <f>IF($B20=0,0,IF(AG$3=TotalApuestas!AG15,AG$5,0))</f>
        <v>0</v>
      </c>
      <c r="AH20" s="75">
        <f>IF($B20=0,0,IF(AND(AF$3=TotalApuestas!AF15,Resultado!AG$3=TotalApuestas!AG15),Resultado!AH$5+VLOOKUP(AH$4&amp;"bonus",Aux!$AD$1:$AE$46,2,0),IF(AH$3=TotalApuestas!AH15,AH$5,0)))</f>
        <v>0</v>
      </c>
      <c r="AI20" s="75">
        <f>IF($B20=0,0,IF(AI$3=TotalApuestas!AI15,AI$5,0))</f>
        <v>0</v>
      </c>
      <c r="AJ20" s="75">
        <f>IF($B20=0,0,IF(AJ$3=TotalApuestas!AJ15,AJ$5,0))</f>
        <v>0</v>
      </c>
      <c r="AK20" s="75">
        <f>IF($B20=0,0,IF(AND(AI$3=TotalApuestas!AI15,Resultado!AJ$3=TotalApuestas!AJ15),Resultado!AK$5+VLOOKUP(AK$4&amp;"bonus",Aux!$AD$1:$AE$46,2,0),IF(AK$3=TotalApuestas!AK15,AK$5,0)))</f>
        <v>0</v>
      </c>
      <c r="AL20" s="75">
        <f>IF($B20=0,0,IF(AL$3=TotalApuestas!AL15,AL$5,0))</f>
        <v>0</v>
      </c>
      <c r="AM20" s="75">
        <f>IF($B20=0,0,IF(AM$3=TotalApuestas!AM15,AM$5,0))</f>
        <v>0</v>
      </c>
      <c r="AN20" s="75">
        <f>IF($B20=0,0,IF(AND(AL$3=TotalApuestas!AL15,Resultado!AM$3=TotalApuestas!AM15),Resultado!AN$5+VLOOKUP(AN$4&amp;"bonus",Aux!$AD$1:$AE$46,2,0),IF(AN$3=TotalApuestas!AN15,AN$5,0)))</f>
        <v>0</v>
      </c>
      <c r="AO20" s="75">
        <f>IF($B20=0,0,IF(AO$3=TotalApuestas!AO15,AO$5,0))</f>
        <v>0</v>
      </c>
      <c r="AP20" s="75">
        <f>IF($B20=0,0,IF(AP$3=TotalApuestas!AP15,AP$5,0))</f>
        <v>0</v>
      </c>
      <c r="AQ20" s="75">
        <f>IF($B20=0,0,IF(AND(AO$3=TotalApuestas!AO15,Resultado!AP$3=TotalApuestas!AP15),Resultado!AQ$5+VLOOKUP(AQ$4&amp;"bonus",Aux!$AD$1:$AE$46,2,0),IF(AQ$3=TotalApuestas!AQ15,AQ$5,0)))</f>
        <v>0</v>
      </c>
      <c r="AR20" s="75">
        <f>IF($B20=0,0,IF(AR$3=TotalApuestas!AR15,AR$5,0))</f>
        <v>0</v>
      </c>
      <c r="AS20" s="75">
        <f>IF($B20=0,0,IF(AS$3=TotalApuestas!AS15,AS$5,0))</f>
        <v>0</v>
      </c>
      <c r="AT20" s="75">
        <f>IF($B20=0,0,IF(AND(AR$3=TotalApuestas!AR15,Resultado!AS$3=TotalApuestas!AS15),Resultado!AT$5+VLOOKUP(AT$4&amp;"bonus",Aux!$AD$1:$AE$46,2,0),IF(AT$3=TotalApuestas!AT15,AT$5,0)))</f>
        <v>0</v>
      </c>
      <c r="AU20" s="75">
        <f>IF($B20=0,0,IF(AU$3=TotalApuestas!AU15,AU$5,0))</f>
        <v>0</v>
      </c>
      <c r="AV20" s="75">
        <f>IF($B20=0,0,IF(AV$3=TotalApuestas!AV15,AV$5,0))</f>
        <v>0</v>
      </c>
      <c r="AW20" s="75">
        <f>IF($B20=0,0,IF(AND(AU$3=TotalApuestas!AU15,Resultado!AV$3=TotalApuestas!AV15),Resultado!AW$5+VLOOKUP(AW$4&amp;"bonus",Aux!$AD$1:$AE$46,2,0),IF(AW$3=TotalApuestas!AW15,AW$5,0)))</f>
        <v>0</v>
      </c>
      <c r="AX20" s="75">
        <f>IF($B20=0,0,IF(AX$3=TotalApuestas!AX15,AX$5,0))</f>
        <v>0</v>
      </c>
      <c r="AY20" s="75">
        <f>IF($B20=0,0,IF(AY$3=TotalApuestas!AY15,AY$5,0))</f>
        <v>0</v>
      </c>
      <c r="AZ20" s="75">
        <f>IF($B20=0,0,IF(AND(AX$3=TotalApuestas!AX15,Resultado!AY$3=TotalApuestas!AY15),Resultado!AZ$5+VLOOKUP(AZ$4&amp;"bonus",Aux!$AD$1:$AE$46,2,0),IF(AZ$3=TotalApuestas!AZ15,AZ$5,0)))</f>
        <v>0</v>
      </c>
      <c r="BA20" s="75">
        <f>IF($B20=0,0,IF(BA$3=TotalApuestas!BA15,BA$5,0))</f>
        <v>0</v>
      </c>
      <c r="BB20" s="75">
        <f>IF($B20=0,0,IF(BB$3=TotalApuestas!BB15,BB$5,0))</f>
        <v>0</v>
      </c>
      <c r="BC20" s="75">
        <f>IF($B20=0,0,IF(AND(BA$3=TotalApuestas!BA15,Resultado!BB$3=TotalApuestas!BB15),Resultado!BC$5+VLOOKUP(BC$4&amp;"bonus",Aux!$AD$1:$AE$46,2,0),IF(BC$3=TotalApuestas!BC15,BC$5,0)))</f>
        <v>0</v>
      </c>
      <c r="BD20" s="75">
        <f>IF($B20=0,0,IF(BD$3=TotalApuestas!BD15,BD$5,0))</f>
        <v>0</v>
      </c>
      <c r="BE20" s="75">
        <f>IF($B20=0,0,IF(BE$3=TotalApuestas!BE15,BE$5,0))</f>
        <v>0</v>
      </c>
      <c r="BF20" s="75">
        <f>IF($B20=0,0,IF(AND(BD$3=TotalApuestas!BD15,Resultado!BE$3=TotalApuestas!BE15),Resultado!BF$5+VLOOKUP(BF$4&amp;"bonus",Aux!$AD$1:$AE$46,2,0),IF(BF$3=TotalApuestas!BF15,BF$5,0)))</f>
        <v>0</v>
      </c>
      <c r="BG20" s="75">
        <f>IF($B20=0,0,IF(BG$3=TotalApuestas!BG15,BG$5,0))</f>
        <v>0</v>
      </c>
      <c r="BH20" s="75">
        <f>IF($B20=0,0,IF(BH$3=TotalApuestas!BH15,BH$5,0))</f>
        <v>0</v>
      </c>
      <c r="BI20" s="75">
        <f>IF($B20=0,0,IF(AND(BG$3=TotalApuestas!BG15,Resultado!BH$3=TotalApuestas!BH15),Resultado!BI$5+VLOOKUP(BI$4&amp;"bonus",Aux!$AD$1:$AE$46,2,0),IF(BI$3=TotalApuestas!BI15,BI$5,0)))</f>
        <v>0</v>
      </c>
      <c r="BJ20" s="75">
        <f>IF($B20=0,0,IF(BJ$3=TotalApuestas!BJ15,BJ$5,0))</f>
        <v>0</v>
      </c>
      <c r="BK20" s="75">
        <f>IF($B20=0,0,IF(BK$3=TotalApuestas!BK15,BK$5,0))</f>
        <v>0</v>
      </c>
      <c r="BL20" s="75">
        <f>IF($B20=0,0,IF(AND(BJ$3=TotalApuestas!BJ15,Resultado!BK$3=TotalApuestas!BK15),Resultado!BL$5+VLOOKUP(BL$4&amp;"bonus",Aux!$AD$1:$AE$46,2,0),IF(BL$3=TotalApuestas!BL15,BL$5,0)))</f>
        <v>0</v>
      </c>
      <c r="BM20" s="75">
        <f>IF($B20=0,0,IF(BM$3=TotalApuestas!BM15,BM$5,0))</f>
        <v>0</v>
      </c>
      <c r="BN20" s="75">
        <f>IF($B20=0,0,IF(BN$3=TotalApuestas!BN15,BN$5,0))</f>
        <v>0</v>
      </c>
      <c r="BO20" s="75">
        <f>IF($B20=0,0,IF(AND(BM$3=TotalApuestas!BM15,Resultado!BN$3=TotalApuestas!BN15),Resultado!BO$5+VLOOKUP(BO$4&amp;"bonus",Aux!$AD$1:$AE$46,2,0),IF(BO$3=TotalApuestas!BO15,BO$5,0)))</f>
        <v>0</v>
      </c>
      <c r="BP20" s="75">
        <f>IF($B20=0,0,IF(BP$3=TotalApuestas!BP15,BP$5,0))</f>
        <v>0</v>
      </c>
      <c r="BQ20" s="75">
        <f>IF($B20=0,0,IF(BQ$3=TotalApuestas!BQ15,BQ$5,0))</f>
        <v>0</v>
      </c>
      <c r="BR20" s="75">
        <f>IF($B20=0,0,IF(AND(BP$3=TotalApuestas!BP15,Resultado!BQ$3=TotalApuestas!BQ15),Resultado!BR$5+VLOOKUP(BR$4&amp;"bonus",Aux!$AD$1:$AE$46,2,0),IF(BR$3=TotalApuestas!BR15,BR$5,0)))</f>
        <v>0</v>
      </c>
      <c r="BS20" s="75">
        <f>IF($B20=0,0,IF(BS$3=TotalApuestas!BS15,BS$5,0))</f>
        <v>0</v>
      </c>
      <c r="BT20" s="75">
        <f>IF($B20=0,0,IF(BT$3=TotalApuestas!BT15,BT$5,0))</f>
        <v>0</v>
      </c>
      <c r="BU20" s="75">
        <f>IF($B20=0,0,IF(AND(BS$3=TotalApuestas!BS15,Resultado!BT$3=TotalApuestas!BT15),Resultado!BU$5+VLOOKUP(BU$4&amp;"bonus",Aux!$AD$1:$AE$46,2,0),IF(BU$3=TotalApuestas!BU15,BU$5,0)))</f>
        <v>0</v>
      </c>
      <c r="BV20" s="75">
        <f>IF($B20=0,0,IF(BV$3=TotalApuestas!BV15,BV$5,0))</f>
        <v>0</v>
      </c>
      <c r="BW20" s="75">
        <f>IF($B20=0,0,IF(BW$3=TotalApuestas!BW15,BW$5,0))</f>
        <v>0</v>
      </c>
      <c r="BX20" s="75">
        <f>IF($B20=0,0,IF(AND(BV$3=TotalApuestas!BV15,Resultado!BW$3=TotalApuestas!BW15),Resultado!BX$5+VLOOKUP(BX$4&amp;"bonus",Aux!$AD$1:$AE$46,2,0),IF(BX$3=TotalApuestas!BX15,BX$5,0)))</f>
        <v>0</v>
      </c>
      <c r="BY20" s="75">
        <f>IF($B20=0,0,IF(BY$3=TotalApuestas!BY15,BY$5,0))</f>
        <v>0</v>
      </c>
      <c r="BZ20" s="75">
        <f>IF($B20=0,0,IF(BZ$3=TotalApuestas!BZ15,BZ$5,0))</f>
        <v>0</v>
      </c>
      <c r="CA20" s="75">
        <f>IF($B20=0,0,IF(AND(BY$3=TotalApuestas!BY15,Resultado!BZ$3=TotalApuestas!BZ15),Resultado!CA$5+VLOOKUP(CA$4&amp;"bonus",Aux!$AD$1:$AE$46,2,0),IF(CA$3=TotalApuestas!CA15,CA$5,0)))</f>
        <v>0</v>
      </c>
      <c r="CB20" s="75">
        <f>IF($B20=0,0,IF(CB$3=TotalApuestas!CB15,CB$5,0))</f>
        <v>0</v>
      </c>
      <c r="CC20" s="75">
        <f>IF($B20=0,0,IF(CC$3=TotalApuestas!CC15,CC$5,0))</f>
        <v>0</v>
      </c>
      <c r="CD20" s="75">
        <f>IF($B20=0,0,IF(AND(CB$3=TotalApuestas!CB15,Resultado!CC$3=TotalApuestas!CC15),Resultado!CD$5+VLOOKUP(CD$4&amp;"bonus",Aux!$AD$1:$AE$46,2,0),IF(CD$3=TotalApuestas!CD15,CD$5,0)))</f>
        <v>0</v>
      </c>
      <c r="CE20" s="75">
        <f>IF($B20=0,0,IF(CE$3=TotalApuestas!CE15,CE$5,0))</f>
        <v>0</v>
      </c>
      <c r="CF20" s="75">
        <f>IF($B20=0,0,IF(CF$3=TotalApuestas!CF15,CF$5,0))</f>
        <v>0</v>
      </c>
      <c r="CG20" s="75">
        <f>IF($B20=0,0,IF(AND(CE$3=TotalApuestas!CE15,Resultado!CF$3=TotalApuestas!CF15),Resultado!CG$5+VLOOKUP(CG$4&amp;"bonus",Aux!$AD$1:$AE$46,2,0),IF(CG$3=TotalApuestas!CG15,CG$5,0)))</f>
        <v>0</v>
      </c>
      <c r="CH20" s="75">
        <f>IF($B20=0,0,IF(CH$3=TotalApuestas!CH15,CH$5,0))</f>
        <v>0</v>
      </c>
      <c r="CI20" s="75">
        <f>IF($B20=0,0,IF(CI$3=TotalApuestas!CI15,CI$5,0))</f>
        <v>0</v>
      </c>
      <c r="CJ20" s="75">
        <f>IF($B20=0,0,IF(AND(CH$3=TotalApuestas!CH15,Resultado!CI$3=TotalApuestas!CI15),Resultado!CJ$5+VLOOKUP(CJ$4&amp;"bonus",Aux!$AD$1:$AE$46,2,0),IF(CJ$3=TotalApuestas!CJ15,CJ$5,0)))</f>
        <v>0</v>
      </c>
      <c r="CK20" s="75">
        <f>IF($B20=0,0,IF(CK$3=TotalApuestas!CK15,CK$5,0))</f>
        <v>0</v>
      </c>
      <c r="CL20" s="75">
        <f>IF($B20=0,0,IF(CL$3=TotalApuestas!CL15,CL$5,0))</f>
        <v>0</v>
      </c>
      <c r="CM20" s="75">
        <f>IF($B20=0,0,IF(AND(CK$3=TotalApuestas!CK15,Resultado!CL$3=TotalApuestas!CL15),Resultado!CM$5+VLOOKUP(CM$4&amp;"bonus",Aux!$AD$1:$AE$46,2,0),IF(CM$3=TotalApuestas!CM15,CM$5,0)))</f>
        <v>0</v>
      </c>
      <c r="CN20" s="75">
        <f>IF($B20=0,0,IF(CN$3=TotalApuestas!CN15,CN$5,0))</f>
        <v>0</v>
      </c>
      <c r="CO20" s="75">
        <f>IF($B20=0,0,IF(CO$3=TotalApuestas!CO15,CO$5,0))</f>
        <v>0</v>
      </c>
      <c r="CP20" s="75">
        <f>IF($B20=0,0,IF(AND(CN$3=TotalApuestas!CN15,Resultado!CO$3=TotalApuestas!CO15),Resultado!CP$5+VLOOKUP(CP$4&amp;"bonus",Aux!$AD$1:$AE$46,2,0),IF(CP$3=TotalApuestas!CP15,CP$5,0)))</f>
        <v>0</v>
      </c>
      <c r="CQ20" s="75">
        <f>IF($B20=0,0,IF(CQ$3=TotalApuestas!CQ15,CQ$5,0))</f>
        <v>0</v>
      </c>
      <c r="CR20" s="75">
        <f>IF($B20=0,0,IF(CR$3=TotalApuestas!CR15,CR$5,0))</f>
        <v>0</v>
      </c>
      <c r="CS20" s="75">
        <f>IF($B20=0,0,IF(AND(CQ$3=TotalApuestas!CQ15,Resultado!CR$3=TotalApuestas!CR15),Resultado!CS$5+VLOOKUP(CS$4&amp;"bonus",Aux!$AD$1:$AE$46,2,0),IF(CS$3=TotalApuestas!CS15,CS$5,0)))</f>
        <v>0</v>
      </c>
      <c r="CT20" s="75">
        <f>IF($B20=0,0,IF(CT$3=TotalApuestas!CT15,CT$5,0))</f>
        <v>0</v>
      </c>
      <c r="CU20" s="75">
        <f>IF($B20=0,0,IF(CU$3=TotalApuestas!CU15,CU$5,0))</f>
        <v>0</v>
      </c>
      <c r="CV20" s="75">
        <f>IF($B20=0,0,IF(AND(CT$3=TotalApuestas!CT15,Resultado!CU$3=TotalApuestas!CU15),Resultado!CV$5+VLOOKUP(CV$4&amp;"bonus",Aux!$AD$1:$AE$46,2,0),IF(CV$3=TotalApuestas!CV15,CV$5,0)))</f>
        <v>0</v>
      </c>
      <c r="CW20" s="75">
        <f>IF($B20=0,0,IF(CW$3=TotalApuestas!CW15,CW$5,0))</f>
        <v>0</v>
      </c>
      <c r="CX20" s="75">
        <f>IF($B20=0,0,IF(CX$3=TotalApuestas!CX15,CX$5,0))</f>
        <v>0</v>
      </c>
      <c r="CY20" s="75">
        <f>IF($B20=0,0,IF(AND(CW$3=TotalApuestas!CW15,Resultado!CX$3=TotalApuestas!CX15),Resultado!CY$5+VLOOKUP(CY$4&amp;"bonus",Aux!$AD$1:$AE$46,2,0),IF(CY$3=TotalApuestas!CY15,CY$5,0)))</f>
        <v>0</v>
      </c>
      <c r="CZ20" s="75">
        <f>IF($B20=0,0,IF(CZ$3=TotalApuestas!CZ15,CZ$5,0))</f>
        <v>0</v>
      </c>
      <c r="DA20" s="75">
        <f>IF($B20=0,0,IF(DA$3=TotalApuestas!DA15,DA$5,0))</f>
        <v>0</v>
      </c>
      <c r="DB20" s="75">
        <f>IF($B20=0,0,IF(AND(CZ$3=TotalApuestas!CZ15,Resultado!DA$3=TotalApuestas!DA15),Resultado!DB$5+VLOOKUP(DB$4&amp;"bonus",Aux!$AD$1:$AE$46,2,0),IF(DB$3=TotalApuestas!DB15,DB$5,0)))</f>
        <v>0</v>
      </c>
      <c r="DC20" s="75">
        <f>IF($B20=0,0,IF(DC$3=TotalApuestas!DC15,DC$5,0))</f>
        <v>0</v>
      </c>
      <c r="DD20" s="75">
        <f>IF($B20=0,0,IF(DD$3=TotalApuestas!DD15,DD$5,0))</f>
        <v>0</v>
      </c>
      <c r="DE20" s="75">
        <f>IF($B20=0,0,IF(AND(DC$3=TotalApuestas!DC15,Resultado!DD$3=TotalApuestas!DD15),Resultado!DE$5+VLOOKUP(DE$4&amp;"bonus",Aux!$AD$1:$AE$46,2,0),IF(DE$3=TotalApuestas!DE15,DE$5,0)))</f>
        <v>0</v>
      </c>
      <c r="DF20" s="75">
        <f>IF($B20=0,0,IF(DF$3=TotalApuestas!DF15,DF$5,0))</f>
        <v>0</v>
      </c>
      <c r="DG20" s="75">
        <f>IF($B20=0,0,IF(DG$3=TotalApuestas!DG15,DG$5,0))</f>
        <v>0</v>
      </c>
      <c r="DH20" s="75">
        <f>IF($B20=0,0,IF(AND(DF$3=TotalApuestas!DF15,Resultado!DG$3=TotalApuestas!DG15),Resultado!DH$5+VLOOKUP(DH$4&amp;"bonus",Aux!$AD$1:$AE$46,2,0),IF(DH$3=TotalApuestas!DH15,DH$5,0)))</f>
        <v>0</v>
      </c>
      <c r="DI20" s="75">
        <f>IF($B20=0,0,IF(DI$3=TotalApuestas!DI15,DI$5,0))</f>
        <v>0</v>
      </c>
      <c r="DJ20" s="75">
        <f>IF($B20=0,0,IF(DJ$3=TotalApuestas!DJ15,DJ$5,0))</f>
        <v>0</v>
      </c>
      <c r="DK20" s="75">
        <f>IF($B20=0,0,IF(AND(DI$3=TotalApuestas!DI15,Resultado!DJ$3=TotalApuestas!DJ15),Resultado!DK$5+VLOOKUP(DK$4&amp;"bonus",Aux!$AD$1:$AE$46,2,0),IF(DK$3=TotalApuestas!DK15,DK$5,0)))</f>
        <v>0</v>
      </c>
      <c r="DL20" s="75">
        <f>IF($B20=0,0,IF(DL$3=TotalApuestas!DL15,DL$5,0))</f>
        <v>0</v>
      </c>
      <c r="DM20" s="75">
        <f>IF($B20=0,0,IF(DM$3=TotalApuestas!DM15,DM$5,0))</f>
        <v>0</v>
      </c>
      <c r="DN20" s="75">
        <f>IF($B20=0,0,IF(AND(DL$3=TotalApuestas!DL15,Resultado!DM$3=TotalApuestas!DM15),Resultado!DN$5+VLOOKUP(DN$4&amp;"bonus",Aux!$AD$1:$AE$46,2,0),IF(DN$3=TotalApuestas!DN15,DN$5,0)))</f>
        <v>0</v>
      </c>
      <c r="DO20" s="75">
        <f>IF($B20=0,0,IF(DO$3=TotalApuestas!DO15,DO$5,0))</f>
        <v>0</v>
      </c>
      <c r="DP20" s="75">
        <f>IF($B20=0,0,IF(DP$3=TotalApuestas!DP15,DP$5,0))</f>
        <v>0</v>
      </c>
      <c r="DQ20" s="75">
        <f>IF($B20=0,0,IF(AND(DO$3=TotalApuestas!DO15,Resultado!DP$3=TotalApuestas!DP15),Resultado!DQ$5+VLOOKUP(DQ$4&amp;"bonus",Aux!$AD$1:$AE$46,2,0),IF(DQ$3=TotalApuestas!DQ15,DQ$5,0)))</f>
        <v>0</v>
      </c>
      <c r="DR20" s="75">
        <f>IF($B20=0,0,IF(DR$3=TotalApuestas!DR15,DR$5,0))</f>
        <v>0</v>
      </c>
      <c r="DS20" s="75">
        <f>IF($B20=0,0,IF(DS$3=TotalApuestas!DS15,DS$5,0))</f>
        <v>0</v>
      </c>
      <c r="DT20" s="75">
        <f>IF($B20=0,0,IF(AND(DR$3=TotalApuestas!DR15,Resultado!DS$3=TotalApuestas!DS15),Resultado!DT$5+VLOOKUP(DT$4&amp;"bonus",Aux!$AD$1:$AE$46,2,0),IF(DT$3=TotalApuestas!DT15,DT$5,0)))</f>
        <v>0</v>
      </c>
      <c r="DU20" s="75">
        <f>IF($B20=0,0,IF(DU$3=TotalApuestas!DU15,DU$5,0))</f>
        <v>0</v>
      </c>
      <c r="DV20" s="75">
        <f>IF($B20=0,0,IF(DV$3=TotalApuestas!DV15,DV$5,0))</f>
        <v>0</v>
      </c>
      <c r="DW20" s="75">
        <f>IF($B20=0,0,IF(AND(DU$3=TotalApuestas!DU15,Resultado!DV$3=TotalApuestas!DV15),Resultado!DW$5+VLOOKUP(DW$4&amp;"bonus",Aux!$AD$1:$AE$46,2,0),IF(DW$3=TotalApuestas!DW15,DW$5,0)))</f>
        <v>0</v>
      </c>
      <c r="DX20" s="75">
        <f>IF($B20=0,0,IF(DX$3=TotalApuestas!DX15,DX$5,0))</f>
        <v>0</v>
      </c>
      <c r="DY20" s="75">
        <f>IF($B20=0,0,IF(DY$3=TotalApuestas!DY15,DY$5,0))</f>
        <v>0</v>
      </c>
      <c r="DZ20" s="75">
        <f>IF($B20=0,0,IF(AND(DX$3=TotalApuestas!DX15,Resultado!DY$3=TotalApuestas!DY15),Resultado!DZ$5+VLOOKUP(DZ$4&amp;"bonus",Aux!$AD$1:$AE$46,2,0),IF(DZ$3=TotalApuestas!DZ15,DZ$5,0)))</f>
        <v>0</v>
      </c>
      <c r="EA20" s="75">
        <f>IF($B20=0,0,IF(EA$3=TotalApuestas!EA15,EA$5,0))</f>
        <v>0</v>
      </c>
      <c r="EB20" s="75">
        <f>IF($B20=0,0,IF(EB$3=TotalApuestas!EB15,EB$5,0))</f>
        <v>0</v>
      </c>
      <c r="EC20" s="75">
        <f>IF($B20=0,0,IF(AND(EA$3=TotalApuestas!EA15,Resultado!EB$3=TotalApuestas!EB15),Resultado!EC$5+VLOOKUP(EC$4&amp;"bonus",Aux!$AD$1:$AE$46,2,0),IF(EC$3=TotalApuestas!EC15,EC$5,0)))</f>
        <v>0</v>
      </c>
      <c r="ED20" s="75">
        <f>IF($B20=0,0,IF(ED$3=TotalApuestas!ED15,ED$5,0))</f>
        <v>0</v>
      </c>
      <c r="EE20" s="75">
        <f>IF($B20=0,0,IF(EE$3=TotalApuestas!EE15,EE$5,0))</f>
        <v>0</v>
      </c>
      <c r="EF20" s="75">
        <f>IF($B20=0,0,IF(AND(ED$3=TotalApuestas!ED15,Resultado!EE$3=TotalApuestas!EE15),Resultado!EF$5+VLOOKUP(EF$4&amp;"bonus",Aux!$AD$1:$AE$46,2,0),IF(EF$3=TotalApuestas!EF15,EF$5,0)))</f>
        <v>0</v>
      </c>
      <c r="EG20" s="75">
        <f>IF($B20=0,0,IF(EG$3=TotalApuestas!EG15,EG$5,0))</f>
        <v>0</v>
      </c>
      <c r="EH20" s="75">
        <f>IF($B20=0,0,IF(EH$3=TotalApuestas!EH15,EH$5,0))</f>
        <v>0</v>
      </c>
      <c r="EI20" s="75">
        <f>IF($B20=0,0,IF(AND(EG$3=TotalApuestas!EG15,Resultado!EH$3=TotalApuestas!EH15),Resultado!EI$5+VLOOKUP(EI$4&amp;"bonus",Aux!$AD$1:$AE$46,2,0),IF(EI$3=TotalApuestas!EI15,EI$5,0)))</f>
        <v>0</v>
      </c>
      <c r="EJ20" s="75">
        <f>IF($B20=0,0,IF(EJ$3=TotalApuestas!EJ15,EJ$5,0))</f>
        <v>0</v>
      </c>
      <c r="EK20" s="75">
        <f>IF($B20=0,0,IF(EK$3=TotalApuestas!EK15,EK$5,0))</f>
        <v>0</v>
      </c>
      <c r="EL20" s="75">
        <f>IF($B20=0,0,IF(AND(EJ$3=TotalApuestas!EJ15,Resultado!EK$3=TotalApuestas!EK15),Resultado!EL$5+VLOOKUP(EL$4&amp;"bonus",Aux!$AD$1:$AE$46,2,0),IF(EL$3=TotalApuestas!EL15,EL$5,0)))</f>
        <v>0</v>
      </c>
      <c r="EM20" s="75">
        <f>IF($B20=0,0,IF(EM$3=TotalApuestas!EM15,EM$5,0))</f>
        <v>0</v>
      </c>
      <c r="EN20" s="75">
        <f>IF($B20=0,0,IF(EN$3=TotalApuestas!EN15,EN$5,0))</f>
        <v>0</v>
      </c>
      <c r="EO20" s="75">
        <f>IF($B20=0,0,IF(AND(EM$3=TotalApuestas!EM15,Resultado!EN$3=TotalApuestas!EN15),Resultado!EO$5+VLOOKUP(EO$4&amp;"bonus",Aux!$AD$1:$AE$46,2,0),IF(EO$3=TotalApuestas!EO15,EO$5,0)))</f>
        <v>0</v>
      </c>
      <c r="EP20" s="75">
        <f>IF($B20=0,0,IF(EP$3=TotalApuestas!EP15,EP$5,0))</f>
        <v>0</v>
      </c>
      <c r="EQ20" s="75">
        <f>IF($B20=0,0,IF(EQ$3=TotalApuestas!EQ15,EQ$5,0))</f>
        <v>0</v>
      </c>
      <c r="ER20" s="75">
        <f>IF($B20=0,0,IF(AND(EP$3=TotalApuestas!EP15,Resultado!EQ$3=TotalApuestas!EQ15),Resultado!ER$5+VLOOKUP(ER$4&amp;"bonus",Aux!$AD$1:$AE$46,2,0),IF(ER$3=TotalApuestas!ER15,ER$5,0)))</f>
        <v>0</v>
      </c>
      <c r="ES20" s="75">
        <f>IF($B20=0,0,IF(ES$3=TotalApuestas!ES15,ES$5,0))</f>
        <v>0</v>
      </c>
      <c r="ET20" s="75">
        <f>IF($B20=0,0,IF(ET$3=TotalApuestas!ET15,ET$5,0))</f>
        <v>0</v>
      </c>
      <c r="EU20" s="75">
        <f>IF($B20=0,0,IF(EU$3=TotalApuestas!EU15,EU$5,0))</f>
        <v>0</v>
      </c>
      <c r="EV20" s="75">
        <f>IF($B20=0,0,IF(EV$3=TotalApuestas!EV15,EV$5,0))</f>
        <v>0</v>
      </c>
      <c r="EW20" s="75">
        <f>IF($B20=0,0,IF(EW$3=TotalApuestas!EW15,EW$5,0))</f>
        <v>0</v>
      </c>
      <c r="EX20" s="75">
        <f>IF($B20=0,0,IF(EX$3=TotalApuestas!EX15,EX$5,0))</f>
        <v>0</v>
      </c>
      <c r="EY20" s="75">
        <f>IF($B20=0,0,IF(EY$3=TotalApuestas!EY15,EY$5,0))</f>
        <v>0</v>
      </c>
      <c r="EZ20" s="75">
        <f>IF($B20=0,0,IF(EZ$3=TotalApuestas!EZ15,EZ$5,0))</f>
        <v>0</v>
      </c>
      <c r="FA20" s="75">
        <f>IF($B20=0,0,IF(FA$3=TotalApuestas!FA15,FA$5,0))</f>
        <v>0</v>
      </c>
      <c r="FB20" s="75">
        <f>IF($B20=0,0,IF(FB$3=TotalApuestas!FB15,FB$5,0))</f>
        <v>0</v>
      </c>
      <c r="FC20" s="75">
        <f>IF($B20=0,0,IF(FC$3=TotalApuestas!FC15,FC$5,0))</f>
        <v>0</v>
      </c>
      <c r="FD20" s="75">
        <f>IF($B20=0,0,IF(FD$3=TotalApuestas!FD15,FD$5,0))</f>
        <v>0</v>
      </c>
      <c r="FE20" s="75">
        <f>IF($B20=0,0,IF(FE$3=TotalApuestas!FE15,FE$5,0))</f>
        <v>0</v>
      </c>
      <c r="FF20" s="75">
        <f>IF($B20=0,0,IF(FF$3=TotalApuestas!FF15,FF$5,0))</f>
        <v>0</v>
      </c>
      <c r="FG20" s="75">
        <f>IF($B20=0,0,IF(FG$3=TotalApuestas!FG15,FG$5,0))</f>
        <v>0</v>
      </c>
      <c r="FH20" s="75">
        <f>IF($B20=0,0,IF(FH$3=TotalApuestas!FH15,FH$5,0))</f>
        <v>0</v>
      </c>
      <c r="FI20" s="75">
        <f>IF($B20=0,0,IF(FI$3=TotalApuestas!FI15,FI$5,0))</f>
        <v>0</v>
      </c>
      <c r="FJ20" s="75">
        <f>IF($B20=0,0,IF(FJ$3=TotalApuestas!FJ15,FJ$5,0))</f>
        <v>0</v>
      </c>
      <c r="FK20" s="75">
        <f>IF($B20=0,0,IF(FK$3=TotalApuestas!FK15,FK$5,0))</f>
        <v>0</v>
      </c>
      <c r="FL20" s="75">
        <f>IF($B20=0,0,IF(FL$3=TotalApuestas!FL15,FL$5,0))</f>
        <v>0</v>
      </c>
      <c r="FM20" s="75">
        <f>IF($B20=0,0,IF(FM$3=TotalApuestas!FM15,FM$5,0))</f>
        <v>0</v>
      </c>
      <c r="FN20" s="75">
        <f>IF($B20=0,0,IF(FN$3=TotalApuestas!FN15,FN$5,0))</f>
        <v>0</v>
      </c>
      <c r="FO20" s="75">
        <f>IF($B20=0,0,IF(FO$3=TotalApuestas!FO15,FO$5,0))</f>
        <v>0</v>
      </c>
      <c r="FP20" s="75">
        <f>IF($B20=0,0,IF(FP$3=TotalApuestas!FP15,FP$5,0))</f>
        <v>0</v>
      </c>
      <c r="FQ20" s="75">
        <f>IF($B20=0,0,IF(FQ$3=TotalApuestas!FQ15,FQ$5,0))</f>
        <v>0</v>
      </c>
      <c r="FR20" s="75">
        <f>IF($B20=0,0,IF(FR$3=TotalApuestas!FR15,FR$5,0))</f>
        <v>0</v>
      </c>
      <c r="FS20" s="75">
        <f>IF($B20=0,0,IF(FS$3=TotalApuestas!FS15,FS$5,0))</f>
        <v>0</v>
      </c>
      <c r="FT20" s="75">
        <f>IF($B20=0,0,IF(FT$3=TotalApuestas!FT15,FT$5,0))</f>
        <v>0</v>
      </c>
      <c r="FU20" s="75">
        <f>IF($B20=0,0,IF(FU$3=TotalApuestas!FU15,FU$5,0))</f>
        <v>0</v>
      </c>
      <c r="FV20" s="75">
        <f>IF($B20=0,0,IF(FV$3=TotalApuestas!FV15,FV$5,0))</f>
        <v>0</v>
      </c>
      <c r="FW20" s="75">
        <f>IF($B20=0,0,IF(FW$3=TotalApuestas!FW15,FW$5,0))</f>
        <v>0</v>
      </c>
      <c r="FX20" s="75">
        <f>IF($B20=0,0,IF(FX$3=TotalApuestas!FX15,FX$5,0))</f>
        <v>0</v>
      </c>
      <c r="FY20" s="75">
        <f>IF($B20=0,0,IF(FY$3=TotalApuestas!FY15,FY$5,0))</f>
        <v>0</v>
      </c>
      <c r="FZ20" s="75">
        <f>IF($B20=0,0,IF(AND(FX$3=TotalApuestas!FX15,Resultado!FY$3=TotalApuestas!FY15),Resultado!FZ$5+VLOOKUP(FZ$4&amp;"bonus",Aux!$AD$1:$AE$46,2,0),IF(FZ$3=TotalApuestas!FZ15,FZ$5,0)))</f>
        <v>0</v>
      </c>
      <c r="GA20" s="75">
        <f>IF($B20=0,0,IF(GA$3=TotalApuestas!GA15,GA$5,0))</f>
        <v>0</v>
      </c>
      <c r="GB20" s="75">
        <f>IF($B20=0,0,IF(GB$3=TotalApuestas!GB15,GB$5,0))</f>
        <v>0</v>
      </c>
      <c r="GC20" s="75">
        <f>IF($B20=0,0,IF(AND(GA$3=TotalApuestas!GA15,Resultado!GB$3=TotalApuestas!GB15),Resultado!GC$5+VLOOKUP(GC$4&amp;"bonus",Aux!$AD$1:$AE$46,2,0),IF(GC$3=TotalApuestas!GC15,GC$5,0)))</f>
        <v>0</v>
      </c>
      <c r="GD20" s="75">
        <f>IF($B20=0,0,IF(GD$3=TotalApuestas!GD15,GD$5,0))</f>
        <v>0</v>
      </c>
      <c r="GE20" s="75">
        <f>IF($B20=0,0,IF(GE$3=TotalApuestas!GE15,GE$5,0))</f>
        <v>0</v>
      </c>
      <c r="GF20" s="75">
        <f>IF($B20=0,0,IF(AND(GD$3=TotalApuestas!GD15,Resultado!GE$3=TotalApuestas!GE15),Resultado!GF$5+VLOOKUP(GF$4&amp;"bonus",Aux!$AD$1:$AE$46,2,0),IF(GF$3=TotalApuestas!GF15,GF$5,0)))</f>
        <v>0</v>
      </c>
      <c r="GG20" s="75">
        <f>IF($B20=0,0,IF(GG$3=TotalApuestas!GG15,GG$5,0))</f>
        <v>0</v>
      </c>
      <c r="GH20" s="75">
        <f>IF($B20=0,0,IF(GH$3=TotalApuestas!GH15,GH$5,0))</f>
        <v>0</v>
      </c>
      <c r="GI20" s="75">
        <f>IF($B20=0,0,IF(AND(GG$3=TotalApuestas!GG15,Resultado!GH$3=TotalApuestas!GH15),Resultado!GI$5+VLOOKUP(GI$4&amp;"bonus",Aux!$AD$1:$AE$46,2,0),IF(GI$3=TotalApuestas!GI15,GI$5,0)))</f>
        <v>0</v>
      </c>
      <c r="GJ20" s="75">
        <f>IF($B20=0,0,IF(GJ$3=TotalApuestas!GJ15,GJ$5,0))</f>
        <v>0</v>
      </c>
      <c r="GK20" s="75">
        <f>IF($B20=0,0,IF(GK$3=TotalApuestas!GK15,GK$5,0))</f>
        <v>0</v>
      </c>
      <c r="GL20" s="75">
        <f>IF($B20=0,0,IF(AND(GJ$3=TotalApuestas!GJ15,Resultado!GK$3=TotalApuestas!GK15),Resultado!GL$5+VLOOKUP(GL$4&amp;"bonus",Aux!$AD$1:$AE$46,2,0),IF(GL$3=TotalApuestas!GL15,GL$5,0)))</f>
        <v>0</v>
      </c>
      <c r="GM20" s="75">
        <f>IF($B20=0,0,IF(GM$3=TotalApuestas!GM15,GM$5,0))</f>
        <v>0</v>
      </c>
      <c r="GN20" s="75">
        <f>IF($B20=0,0,IF(GN$3=TotalApuestas!GN15,GN$5,0))</f>
        <v>0</v>
      </c>
      <c r="GO20" s="75">
        <f>IF($B20=0,0,IF(AND(GM$3=TotalApuestas!GM15,Resultado!GN$3=TotalApuestas!GN15),Resultado!GO$5+VLOOKUP(GO$4&amp;"bonus",Aux!$AD$1:$AE$46,2,0),IF(GO$3=TotalApuestas!GO15,GO$5,0)))</f>
        <v>0</v>
      </c>
      <c r="GP20" s="75">
        <f>IF($B20=0,0,IF(GP$3=TotalApuestas!GP15,GP$5,0))</f>
        <v>0</v>
      </c>
      <c r="GQ20" s="75">
        <f>IF($B20=0,0,IF(GQ$3=TotalApuestas!GQ15,GQ$5,0))</f>
        <v>0</v>
      </c>
      <c r="GR20" s="75">
        <f>IF($B20=0,0,IF(AND(GP$3=TotalApuestas!GP15,Resultado!GQ$3=TotalApuestas!GQ15),Resultado!GR$5+VLOOKUP(GR$4&amp;"bonus",Aux!$AD$1:$AE$46,2,0),IF(GR$3=TotalApuestas!GR15,GR$5,0)))</f>
        <v>0</v>
      </c>
      <c r="GS20" s="75">
        <f>IF($B20=0,0,IF(GS$3=TotalApuestas!GS15,GS$5,0))</f>
        <v>0</v>
      </c>
      <c r="GT20" s="75">
        <f>IF($B20=0,0,IF(GT$3=TotalApuestas!GT15,GT$5,0))</f>
        <v>0</v>
      </c>
      <c r="GU20" s="75">
        <f>IF($B20=0,0,IF(AND(GS$3=TotalApuestas!GS15,Resultado!GT$3=TotalApuestas!GT15),Resultado!GU$5+VLOOKUP(GU$4&amp;"bonus",Aux!$AD$1:$AE$46,2,0),IF(GU$3=TotalApuestas!GU15,GU$5,0)))</f>
        <v>0</v>
      </c>
      <c r="GV20" s="75">
        <f>IF($B20=0,0,IF(GV$3=TotalApuestas!GV15,GV$5,0))</f>
        <v>0</v>
      </c>
      <c r="GW20" s="75">
        <f>IF($B20=0,0,IF(GW$3=TotalApuestas!GW15,GW$5,0))</f>
        <v>0</v>
      </c>
      <c r="GX20" s="75">
        <f>IF($B20=0,0,IF(AND(GV$3=TotalApuestas!GV15,Resultado!GW$3=TotalApuestas!GW15),Resultado!GX$5+VLOOKUP(GX$4&amp;"bonus",Aux!$AD$1:$AE$46,2,0),IF(GX$3=TotalApuestas!GX15,GX$5,0)))</f>
        <v>0</v>
      </c>
      <c r="GY20" s="75">
        <f>IF($B20=0,0,IF(GY$3=TotalApuestas!GY15,GY$5,0))</f>
        <v>0</v>
      </c>
      <c r="GZ20" s="75">
        <f>IF($B20=0,0,IF(GZ$3=TotalApuestas!GZ15,GZ$5,0))</f>
        <v>0</v>
      </c>
      <c r="HA20" s="75">
        <f>IF($B20=0,0,IF(AND(GY$3=TotalApuestas!GY15,Resultado!GZ$3=TotalApuestas!GZ15),Resultado!HA$5+VLOOKUP(HA$4&amp;"bonus",Aux!$AD$1:$AE$46,2,0),IF(HA$3=TotalApuestas!HA15,HA$5,0)))</f>
        <v>0</v>
      </c>
      <c r="HB20" s="75">
        <f>IF($B20=0,0,IF(HB$3=TotalApuestas!HB15,HB$5,0))</f>
        <v>0</v>
      </c>
      <c r="HC20" s="75">
        <f>IF($B20=0,0,IF(HC$3=TotalApuestas!HC15,HC$5,0))</f>
        <v>0</v>
      </c>
      <c r="HD20" s="75">
        <f>IF($B20=0,0,IF(AND(HB$3=TotalApuestas!HB15,Resultado!HC$3=TotalApuestas!HC15),Resultado!HD$5+VLOOKUP(HD$4&amp;"bonus",Aux!$AD$1:$AE$46,2,0),IF(HD$3=TotalApuestas!HD15,HD$5,0)))</f>
        <v>0</v>
      </c>
      <c r="HE20" s="75">
        <f>IF($B20=0,0,IF(HE$3=TotalApuestas!HE15,HE$5,0))</f>
        <v>0</v>
      </c>
      <c r="HF20" s="75">
        <f>IF($B20=0,0,IF(HF$3=TotalApuestas!HF15,HF$5,0))</f>
        <v>0</v>
      </c>
      <c r="HG20" s="75">
        <f>IF($B20=0,0,IF(AND(HE$3=TotalApuestas!HE15,Resultado!HF$3=TotalApuestas!HF15),Resultado!HG$5+VLOOKUP(HG$4&amp;"bonus",Aux!$AD$1:$AE$46,2,0),IF(HG$3=TotalApuestas!HG15,HG$5,0)))</f>
        <v>0</v>
      </c>
      <c r="HH20" s="75">
        <f>IF($B20=0,0,IF(HH$3=TotalApuestas!HH15,HH$5,0))</f>
        <v>0</v>
      </c>
      <c r="HI20" s="75">
        <f>IF($B20=0,0,IF(HI$3=TotalApuestas!HI15,HI$5,0))</f>
        <v>0</v>
      </c>
      <c r="HJ20" s="75">
        <f>IF($B20=0,0,IF(AND(HH$3=TotalApuestas!HH15,Resultado!HI$3=TotalApuestas!HI15),Resultado!HJ$5+VLOOKUP(HJ$4&amp;"bonus",Aux!$AD$1:$AE$46,2,0),IF(HJ$3=TotalApuestas!HJ15,HJ$5,0)))</f>
        <v>0</v>
      </c>
      <c r="HK20" s="75">
        <f>IF($B20=0,0,IF(HK$3=TotalApuestas!HK15,HK$5,0))</f>
        <v>0</v>
      </c>
      <c r="HL20" s="75">
        <f>IF($B20=0,0,IF(HL$3=TotalApuestas!HL15,HL$5,0))</f>
        <v>0</v>
      </c>
      <c r="HM20" s="75">
        <f>IF($B20=0,0,IF(AND(HK$3=TotalApuestas!HK15,Resultado!HL$3=TotalApuestas!HL15),Resultado!HM$5+VLOOKUP(HM$4&amp;"bonus",Aux!$AD$1:$AE$46,2,0),IF(HM$3=TotalApuestas!HM15,HM$5,0)))</f>
        <v>0</v>
      </c>
      <c r="HN20" s="75">
        <f>IF($B20=0,0,IF(HN$3=TotalApuestas!HN15,HN$5,0))</f>
        <v>0</v>
      </c>
      <c r="HO20" s="75">
        <f>IF($B20=0,0,IF(HO$3=TotalApuestas!HO15,HO$5,0))</f>
        <v>0</v>
      </c>
      <c r="HP20" s="75">
        <f>IF($B20=0,0,IF(AND(HN$3=TotalApuestas!HN15,Resultado!HO$3=TotalApuestas!HO15),Resultado!HP$5+VLOOKUP(HP$4&amp;"bonus",Aux!$AD$1:$AE$46,2,0),IF(HP$3=TotalApuestas!HP15,HP$5,0)))</f>
        <v>0</v>
      </c>
    </row>
    <row r="21" spans="2:224" x14ac:dyDescent="0.25">
      <c r="B21">
        <f>+TotalApuestas!B16</f>
        <v>0</v>
      </c>
      <c r="E21" s="75">
        <f>IF($B21=0,0,IF(E$3=TotalApuestas!E16,E$5,0))</f>
        <v>0</v>
      </c>
      <c r="F21" s="75">
        <f>IF($B21=0,0,IF(F$3=TotalApuestas!F16,F$5,0))</f>
        <v>0</v>
      </c>
      <c r="G21" s="75">
        <f>IF($B21=0,0,IF(AND(E$3=TotalApuestas!E16,Resultado!F$3=TotalApuestas!F16),Resultado!G$5+VLOOKUP(G$4&amp;"bonus",Aux!$AD$1:$AE$46,2,0),IF(G$3=TotalApuestas!G16,G$5,0)))</f>
        <v>0</v>
      </c>
      <c r="H21" s="75">
        <f>IF($B21=0,0,IF(H$3=TotalApuestas!H16,H$5,0))</f>
        <v>0</v>
      </c>
      <c r="I21" s="75">
        <f>IF($B21=0,0,IF(I$3=TotalApuestas!I16,I$5,0))</f>
        <v>0</v>
      </c>
      <c r="J21" s="75">
        <f>IF($B21=0,0,IF(AND(H$3=TotalApuestas!H16,Resultado!I$3=TotalApuestas!I16),Resultado!J$5+VLOOKUP(J$4&amp;"bonus",Aux!$AD$1:$AE$46,2,0),IF(J$3=TotalApuestas!J16,J$5,0)))</f>
        <v>0</v>
      </c>
      <c r="K21" s="75">
        <f>IF($B21=0,0,IF(K$3=TotalApuestas!K16,K$5,0))</f>
        <v>0</v>
      </c>
      <c r="L21" s="75">
        <f>IF($B21=0,0,IF(L$3=TotalApuestas!L16,L$5,0))</f>
        <v>0</v>
      </c>
      <c r="M21" s="75">
        <f>IF($B21=0,0,IF(AND(K$3=TotalApuestas!K16,Resultado!L$3=TotalApuestas!L16),Resultado!M$5+VLOOKUP(M$4&amp;"bonus",Aux!$AD$1:$AE$46,2,0),IF(M$3=TotalApuestas!M16,M$5,0)))</f>
        <v>0</v>
      </c>
      <c r="N21" s="75">
        <f>IF($B21=0,0,IF(N$3=TotalApuestas!N16,N$5,0))</f>
        <v>0</v>
      </c>
      <c r="O21" s="75">
        <f>IF($B21=0,0,IF(O$3=TotalApuestas!O16,O$5,0))</f>
        <v>0</v>
      </c>
      <c r="P21" s="75">
        <f>IF($B21=0,0,IF(AND(N$3=TotalApuestas!N16,Resultado!O$3=TotalApuestas!O16),Resultado!P$5+VLOOKUP(P$4&amp;"bonus",Aux!$AD$1:$AE$46,2,0),IF(P$3=TotalApuestas!P16,P$5,0)))</f>
        <v>0</v>
      </c>
      <c r="Q21" s="75">
        <f>IF($B21=0,0,IF(Q$3=TotalApuestas!Q16,Q$5,0))</f>
        <v>0</v>
      </c>
      <c r="R21" s="75">
        <f>IF($B21=0,0,IF(R$3=TotalApuestas!R16,R$5,0))</f>
        <v>0</v>
      </c>
      <c r="S21" s="75">
        <f>IF($B21=0,0,IF(AND(Q$3=TotalApuestas!Q16,Resultado!R$3=TotalApuestas!R16),Resultado!S$5+VLOOKUP(S$4&amp;"bonus",Aux!$AD$1:$AE$46,2,0),IF(S$3=TotalApuestas!S16,S$5,0)))</f>
        <v>0</v>
      </c>
      <c r="T21" s="75">
        <f>IF($B21=0,0,IF(T$3=TotalApuestas!T16,T$5,0))</f>
        <v>0</v>
      </c>
      <c r="U21" s="75">
        <f>IF($B21=0,0,IF(U$3=TotalApuestas!U16,U$5,0))</f>
        <v>0</v>
      </c>
      <c r="V21" s="75">
        <f>IF($B21=0,0,IF(AND(T$3=TotalApuestas!T16,Resultado!U$3=TotalApuestas!U16),Resultado!V$5+VLOOKUP(V$4&amp;"bonus",Aux!$AD$1:$AE$46,2,0),IF(V$3=TotalApuestas!V16,V$5,0)))</f>
        <v>0</v>
      </c>
      <c r="W21" s="75">
        <f>IF($B21=0,0,IF(W$3=TotalApuestas!W16,W$5,0))</f>
        <v>0</v>
      </c>
      <c r="X21" s="75">
        <f>IF($B21=0,0,IF(X$3=TotalApuestas!X16,X$5,0))</f>
        <v>0</v>
      </c>
      <c r="Y21" s="75">
        <f>IF($B21=0,0,IF(AND(W$3=TotalApuestas!W16,Resultado!X$3=TotalApuestas!X16),Resultado!Y$5+VLOOKUP(Y$4&amp;"bonus",Aux!$AD$1:$AE$46,2,0),IF(Y$3=TotalApuestas!Y16,Y$5,0)))</f>
        <v>0</v>
      </c>
      <c r="Z21" s="75">
        <f>IF($B21=0,0,IF(Z$3=TotalApuestas!Z16,Z$5,0))</f>
        <v>0</v>
      </c>
      <c r="AA21" s="75">
        <f>IF($B21=0,0,IF(AA$3=TotalApuestas!AA16,AA$5,0))</f>
        <v>0</v>
      </c>
      <c r="AB21" s="75">
        <f>IF($B21=0,0,IF(AND(Z$3=TotalApuestas!Z16,Resultado!AA$3=TotalApuestas!AA16),Resultado!AB$5+VLOOKUP(AB$4&amp;"bonus",Aux!$AD$1:$AE$46,2,0),IF(AB$3=TotalApuestas!AB16,AB$5,0)))</f>
        <v>0</v>
      </c>
      <c r="AC21" s="75">
        <f>IF($B21=0,0,IF(AC$3=TotalApuestas!AC16,AC$5,0))</f>
        <v>0</v>
      </c>
      <c r="AD21" s="75">
        <f>IF($B21=0,0,IF(AD$3=TotalApuestas!AD16,AD$5,0))</f>
        <v>0</v>
      </c>
      <c r="AE21" s="75">
        <f>IF($B21=0,0,IF(AND(AC$3=TotalApuestas!AC16,Resultado!AD$3=TotalApuestas!AD16),Resultado!AE$5+VLOOKUP(AE$4&amp;"bonus",Aux!$AD$1:$AE$46,2,0),IF(AE$3=TotalApuestas!AE16,AE$5,0)))</f>
        <v>0</v>
      </c>
      <c r="AF21" s="75">
        <f>IF($B21=0,0,IF(AF$3=TotalApuestas!AF16,AF$5,0))</f>
        <v>0</v>
      </c>
      <c r="AG21" s="75">
        <f>IF($B21=0,0,IF(AG$3=TotalApuestas!AG16,AG$5,0))</f>
        <v>0</v>
      </c>
      <c r="AH21" s="75">
        <f>IF($B21=0,0,IF(AND(AF$3=TotalApuestas!AF16,Resultado!AG$3=TotalApuestas!AG16),Resultado!AH$5+VLOOKUP(AH$4&amp;"bonus",Aux!$AD$1:$AE$46,2,0),IF(AH$3=TotalApuestas!AH16,AH$5,0)))</f>
        <v>0</v>
      </c>
      <c r="AI21" s="75">
        <f>IF($B21=0,0,IF(AI$3=TotalApuestas!AI16,AI$5,0))</f>
        <v>0</v>
      </c>
      <c r="AJ21" s="75">
        <f>IF($B21=0,0,IF(AJ$3=TotalApuestas!AJ16,AJ$5,0))</f>
        <v>0</v>
      </c>
      <c r="AK21" s="75">
        <f>IF($B21=0,0,IF(AND(AI$3=TotalApuestas!AI16,Resultado!AJ$3=TotalApuestas!AJ16),Resultado!AK$5+VLOOKUP(AK$4&amp;"bonus",Aux!$AD$1:$AE$46,2,0),IF(AK$3=TotalApuestas!AK16,AK$5,0)))</f>
        <v>0</v>
      </c>
      <c r="AL21" s="75">
        <f>IF($B21=0,0,IF(AL$3=TotalApuestas!AL16,AL$5,0))</f>
        <v>0</v>
      </c>
      <c r="AM21" s="75">
        <f>IF($B21=0,0,IF(AM$3=TotalApuestas!AM16,AM$5,0))</f>
        <v>0</v>
      </c>
      <c r="AN21" s="75">
        <f>IF($B21=0,0,IF(AND(AL$3=TotalApuestas!AL16,Resultado!AM$3=TotalApuestas!AM16),Resultado!AN$5+VLOOKUP(AN$4&amp;"bonus",Aux!$AD$1:$AE$46,2,0),IF(AN$3=TotalApuestas!AN16,AN$5,0)))</f>
        <v>0</v>
      </c>
      <c r="AO21" s="75">
        <f>IF($B21=0,0,IF(AO$3=TotalApuestas!AO16,AO$5,0))</f>
        <v>0</v>
      </c>
      <c r="AP21" s="75">
        <f>IF($B21=0,0,IF(AP$3=TotalApuestas!AP16,AP$5,0))</f>
        <v>0</v>
      </c>
      <c r="AQ21" s="75">
        <f>IF($B21=0,0,IF(AND(AO$3=TotalApuestas!AO16,Resultado!AP$3=TotalApuestas!AP16),Resultado!AQ$5+VLOOKUP(AQ$4&amp;"bonus",Aux!$AD$1:$AE$46,2,0),IF(AQ$3=TotalApuestas!AQ16,AQ$5,0)))</f>
        <v>0</v>
      </c>
      <c r="AR21" s="75">
        <f>IF($B21=0,0,IF(AR$3=TotalApuestas!AR16,AR$5,0))</f>
        <v>0</v>
      </c>
      <c r="AS21" s="75">
        <f>IF($B21=0,0,IF(AS$3=TotalApuestas!AS16,AS$5,0))</f>
        <v>0</v>
      </c>
      <c r="AT21" s="75">
        <f>IF($B21=0,0,IF(AND(AR$3=TotalApuestas!AR16,Resultado!AS$3=TotalApuestas!AS16),Resultado!AT$5+VLOOKUP(AT$4&amp;"bonus",Aux!$AD$1:$AE$46,2,0),IF(AT$3=TotalApuestas!AT16,AT$5,0)))</f>
        <v>0</v>
      </c>
      <c r="AU21" s="75">
        <f>IF($B21=0,0,IF(AU$3=TotalApuestas!AU16,AU$5,0))</f>
        <v>0</v>
      </c>
      <c r="AV21" s="75">
        <f>IF($B21=0,0,IF(AV$3=TotalApuestas!AV16,AV$5,0))</f>
        <v>0</v>
      </c>
      <c r="AW21" s="75">
        <f>IF($B21=0,0,IF(AND(AU$3=TotalApuestas!AU16,Resultado!AV$3=TotalApuestas!AV16),Resultado!AW$5+VLOOKUP(AW$4&amp;"bonus",Aux!$AD$1:$AE$46,2,0),IF(AW$3=TotalApuestas!AW16,AW$5,0)))</f>
        <v>0</v>
      </c>
      <c r="AX21" s="75">
        <f>IF($B21=0,0,IF(AX$3=TotalApuestas!AX16,AX$5,0))</f>
        <v>0</v>
      </c>
      <c r="AY21" s="75">
        <f>IF($B21=0,0,IF(AY$3=TotalApuestas!AY16,AY$5,0))</f>
        <v>0</v>
      </c>
      <c r="AZ21" s="75">
        <f>IF($B21=0,0,IF(AND(AX$3=TotalApuestas!AX16,Resultado!AY$3=TotalApuestas!AY16),Resultado!AZ$5+VLOOKUP(AZ$4&amp;"bonus",Aux!$AD$1:$AE$46,2,0),IF(AZ$3=TotalApuestas!AZ16,AZ$5,0)))</f>
        <v>0</v>
      </c>
      <c r="BA21" s="75">
        <f>IF($B21=0,0,IF(BA$3=TotalApuestas!BA16,BA$5,0))</f>
        <v>0</v>
      </c>
      <c r="BB21" s="75">
        <f>IF($B21=0,0,IF(BB$3=TotalApuestas!BB16,BB$5,0))</f>
        <v>0</v>
      </c>
      <c r="BC21" s="75">
        <f>IF($B21=0,0,IF(AND(BA$3=TotalApuestas!BA16,Resultado!BB$3=TotalApuestas!BB16),Resultado!BC$5+VLOOKUP(BC$4&amp;"bonus",Aux!$AD$1:$AE$46,2,0),IF(BC$3=TotalApuestas!BC16,BC$5,0)))</f>
        <v>0</v>
      </c>
      <c r="BD21" s="75">
        <f>IF($B21=0,0,IF(BD$3=TotalApuestas!BD16,BD$5,0))</f>
        <v>0</v>
      </c>
      <c r="BE21" s="75">
        <f>IF($B21=0,0,IF(BE$3=TotalApuestas!BE16,BE$5,0))</f>
        <v>0</v>
      </c>
      <c r="BF21" s="75">
        <f>IF($B21=0,0,IF(AND(BD$3=TotalApuestas!BD16,Resultado!BE$3=TotalApuestas!BE16),Resultado!BF$5+VLOOKUP(BF$4&amp;"bonus",Aux!$AD$1:$AE$46,2,0),IF(BF$3=TotalApuestas!BF16,BF$5,0)))</f>
        <v>0</v>
      </c>
      <c r="BG21" s="75">
        <f>IF($B21=0,0,IF(BG$3=TotalApuestas!BG16,BG$5,0))</f>
        <v>0</v>
      </c>
      <c r="BH21" s="75">
        <f>IF($B21=0,0,IF(BH$3=TotalApuestas!BH16,BH$5,0))</f>
        <v>0</v>
      </c>
      <c r="BI21" s="75">
        <f>IF($B21=0,0,IF(AND(BG$3=TotalApuestas!BG16,Resultado!BH$3=TotalApuestas!BH16),Resultado!BI$5+VLOOKUP(BI$4&amp;"bonus",Aux!$AD$1:$AE$46,2,0),IF(BI$3=TotalApuestas!BI16,BI$5,0)))</f>
        <v>0</v>
      </c>
      <c r="BJ21" s="75">
        <f>IF($B21=0,0,IF(BJ$3=TotalApuestas!BJ16,BJ$5,0))</f>
        <v>0</v>
      </c>
      <c r="BK21" s="75">
        <f>IF($B21=0,0,IF(BK$3=TotalApuestas!BK16,BK$5,0))</f>
        <v>0</v>
      </c>
      <c r="BL21" s="75">
        <f>IF($B21=0,0,IF(AND(BJ$3=TotalApuestas!BJ16,Resultado!BK$3=TotalApuestas!BK16),Resultado!BL$5+VLOOKUP(BL$4&amp;"bonus",Aux!$AD$1:$AE$46,2,0),IF(BL$3=TotalApuestas!BL16,BL$5,0)))</f>
        <v>0</v>
      </c>
      <c r="BM21" s="75">
        <f>IF($B21=0,0,IF(BM$3=TotalApuestas!BM16,BM$5,0))</f>
        <v>0</v>
      </c>
      <c r="BN21" s="75">
        <f>IF($B21=0,0,IF(BN$3=TotalApuestas!BN16,BN$5,0))</f>
        <v>0</v>
      </c>
      <c r="BO21" s="75">
        <f>IF($B21=0,0,IF(AND(BM$3=TotalApuestas!BM16,Resultado!BN$3=TotalApuestas!BN16),Resultado!BO$5+VLOOKUP(BO$4&amp;"bonus",Aux!$AD$1:$AE$46,2,0),IF(BO$3=TotalApuestas!BO16,BO$5,0)))</f>
        <v>0</v>
      </c>
      <c r="BP21" s="75">
        <f>IF($B21=0,0,IF(BP$3=TotalApuestas!BP16,BP$5,0))</f>
        <v>0</v>
      </c>
      <c r="BQ21" s="75">
        <f>IF($B21=0,0,IF(BQ$3=TotalApuestas!BQ16,BQ$5,0))</f>
        <v>0</v>
      </c>
      <c r="BR21" s="75">
        <f>IF($B21=0,0,IF(AND(BP$3=TotalApuestas!BP16,Resultado!BQ$3=TotalApuestas!BQ16),Resultado!BR$5+VLOOKUP(BR$4&amp;"bonus",Aux!$AD$1:$AE$46,2,0),IF(BR$3=TotalApuestas!BR16,BR$5,0)))</f>
        <v>0</v>
      </c>
      <c r="BS21" s="75">
        <f>IF($B21=0,0,IF(BS$3=TotalApuestas!BS16,BS$5,0))</f>
        <v>0</v>
      </c>
      <c r="BT21" s="75">
        <f>IF($B21=0,0,IF(BT$3=TotalApuestas!BT16,BT$5,0))</f>
        <v>0</v>
      </c>
      <c r="BU21" s="75">
        <f>IF($B21=0,0,IF(AND(BS$3=TotalApuestas!BS16,Resultado!BT$3=TotalApuestas!BT16),Resultado!BU$5+VLOOKUP(BU$4&amp;"bonus",Aux!$AD$1:$AE$46,2,0),IF(BU$3=TotalApuestas!BU16,BU$5,0)))</f>
        <v>0</v>
      </c>
      <c r="BV21" s="75">
        <f>IF($B21=0,0,IF(BV$3=TotalApuestas!BV16,BV$5,0))</f>
        <v>0</v>
      </c>
      <c r="BW21" s="75">
        <f>IF($B21=0,0,IF(BW$3=TotalApuestas!BW16,BW$5,0))</f>
        <v>0</v>
      </c>
      <c r="BX21" s="75">
        <f>IF($B21=0,0,IF(AND(BV$3=TotalApuestas!BV16,Resultado!BW$3=TotalApuestas!BW16),Resultado!BX$5+VLOOKUP(BX$4&amp;"bonus",Aux!$AD$1:$AE$46,2,0),IF(BX$3=TotalApuestas!BX16,BX$5,0)))</f>
        <v>0</v>
      </c>
      <c r="BY21" s="75">
        <f>IF($B21=0,0,IF(BY$3=TotalApuestas!BY16,BY$5,0))</f>
        <v>0</v>
      </c>
      <c r="BZ21" s="75">
        <f>IF($B21=0,0,IF(BZ$3=TotalApuestas!BZ16,BZ$5,0))</f>
        <v>0</v>
      </c>
      <c r="CA21" s="75">
        <f>IF($B21=0,0,IF(AND(BY$3=TotalApuestas!BY16,Resultado!BZ$3=TotalApuestas!BZ16),Resultado!CA$5+VLOOKUP(CA$4&amp;"bonus",Aux!$AD$1:$AE$46,2,0),IF(CA$3=TotalApuestas!CA16,CA$5,0)))</f>
        <v>0</v>
      </c>
      <c r="CB21" s="75">
        <f>IF($B21=0,0,IF(CB$3=TotalApuestas!CB16,CB$5,0))</f>
        <v>0</v>
      </c>
      <c r="CC21" s="75">
        <f>IF($B21=0,0,IF(CC$3=TotalApuestas!CC16,CC$5,0))</f>
        <v>0</v>
      </c>
      <c r="CD21" s="75">
        <f>IF($B21=0,0,IF(AND(CB$3=TotalApuestas!CB16,Resultado!CC$3=TotalApuestas!CC16),Resultado!CD$5+VLOOKUP(CD$4&amp;"bonus",Aux!$AD$1:$AE$46,2,0),IF(CD$3=TotalApuestas!CD16,CD$5,0)))</f>
        <v>0</v>
      </c>
      <c r="CE21" s="75">
        <f>IF($B21=0,0,IF(CE$3=TotalApuestas!CE16,CE$5,0))</f>
        <v>0</v>
      </c>
      <c r="CF21" s="75">
        <f>IF($B21=0,0,IF(CF$3=TotalApuestas!CF16,CF$5,0))</f>
        <v>0</v>
      </c>
      <c r="CG21" s="75">
        <f>IF($B21=0,0,IF(AND(CE$3=TotalApuestas!CE16,Resultado!CF$3=TotalApuestas!CF16),Resultado!CG$5+VLOOKUP(CG$4&amp;"bonus",Aux!$AD$1:$AE$46,2,0),IF(CG$3=TotalApuestas!CG16,CG$5,0)))</f>
        <v>0</v>
      </c>
      <c r="CH21" s="75">
        <f>IF($B21=0,0,IF(CH$3=TotalApuestas!CH16,CH$5,0))</f>
        <v>0</v>
      </c>
      <c r="CI21" s="75">
        <f>IF($B21=0,0,IF(CI$3=TotalApuestas!CI16,CI$5,0))</f>
        <v>0</v>
      </c>
      <c r="CJ21" s="75">
        <f>IF($B21=0,0,IF(AND(CH$3=TotalApuestas!CH16,Resultado!CI$3=TotalApuestas!CI16),Resultado!CJ$5+VLOOKUP(CJ$4&amp;"bonus",Aux!$AD$1:$AE$46,2,0),IF(CJ$3=TotalApuestas!CJ16,CJ$5,0)))</f>
        <v>0</v>
      </c>
      <c r="CK21" s="75">
        <f>IF($B21=0,0,IF(CK$3=TotalApuestas!CK16,CK$5,0))</f>
        <v>0</v>
      </c>
      <c r="CL21" s="75">
        <f>IF($B21=0,0,IF(CL$3=TotalApuestas!CL16,CL$5,0))</f>
        <v>0</v>
      </c>
      <c r="CM21" s="75">
        <f>IF($B21=0,0,IF(AND(CK$3=TotalApuestas!CK16,Resultado!CL$3=TotalApuestas!CL16),Resultado!CM$5+VLOOKUP(CM$4&amp;"bonus",Aux!$AD$1:$AE$46,2,0),IF(CM$3=TotalApuestas!CM16,CM$5,0)))</f>
        <v>0</v>
      </c>
      <c r="CN21" s="75">
        <f>IF($B21=0,0,IF(CN$3=TotalApuestas!CN16,CN$5,0))</f>
        <v>0</v>
      </c>
      <c r="CO21" s="75">
        <f>IF($B21=0,0,IF(CO$3=TotalApuestas!CO16,CO$5,0))</f>
        <v>0</v>
      </c>
      <c r="CP21" s="75">
        <f>IF($B21=0,0,IF(AND(CN$3=TotalApuestas!CN16,Resultado!CO$3=TotalApuestas!CO16),Resultado!CP$5+VLOOKUP(CP$4&amp;"bonus",Aux!$AD$1:$AE$46,2,0),IF(CP$3=TotalApuestas!CP16,CP$5,0)))</f>
        <v>0</v>
      </c>
      <c r="CQ21" s="75">
        <f>IF($B21=0,0,IF(CQ$3=TotalApuestas!CQ16,CQ$5,0))</f>
        <v>0</v>
      </c>
      <c r="CR21" s="75">
        <f>IF($B21=0,0,IF(CR$3=TotalApuestas!CR16,CR$5,0))</f>
        <v>0</v>
      </c>
      <c r="CS21" s="75">
        <f>IF($B21=0,0,IF(AND(CQ$3=TotalApuestas!CQ16,Resultado!CR$3=TotalApuestas!CR16),Resultado!CS$5+VLOOKUP(CS$4&amp;"bonus",Aux!$AD$1:$AE$46,2,0),IF(CS$3=TotalApuestas!CS16,CS$5,0)))</f>
        <v>0</v>
      </c>
      <c r="CT21" s="75">
        <f>IF($B21=0,0,IF(CT$3=TotalApuestas!CT16,CT$5,0))</f>
        <v>0</v>
      </c>
      <c r="CU21" s="75">
        <f>IF($B21=0,0,IF(CU$3=TotalApuestas!CU16,CU$5,0))</f>
        <v>0</v>
      </c>
      <c r="CV21" s="75">
        <f>IF($B21=0,0,IF(AND(CT$3=TotalApuestas!CT16,Resultado!CU$3=TotalApuestas!CU16),Resultado!CV$5+VLOOKUP(CV$4&amp;"bonus",Aux!$AD$1:$AE$46,2,0),IF(CV$3=TotalApuestas!CV16,CV$5,0)))</f>
        <v>0</v>
      </c>
      <c r="CW21" s="75">
        <f>IF($B21=0,0,IF(CW$3=TotalApuestas!CW16,CW$5,0))</f>
        <v>0</v>
      </c>
      <c r="CX21" s="75">
        <f>IF($B21=0,0,IF(CX$3=TotalApuestas!CX16,CX$5,0))</f>
        <v>0</v>
      </c>
      <c r="CY21" s="75">
        <f>IF($B21=0,0,IF(AND(CW$3=TotalApuestas!CW16,Resultado!CX$3=TotalApuestas!CX16),Resultado!CY$5+VLOOKUP(CY$4&amp;"bonus",Aux!$AD$1:$AE$46,2,0),IF(CY$3=TotalApuestas!CY16,CY$5,0)))</f>
        <v>0</v>
      </c>
      <c r="CZ21" s="75">
        <f>IF($B21=0,0,IF(CZ$3=TotalApuestas!CZ16,CZ$5,0))</f>
        <v>0</v>
      </c>
      <c r="DA21" s="75">
        <f>IF($B21=0,0,IF(DA$3=TotalApuestas!DA16,DA$5,0))</f>
        <v>0</v>
      </c>
      <c r="DB21" s="75">
        <f>IF($B21=0,0,IF(AND(CZ$3=TotalApuestas!CZ16,Resultado!DA$3=TotalApuestas!DA16),Resultado!DB$5+VLOOKUP(DB$4&amp;"bonus",Aux!$AD$1:$AE$46,2,0),IF(DB$3=TotalApuestas!DB16,DB$5,0)))</f>
        <v>0</v>
      </c>
      <c r="DC21" s="75">
        <f>IF($B21=0,0,IF(DC$3=TotalApuestas!DC16,DC$5,0))</f>
        <v>0</v>
      </c>
      <c r="DD21" s="75">
        <f>IF($B21=0,0,IF(DD$3=TotalApuestas!DD16,DD$5,0))</f>
        <v>0</v>
      </c>
      <c r="DE21" s="75">
        <f>IF($B21=0,0,IF(AND(DC$3=TotalApuestas!DC16,Resultado!DD$3=TotalApuestas!DD16),Resultado!DE$5+VLOOKUP(DE$4&amp;"bonus",Aux!$AD$1:$AE$46,2,0),IF(DE$3=TotalApuestas!DE16,DE$5,0)))</f>
        <v>0</v>
      </c>
      <c r="DF21" s="75">
        <f>IF($B21=0,0,IF(DF$3=TotalApuestas!DF16,DF$5,0))</f>
        <v>0</v>
      </c>
      <c r="DG21" s="75">
        <f>IF($B21=0,0,IF(DG$3=TotalApuestas!DG16,DG$5,0))</f>
        <v>0</v>
      </c>
      <c r="DH21" s="75">
        <f>IF($B21=0,0,IF(AND(DF$3=TotalApuestas!DF16,Resultado!DG$3=TotalApuestas!DG16),Resultado!DH$5+VLOOKUP(DH$4&amp;"bonus",Aux!$AD$1:$AE$46,2,0),IF(DH$3=TotalApuestas!DH16,DH$5,0)))</f>
        <v>0</v>
      </c>
      <c r="DI21" s="75">
        <f>IF($B21=0,0,IF(DI$3=TotalApuestas!DI16,DI$5,0))</f>
        <v>0</v>
      </c>
      <c r="DJ21" s="75">
        <f>IF($B21=0,0,IF(DJ$3=TotalApuestas!DJ16,DJ$5,0))</f>
        <v>0</v>
      </c>
      <c r="DK21" s="75">
        <f>IF($B21=0,0,IF(AND(DI$3=TotalApuestas!DI16,Resultado!DJ$3=TotalApuestas!DJ16),Resultado!DK$5+VLOOKUP(DK$4&amp;"bonus",Aux!$AD$1:$AE$46,2,0),IF(DK$3=TotalApuestas!DK16,DK$5,0)))</f>
        <v>0</v>
      </c>
      <c r="DL21" s="75">
        <f>IF($B21=0,0,IF(DL$3=TotalApuestas!DL16,DL$5,0))</f>
        <v>0</v>
      </c>
      <c r="DM21" s="75">
        <f>IF($B21=0,0,IF(DM$3=TotalApuestas!DM16,DM$5,0))</f>
        <v>0</v>
      </c>
      <c r="DN21" s="75">
        <f>IF($B21=0,0,IF(AND(DL$3=TotalApuestas!DL16,Resultado!DM$3=TotalApuestas!DM16),Resultado!DN$5+VLOOKUP(DN$4&amp;"bonus",Aux!$AD$1:$AE$46,2,0),IF(DN$3=TotalApuestas!DN16,DN$5,0)))</f>
        <v>0</v>
      </c>
      <c r="DO21" s="75">
        <f>IF($B21=0,0,IF(DO$3=TotalApuestas!DO16,DO$5,0))</f>
        <v>0</v>
      </c>
      <c r="DP21" s="75">
        <f>IF($B21=0,0,IF(DP$3=TotalApuestas!DP16,DP$5,0))</f>
        <v>0</v>
      </c>
      <c r="DQ21" s="75">
        <f>IF($B21=0,0,IF(AND(DO$3=TotalApuestas!DO16,Resultado!DP$3=TotalApuestas!DP16),Resultado!DQ$5+VLOOKUP(DQ$4&amp;"bonus",Aux!$AD$1:$AE$46,2,0),IF(DQ$3=TotalApuestas!DQ16,DQ$5,0)))</f>
        <v>0</v>
      </c>
      <c r="DR21" s="75">
        <f>IF($B21=0,0,IF(DR$3=TotalApuestas!DR16,DR$5,0))</f>
        <v>0</v>
      </c>
      <c r="DS21" s="75">
        <f>IF($B21=0,0,IF(DS$3=TotalApuestas!DS16,DS$5,0))</f>
        <v>0</v>
      </c>
      <c r="DT21" s="75">
        <f>IF($B21=0,0,IF(AND(DR$3=TotalApuestas!DR16,Resultado!DS$3=TotalApuestas!DS16),Resultado!DT$5+VLOOKUP(DT$4&amp;"bonus",Aux!$AD$1:$AE$46,2,0),IF(DT$3=TotalApuestas!DT16,DT$5,0)))</f>
        <v>0</v>
      </c>
      <c r="DU21" s="75">
        <f>IF($B21=0,0,IF(DU$3=TotalApuestas!DU16,DU$5,0))</f>
        <v>0</v>
      </c>
      <c r="DV21" s="75">
        <f>IF($B21=0,0,IF(DV$3=TotalApuestas!DV16,DV$5,0))</f>
        <v>0</v>
      </c>
      <c r="DW21" s="75">
        <f>IF($B21=0,0,IF(AND(DU$3=TotalApuestas!DU16,Resultado!DV$3=TotalApuestas!DV16),Resultado!DW$5+VLOOKUP(DW$4&amp;"bonus",Aux!$AD$1:$AE$46,2,0),IF(DW$3=TotalApuestas!DW16,DW$5,0)))</f>
        <v>0</v>
      </c>
      <c r="DX21" s="75">
        <f>IF($B21=0,0,IF(DX$3=TotalApuestas!DX16,DX$5,0))</f>
        <v>0</v>
      </c>
      <c r="DY21" s="75">
        <f>IF($B21=0,0,IF(DY$3=TotalApuestas!DY16,DY$5,0))</f>
        <v>0</v>
      </c>
      <c r="DZ21" s="75">
        <f>IF($B21=0,0,IF(AND(DX$3=TotalApuestas!DX16,Resultado!DY$3=TotalApuestas!DY16),Resultado!DZ$5+VLOOKUP(DZ$4&amp;"bonus",Aux!$AD$1:$AE$46,2,0),IF(DZ$3=TotalApuestas!DZ16,DZ$5,0)))</f>
        <v>0</v>
      </c>
      <c r="EA21" s="75">
        <f>IF($B21=0,0,IF(EA$3=TotalApuestas!EA16,EA$5,0))</f>
        <v>0</v>
      </c>
      <c r="EB21" s="75">
        <f>IF($B21=0,0,IF(EB$3=TotalApuestas!EB16,EB$5,0))</f>
        <v>0</v>
      </c>
      <c r="EC21" s="75">
        <f>IF($B21=0,0,IF(AND(EA$3=TotalApuestas!EA16,Resultado!EB$3=TotalApuestas!EB16),Resultado!EC$5+VLOOKUP(EC$4&amp;"bonus",Aux!$AD$1:$AE$46,2,0),IF(EC$3=TotalApuestas!EC16,EC$5,0)))</f>
        <v>0</v>
      </c>
      <c r="ED21" s="75">
        <f>IF($B21=0,0,IF(ED$3=TotalApuestas!ED16,ED$5,0))</f>
        <v>0</v>
      </c>
      <c r="EE21" s="75">
        <f>IF($B21=0,0,IF(EE$3=TotalApuestas!EE16,EE$5,0))</f>
        <v>0</v>
      </c>
      <c r="EF21" s="75">
        <f>IF($B21=0,0,IF(AND(ED$3=TotalApuestas!ED16,Resultado!EE$3=TotalApuestas!EE16),Resultado!EF$5+VLOOKUP(EF$4&amp;"bonus",Aux!$AD$1:$AE$46,2,0),IF(EF$3=TotalApuestas!EF16,EF$5,0)))</f>
        <v>0</v>
      </c>
      <c r="EG21" s="75">
        <f>IF($B21=0,0,IF(EG$3=TotalApuestas!EG16,EG$5,0))</f>
        <v>0</v>
      </c>
      <c r="EH21" s="75">
        <f>IF($B21=0,0,IF(EH$3=TotalApuestas!EH16,EH$5,0))</f>
        <v>0</v>
      </c>
      <c r="EI21" s="75">
        <f>IF($B21=0,0,IF(AND(EG$3=TotalApuestas!EG16,Resultado!EH$3=TotalApuestas!EH16),Resultado!EI$5+VLOOKUP(EI$4&amp;"bonus",Aux!$AD$1:$AE$46,2,0),IF(EI$3=TotalApuestas!EI16,EI$5,0)))</f>
        <v>0</v>
      </c>
      <c r="EJ21" s="75">
        <f>IF($B21=0,0,IF(EJ$3=TotalApuestas!EJ16,EJ$5,0))</f>
        <v>0</v>
      </c>
      <c r="EK21" s="75">
        <f>IF($B21=0,0,IF(EK$3=TotalApuestas!EK16,EK$5,0))</f>
        <v>0</v>
      </c>
      <c r="EL21" s="75">
        <f>IF($B21=0,0,IF(AND(EJ$3=TotalApuestas!EJ16,Resultado!EK$3=TotalApuestas!EK16),Resultado!EL$5+VLOOKUP(EL$4&amp;"bonus",Aux!$AD$1:$AE$46,2,0),IF(EL$3=TotalApuestas!EL16,EL$5,0)))</f>
        <v>0</v>
      </c>
      <c r="EM21" s="75">
        <f>IF($B21=0,0,IF(EM$3=TotalApuestas!EM16,EM$5,0))</f>
        <v>0</v>
      </c>
      <c r="EN21" s="75">
        <f>IF($B21=0,0,IF(EN$3=TotalApuestas!EN16,EN$5,0))</f>
        <v>0</v>
      </c>
      <c r="EO21" s="75">
        <f>IF($B21=0,0,IF(AND(EM$3=TotalApuestas!EM16,Resultado!EN$3=TotalApuestas!EN16),Resultado!EO$5+VLOOKUP(EO$4&amp;"bonus",Aux!$AD$1:$AE$46,2,0),IF(EO$3=TotalApuestas!EO16,EO$5,0)))</f>
        <v>0</v>
      </c>
      <c r="EP21" s="75">
        <f>IF($B21=0,0,IF(EP$3=TotalApuestas!EP16,EP$5,0))</f>
        <v>0</v>
      </c>
      <c r="EQ21" s="75">
        <f>IF($B21=0,0,IF(EQ$3=TotalApuestas!EQ16,EQ$5,0))</f>
        <v>0</v>
      </c>
      <c r="ER21" s="75">
        <f>IF($B21=0,0,IF(AND(EP$3=TotalApuestas!EP16,Resultado!EQ$3=TotalApuestas!EQ16),Resultado!ER$5+VLOOKUP(ER$4&amp;"bonus",Aux!$AD$1:$AE$46,2,0),IF(ER$3=TotalApuestas!ER16,ER$5,0)))</f>
        <v>0</v>
      </c>
      <c r="ES21" s="75">
        <f>IF($B21=0,0,IF(ES$3=TotalApuestas!ES16,ES$5,0))</f>
        <v>0</v>
      </c>
      <c r="ET21" s="75">
        <f>IF($B21=0,0,IF(ET$3=TotalApuestas!ET16,ET$5,0))</f>
        <v>0</v>
      </c>
      <c r="EU21" s="75">
        <f>IF($B21=0,0,IF(EU$3=TotalApuestas!EU16,EU$5,0))</f>
        <v>0</v>
      </c>
      <c r="EV21" s="75">
        <f>IF($B21=0,0,IF(EV$3=TotalApuestas!EV16,EV$5,0))</f>
        <v>0</v>
      </c>
      <c r="EW21" s="75">
        <f>IF($B21=0,0,IF(EW$3=TotalApuestas!EW16,EW$5,0))</f>
        <v>0</v>
      </c>
      <c r="EX21" s="75">
        <f>IF($B21=0,0,IF(EX$3=TotalApuestas!EX16,EX$5,0))</f>
        <v>0</v>
      </c>
      <c r="EY21" s="75">
        <f>IF($B21=0,0,IF(EY$3=TotalApuestas!EY16,EY$5,0))</f>
        <v>0</v>
      </c>
      <c r="EZ21" s="75">
        <f>IF($B21=0,0,IF(EZ$3=TotalApuestas!EZ16,EZ$5,0))</f>
        <v>0</v>
      </c>
      <c r="FA21" s="75">
        <f>IF($B21=0,0,IF(FA$3=TotalApuestas!FA16,FA$5,0))</f>
        <v>0</v>
      </c>
      <c r="FB21" s="75">
        <f>IF($B21=0,0,IF(FB$3=TotalApuestas!FB16,FB$5,0))</f>
        <v>0</v>
      </c>
      <c r="FC21" s="75">
        <f>IF($B21=0,0,IF(FC$3=TotalApuestas!FC16,FC$5,0))</f>
        <v>0</v>
      </c>
      <c r="FD21" s="75">
        <f>IF($B21=0,0,IF(FD$3=TotalApuestas!FD16,FD$5,0))</f>
        <v>0</v>
      </c>
      <c r="FE21" s="75">
        <f>IF($B21=0,0,IF(FE$3=TotalApuestas!FE16,FE$5,0))</f>
        <v>0</v>
      </c>
      <c r="FF21" s="75">
        <f>IF($B21=0,0,IF(FF$3=TotalApuestas!FF16,FF$5,0))</f>
        <v>0</v>
      </c>
      <c r="FG21" s="75">
        <f>IF($B21=0,0,IF(FG$3=TotalApuestas!FG16,FG$5,0))</f>
        <v>0</v>
      </c>
      <c r="FH21" s="75">
        <f>IF($B21=0,0,IF(FH$3=TotalApuestas!FH16,FH$5,0))</f>
        <v>0</v>
      </c>
      <c r="FI21" s="75">
        <f>IF($B21=0,0,IF(FI$3=TotalApuestas!FI16,FI$5,0))</f>
        <v>0</v>
      </c>
      <c r="FJ21" s="75">
        <f>IF($B21=0,0,IF(FJ$3=TotalApuestas!FJ16,FJ$5,0))</f>
        <v>0</v>
      </c>
      <c r="FK21" s="75">
        <f>IF($B21=0,0,IF(FK$3=TotalApuestas!FK16,FK$5,0))</f>
        <v>0</v>
      </c>
      <c r="FL21" s="75">
        <f>IF($B21=0,0,IF(FL$3=TotalApuestas!FL16,FL$5,0))</f>
        <v>0</v>
      </c>
      <c r="FM21" s="75">
        <f>IF($B21=0,0,IF(FM$3=TotalApuestas!FM16,FM$5,0))</f>
        <v>0</v>
      </c>
      <c r="FN21" s="75">
        <f>IF($B21=0,0,IF(FN$3=TotalApuestas!FN16,FN$5,0))</f>
        <v>0</v>
      </c>
      <c r="FO21" s="75">
        <f>IF($B21=0,0,IF(FO$3=TotalApuestas!FO16,FO$5,0))</f>
        <v>0</v>
      </c>
      <c r="FP21" s="75">
        <f>IF($B21=0,0,IF(FP$3=TotalApuestas!FP16,FP$5,0))</f>
        <v>0</v>
      </c>
      <c r="FQ21" s="75">
        <f>IF($B21=0,0,IF(FQ$3=TotalApuestas!FQ16,FQ$5,0))</f>
        <v>0</v>
      </c>
      <c r="FR21" s="75">
        <f>IF($B21=0,0,IF(FR$3=TotalApuestas!FR16,FR$5,0))</f>
        <v>0</v>
      </c>
      <c r="FS21" s="75">
        <f>IF($B21=0,0,IF(FS$3=TotalApuestas!FS16,FS$5,0))</f>
        <v>0</v>
      </c>
      <c r="FT21" s="75">
        <f>IF($B21=0,0,IF(FT$3=TotalApuestas!FT16,FT$5,0))</f>
        <v>0</v>
      </c>
      <c r="FU21" s="75">
        <f>IF($B21=0,0,IF(FU$3=TotalApuestas!FU16,FU$5,0))</f>
        <v>0</v>
      </c>
      <c r="FV21" s="75">
        <f>IF($B21=0,0,IF(FV$3=TotalApuestas!FV16,FV$5,0))</f>
        <v>0</v>
      </c>
      <c r="FW21" s="75">
        <f>IF($B21=0,0,IF(FW$3=TotalApuestas!FW16,FW$5,0))</f>
        <v>0</v>
      </c>
      <c r="FX21" s="75">
        <f>IF($B21=0,0,IF(FX$3=TotalApuestas!FX16,FX$5,0))</f>
        <v>0</v>
      </c>
      <c r="FY21" s="75">
        <f>IF($B21=0,0,IF(FY$3=TotalApuestas!FY16,FY$5,0))</f>
        <v>0</v>
      </c>
      <c r="FZ21" s="75">
        <f>IF($B21=0,0,IF(AND(FX$3=TotalApuestas!FX16,Resultado!FY$3=TotalApuestas!FY16),Resultado!FZ$5+VLOOKUP(FZ$4&amp;"bonus",Aux!$AD$1:$AE$46,2,0),IF(FZ$3=TotalApuestas!FZ16,FZ$5,0)))</f>
        <v>0</v>
      </c>
      <c r="GA21" s="75">
        <f>IF($B21=0,0,IF(GA$3=TotalApuestas!GA16,GA$5,0))</f>
        <v>0</v>
      </c>
      <c r="GB21" s="75">
        <f>IF($B21=0,0,IF(GB$3=TotalApuestas!GB16,GB$5,0))</f>
        <v>0</v>
      </c>
      <c r="GC21" s="75">
        <f>IF($B21=0,0,IF(AND(GA$3=TotalApuestas!GA16,Resultado!GB$3=TotalApuestas!GB16),Resultado!GC$5+VLOOKUP(GC$4&amp;"bonus",Aux!$AD$1:$AE$46,2,0),IF(GC$3=TotalApuestas!GC16,GC$5,0)))</f>
        <v>0</v>
      </c>
      <c r="GD21" s="75">
        <f>IF($B21=0,0,IF(GD$3=TotalApuestas!GD16,GD$5,0))</f>
        <v>0</v>
      </c>
      <c r="GE21" s="75">
        <f>IF($B21=0,0,IF(GE$3=TotalApuestas!GE16,GE$5,0))</f>
        <v>0</v>
      </c>
      <c r="GF21" s="75">
        <f>IF($B21=0,0,IF(AND(GD$3=TotalApuestas!GD16,Resultado!GE$3=TotalApuestas!GE16),Resultado!GF$5+VLOOKUP(GF$4&amp;"bonus",Aux!$AD$1:$AE$46,2,0),IF(GF$3=TotalApuestas!GF16,GF$5,0)))</f>
        <v>0</v>
      </c>
      <c r="GG21" s="75">
        <f>IF($B21=0,0,IF(GG$3=TotalApuestas!GG16,GG$5,0))</f>
        <v>0</v>
      </c>
      <c r="GH21" s="75">
        <f>IF($B21=0,0,IF(GH$3=TotalApuestas!GH16,GH$5,0))</f>
        <v>0</v>
      </c>
      <c r="GI21" s="75">
        <f>IF($B21=0,0,IF(AND(GG$3=TotalApuestas!GG16,Resultado!GH$3=TotalApuestas!GH16),Resultado!GI$5+VLOOKUP(GI$4&amp;"bonus",Aux!$AD$1:$AE$46,2,0),IF(GI$3=TotalApuestas!GI16,GI$5,0)))</f>
        <v>0</v>
      </c>
      <c r="GJ21" s="75">
        <f>IF($B21=0,0,IF(GJ$3=TotalApuestas!GJ16,GJ$5,0))</f>
        <v>0</v>
      </c>
      <c r="GK21" s="75">
        <f>IF($B21=0,0,IF(GK$3=TotalApuestas!GK16,GK$5,0))</f>
        <v>0</v>
      </c>
      <c r="GL21" s="75">
        <f>IF($B21=0,0,IF(AND(GJ$3=TotalApuestas!GJ16,Resultado!GK$3=TotalApuestas!GK16),Resultado!GL$5+VLOOKUP(GL$4&amp;"bonus",Aux!$AD$1:$AE$46,2,0),IF(GL$3=TotalApuestas!GL16,GL$5,0)))</f>
        <v>0</v>
      </c>
      <c r="GM21" s="75">
        <f>IF($B21=0,0,IF(GM$3=TotalApuestas!GM16,GM$5,0))</f>
        <v>0</v>
      </c>
      <c r="GN21" s="75">
        <f>IF($B21=0,0,IF(GN$3=TotalApuestas!GN16,GN$5,0))</f>
        <v>0</v>
      </c>
      <c r="GO21" s="75">
        <f>IF($B21=0,0,IF(AND(GM$3=TotalApuestas!GM16,Resultado!GN$3=TotalApuestas!GN16),Resultado!GO$5+VLOOKUP(GO$4&amp;"bonus",Aux!$AD$1:$AE$46,2,0),IF(GO$3=TotalApuestas!GO16,GO$5,0)))</f>
        <v>0</v>
      </c>
      <c r="GP21" s="75">
        <f>IF($B21=0,0,IF(GP$3=TotalApuestas!GP16,GP$5,0))</f>
        <v>0</v>
      </c>
      <c r="GQ21" s="75">
        <f>IF($B21=0,0,IF(GQ$3=TotalApuestas!GQ16,GQ$5,0))</f>
        <v>0</v>
      </c>
      <c r="GR21" s="75">
        <f>IF($B21=0,0,IF(AND(GP$3=TotalApuestas!GP16,Resultado!GQ$3=TotalApuestas!GQ16),Resultado!GR$5+VLOOKUP(GR$4&amp;"bonus",Aux!$AD$1:$AE$46,2,0),IF(GR$3=TotalApuestas!GR16,GR$5,0)))</f>
        <v>0</v>
      </c>
      <c r="GS21" s="75">
        <f>IF($B21=0,0,IF(GS$3=TotalApuestas!GS16,GS$5,0))</f>
        <v>0</v>
      </c>
      <c r="GT21" s="75">
        <f>IF($B21=0,0,IF(GT$3=TotalApuestas!GT16,GT$5,0))</f>
        <v>0</v>
      </c>
      <c r="GU21" s="75">
        <f>IF($B21=0,0,IF(AND(GS$3=TotalApuestas!GS16,Resultado!GT$3=TotalApuestas!GT16),Resultado!GU$5+VLOOKUP(GU$4&amp;"bonus",Aux!$AD$1:$AE$46,2,0),IF(GU$3=TotalApuestas!GU16,GU$5,0)))</f>
        <v>0</v>
      </c>
      <c r="GV21" s="75">
        <f>IF($B21=0,0,IF(GV$3=TotalApuestas!GV16,GV$5,0))</f>
        <v>0</v>
      </c>
      <c r="GW21" s="75">
        <f>IF($B21=0,0,IF(GW$3=TotalApuestas!GW16,GW$5,0))</f>
        <v>0</v>
      </c>
      <c r="GX21" s="75">
        <f>IF($B21=0,0,IF(AND(GV$3=TotalApuestas!GV16,Resultado!GW$3=TotalApuestas!GW16),Resultado!GX$5+VLOOKUP(GX$4&amp;"bonus",Aux!$AD$1:$AE$46,2,0),IF(GX$3=TotalApuestas!GX16,GX$5,0)))</f>
        <v>0</v>
      </c>
      <c r="GY21" s="75">
        <f>IF($B21=0,0,IF(GY$3=TotalApuestas!GY16,GY$5,0))</f>
        <v>0</v>
      </c>
      <c r="GZ21" s="75">
        <f>IF($B21=0,0,IF(GZ$3=TotalApuestas!GZ16,GZ$5,0))</f>
        <v>0</v>
      </c>
      <c r="HA21" s="75">
        <f>IF($B21=0,0,IF(AND(GY$3=TotalApuestas!GY16,Resultado!GZ$3=TotalApuestas!GZ16),Resultado!HA$5+VLOOKUP(HA$4&amp;"bonus",Aux!$AD$1:$AE$46,2,0),IF(HA$3=TotalApuestas!HA16,HA$5,0)))</f>
        <v>0</v>
      </c>
      <c r="HB21" s="75">
        <f>IF($B21=0,0,IF(HB$3=TotalApuestas!HB16,HB$5,0))</f>
        <v>0</v>
      </c>
      <c r="HC21" s="75">
        <f>IF($B21=0,0,IF(HC$3=TotalApuestas!HC16,HC$5,0))</f>
        <v>0</v>
      </c>
      <c r="HD21" s="75">
        <f>IF($B21=0,0,IF(AND(HB$3=TotalApuestas!HB16,Resultado!HC$3=TotalApuestas!HC16),Resultado!HD$5+VLOOKUP(HD$4&amp;"bonus",Aux!$AD$1:$AE$46,2,0),IF(HD$3=TotalApuestas!HD16,HD$5,0)))</f>
        <v>0</v>
      </c>
      <c r="HE21" s="75">
        <f>IF($B21=0,0,IF(HE$3=TotalApuestas!HE16,HE$5,0))</f>
        <v>0</v>
      </c>
      <c r="HF21" s="75">
        <f>IF($B21=0,0,IF(HF$3=TotalApuestas!HF16,HF$5,0))</f>
        <v>0</v>
      </c>
      <c r="HG21" s="75">
        <f>IF($B21=0,0,IF(AND(HE$3=TotalApuestas!HE16,Resultado!HF$3=TotalApuestas!HF16),Resultado!HG$5+VLOOKUP(HG$4&amp;"bonus",Aux!$AD$1:$AE$46,2,0),IF(HG$3=TotalApuestas!HG16,HG$5,0)))</f>
        <v>0</v>
      </c>
      <c r="HH21" s="75">
        <f>IF($B21=0,0,IF(HH$3=TotalApuestas!HH16,HH$5,0))</f>
        <v>0</v>
      </c>
      <c r="HI21" s="75">
        <f>IF($B21=0,0,IF(HI$3=TotalApuestas!HI16,HI$5,0))</f>
        <v>0</v>
      </c>
      <c r="HJ21" s="75">
        <f>IF($B21=0,0,IF(AND(HH$3=TotalApuestas!HH16,Resultado!HI$3=TotalApuestas!HI16),Resultado!HJ$5+VLOOKUP(HJ$4&amp;"bonus",Aux!$AD$1:$AE$46,2,0),IF(HJ$3=TotalApuestas!HJ16,HJ$5,0)))</f>
        <v>0</v>
      </c>
      <c r="HK21" s="75">
        <f>IF($B21=0,0,IF(HK$3=TotalApuestas!HK16,HK$5,0))</f>
        <v>0</v>
      </c>
      <c r="HL21" s="75">
        <f>IF($B21=0,0,IF(HL$3=TotalApuestas!HL16,HL$5,0))</f>
        <v>0</v>
      </c>
      <c r="HM21" s="75">
        <f>IF($B21=0,0,IF(AND(HK$3=TotalApuestas!HK16,Resultado!HL$3=TotalApuestas!HL16),Resultado!HM$5+VLOOKUP(HM$4&amp;"bonus",Aux!$AD$1:$AE$46,2,0),IF(HM$3=TotalApuestas!HM16,HM$5,0)))</f>
        <v>0</v>
      </c>
      <c r="HN21" s="75">
        <f>IF($B21=0,0,IF(HN$3=TotalApuestas!HN16,HN$5,0))</f>
        <v>0</v>
      </c>
      <c r="HO21" s="75">
        <f>IF($B21=0,0,IF(HO$3=TotalApuestas!HO16,HO$5,0))</f>
        <v>0</v>
      </c>
      <c r="HP21" s="75">
        <f>IF($B21=0,0,IF(AND(HN$3=TotalApuestas!HN16,Resultado!HO$3=TotalApuestas!HO16),Resultado!HP$5+VLOOKUP(HP$4&amp;"bonus",Aux!$AD$1:$AE$46,2,0),IF(HP$3=TotalApuestas!HP16,HP$5,0)))</f>
        <v>0</v>
      </c>
    </row>
    <row r="22" spans="2:224" x14ac:dyDescent="0.25">
      <c r="B22">
        <f>+TotalApuestas!B17</f>
        <v>0</v>
      </c>
      <c r="E22" s="75">
        <f>IF($B22=0,0,IF(E$3=TotalApuestas!E17,E$5,0))</f>
        <v>0</v>
      </c>
      <c r="F22" s="75">
        <f>IF($B22=0,0,IF(F$3=TotalApuestas!F17,F$5,0))</f>
        <v>0</v>
      </c>
      <c r="G22" s="75">
        <f>IF($B22=0,0,IF(AND(E$3=TotalApuestas!E17,Resultado!F$3=TotalApuestas!F17),Resultado!G$5+VLOOKUP(G$4&amp;"bonus",Aux!$AD$1:$AE$46,2,0),IF(G$3=TotalApuestas!G17,G$5,0)))</f>
        <v>0</v>
      </c>
      <c r="H22" s="75">
        <f>IF($B22=0,0,IF(H$3=TotalApuestas!H17,H$5,0))</f>
        <v>0</v>
      </c>
      <c r="I22" s="75">
        <f>IF($B22=0,0,IF(I$3=TotalApuestas!I17,I$5,0))</f>
        <v>0</v>
      </c>
      <c r="J22" s="75">
        <f>IF($B22=0,0,IF(AND(H$3=TotalApuestas!H17,Resultado!I$3=TotalApuestas!I17),Resultado!J$5+VLOOKUP(J$4&amp;"bonus",Aux!$AD$1:$AE$46,2,0),IF(J$3=TotalApuestas!J17,J$5,0)))</f>
        <v>0</v>
      </c>
      <c r="K22" s="75">
        <f>IF($B22=0,0,IF(K$3=TotalApuestas!K17,K$5,0))</f>
        <v>0</v>
      </c>
      <c r="L22" s="75">
        <f>IF($B22=0,0,IF(L$3=TotalApuestas!L17,L$5,0))</f>
        <v>0</v>
      </c>
      <c r="M22" s="75">
        <f>IF($B22=0,0,IF(AND(K$3=TotalApuestas!K17,Resultado!L$3=TotalApuestas!L17),Resultado!M$5+VLOOKUP(M$4&amp;"bonus",Aux!$AD$1:$AE$46,2,0),IF(M$3=TotalApuestas!M17,M$5,0)))</f>
        <v>0</v>
      </c>
      <c r="N22" s="75">
        <f>IF($B22=0,0,IF(N$3=TotalApuestas!N17,N$5,0))</f>
        <v>0</v>
      </c>
      <c r="O22" s="75">
        <f>IF($B22=0,0,IF(O$3=TotalApuestas!O17,O$5,0))</f>
        <v>0</v>
      </c>
      <c r="P22" s="75">
        <f>IF($B22=0,0,IF(AND(N$3=TotalApuestas!N17,Resultado!O$3=TotalApuestas!O17),Resultado!P$5+VLOOKUP(P$4&amp;"bonus",Aux!$AD$1:$AE$46,2,0),IF(P$3=TotalApuestas!P17,P$5,0)))</f>
        <v>0</v>
      </c>
      <c r="Q22" s="75">
        <f>IF($B22=0,0,IF(Q$3=TotalApuestas!Q17,Q$5,0))</f>
        <v>0</v>
      </c>
      <c r="R22" s="75">
        <f>IF($B22=0,0,IF(R$3=TotalApuestas!R17,R$5,0))</f>
        <v>0</v>
      </c>
      <c r="S22" s="75">
        <f>IF($B22=0,0,IF(AND(Q$3=TotalApuestas!Q17,Resultado!R$3=TotalApuestas!R17),Resultado!S$5+VLOOKUP(S$4&amp;"bonus",Aux!$AD$1:$AE$46,2,0),IF(S$3=TotalApuestas!S17,S$5,0)))</f>
        <v>0</v>
      </c>
      <c r="T22" s="75">
        <f>IF($B22=0,0,IF(T$3=TotalApuestas!T17,T$5,0))</f>
        <v>0</v>
      </c>
      <c r="U22" s="75">
        <f>IF($B22=0,0,IF(U$3=TotalApuestas!U17,U$5,0))</f>
        <v>0</v>
      </c>
      <c r="V22" s="75">
        <f>IF($B22=0,0,IF(AND(T$3=TotalApuestas!T17,Resultado!U$3=TotalApuestas!U17),Resultado!V$5+VLOOKUP(V$4&amp;"bonus",Aux!$AD$1:$AE$46,2,0),IF(V$3=TotalApuestas!V17,V$5,0)))</f>
        <v>0</v>
      </c>
      <c r="W22" s="75">
        <f>IF($B22=0,0,IF(W$3=TotalApuestas!W17,W$5,0))</f>
        <v>0</v>
      </c>
      <c r="X22" s="75">
        <f>IF($B22=0,0,IF(X$3=TotalApuestas!X17,X$5,0))</f>
        <v>0</v>
      </c>
      <c r="Y22" s="75">
        <f>IF($B22=0,0,IF(AND(W$3=TotalApuestas!W17,Resultado!X$3=TotalApuestas!X17),Resultado!Y$5+VLOOKUP(Y$4&amp;"bonus",Aux!$AD$1:$AE$46,2,0),IF(Y$3=TotalApuestas!Y17,Y$5,0)))</f>
        <v>0</v>
      </c>
      <c r="Z22" s="75">
        <f>IF($B22=0,0,IF(Z$3=TotalApuestas!Z17,Z$5,0))</f>
        <v>0</v>
      </c>
      <c r="AA22" s="75">
        <f>IF($B22=0,0,IF(AA$3=TotalApuestas!AA17,AA$5,0))</f>
        <v>0</v>
      </c>
      <c r="AB22" s="75">
        <f>IF($B22=0,0,IF(AND(Z$3=TotalApuestas!Z17,Resultado!AA$3=TotalApuestas!AA17),Resultado!AB$5+VLOOKUP(AB$4&amp;"bonus",Aux!$AD$1:$AE$46,2,0),IF(AB$3=TotalApuestas!AB17,AB$5,0)))</f>
        <v>0</v>
      </c>
      <c r="AC22" s="75">
        <f>IF($B22=0,0,IF(AC$3=TotalApuestas!AC17,AC$5,0))</f>
        <v>0</v>
      </c>
      <c r="AD22" s="75">
        <f>IF($B22=0,0,IF(AD$3=TotalApuestas!AD17,AD$5,0))</f>
        <v>0</v>
      </c>
      <c r="AE22" s="75">
        <f>IF($B22=0,0,IF(AND(AC$3=TotalApuestas!AC17,Resultado!AD$3=TotalApuestas!AD17),Resultado!AE$5+VLOOKUP(AE$4&amp;"bonus",Aux!$AD$1:$AE$46,2,0),IF(AE$3=TotalApuestas!AE17,AE$5,0)))</f>
        <v>0</v>
      </c>
      <c r="AF22" s="75">
        <f>IF($B22=0,0,IF(AF$3=TotalApuestas!AF17,AF$5,0))</f>
        <v>0</v>
      </c>
      <c r="AG22" s="75">
        <f>IF($B22=0,0,IF(AG$3=TotalApuestas!AG17,AG$5,0))</f>
        <v>0</v>
      </c>
      <c r="AH22" s="75">
        <f>IF($B22=0,0,IF(AND(AF$3=TotalApuestas!AF17,Resultado!AG$3=TotalApuestas!AG17),Resultado!AH$5+VLOOKUP(AH$4&amp;"bonus",Aux!$AD$1:$AE$46,2,0),IF(AH$3=TotalApuestas!AH17,AH$5,0)))</f>
        <v>0</v>
      </c>
      <c r="AI22" s="75">
        <f>IF($B22=0,0,IF(AI$3=TotalApuestas!AI17,AI$5,0))</f>
        <v>0</v>
      </c>
      <c r="AJ22" s="75">
        <f>IF($B22=0,0,IF(AJ$3=TotalApuestas!AJ17,AJ$5,0))</f>
        <v>0</v>
      </c>
      <c r="AK22" s="75">
        <f>IF($B22=0,0,IF(AND(AI$3=TotalApuestas!AI17,Resultado!AJ$3=TotalApuestas!AJ17),Resultado!AK$5+VLOOKUP(AK$4&amp;"bonus",Aux!$AD$1:$AE$46,2,0),IF(AK$3=TotalApuestas!AK17,AK$5,0)))</f>
        <v>0</v>
      </c>
      <c r="AL22" s="75">
        <f>IF($B22=0,0,IF(AL$3=TotalApuestas!AL17,AL$5,0))</f>
        <v>0</v>
      </c>
      <c r="AM22" s="75">
        <f>IF($B22=0,0,IF(AM$3=TotalApuestas!AM17,AM$5,0))</f>
        <v>0</v>
      </c>
      <c r="AN22" s="75">
        <f>IF($B22=0,0,IF(AND(AL$3=TotalApuestas!AL17,Resultado!AM$3=TotalApuestas!AM17),Resultado!AN$5+VLOOKUP(AN$4&amp;"bonus",Aux!$AD$1:$AE$46,2,0),IF(AN$3=TotalApuestas!AN17,AN$5,0)))</f>
        <v>0</v>
      </c>
      <c r="AO22" s="75">
        <f>IF($B22=0,0,IF(AO$3=TotalApuestas!AO17,AO$5,0))</f>
        <v>0</v>
      </c>
      <c r="AP22" s="75">
        <f>IF($B22=0,0,IF(AP$3=TotalApuestas!AP17,AP$5,0))</f>
        <v>0</v>
      </c>
      <c r="AQ22" s="75">
        <f>IF($B22=0,0,IF(AND(AO$3=TotalApuestas!AO17,Resultado!AP$3=TotalApuestas!AP17),Resultado!AQ$5+VLOOKUP(AQ$4&amp;"bonus",Aux!$AD$1:$AE$46,2,0),IF(AQ$3=TotalApuestas!AQ17,AQ$5,0)))</f>
        <v>0</v>
      </c>
      <c r="AR22" s="75">
        <f>IF($B22=0,0,IF(AR$3=TotalApuestas!AR17,AR$5,0))</f>
        <v>0</v>
      </c>
      <c r="AS22" s="75">
        <f>IF($B22=0,0,IF(AS$3=TotalApuestas!AS17,AS$5,0))</f>
        <v>0</v>
      </c>
      <c r="AT22" s="75">
        <f>IF($B22=0,0,IF(AND(AR$3=TotalApuestas!AR17,Resultado!AS$3=TotalApuestas!AS17),Resultado!AT$5+VLOOKUP(AT$4&amp;"bonus",Aux!$AD$1:$AE$46,2,0),IF(AT$3=TotalApuestas!AT17,AT$5,0)))</f>
        <v>0</v>
      </c>
      <c r="AU22" s="75">
        <f>IF($B22=0,0,IF(AU$3=TotalApuestas!AU17,AU$5,0))</f>
        <v>0</v>
      </c>
      <c r="AV22" s="75">
        <f>IF($B22=0,0,IF(AV$3=TotalApuestas!AV17,AV$5,0))</f>
        <v>0</v>
      </c>
      <c r="AW22" s="75">
        <f>IF($B22=0,0,IF(AND(AU$3=TotalApuestas!AU17,Resultado!AV$3=TotalApuestas!AV17),Resultado!AW$5+VLOOKUP(AW$4&amp;"bonus",Aux!$AD$1:$AE$46,2,0),IF(AW$3=TotalApuestas!AW17,AW$5,0)))</f>
        <v>0</v>
      </c>
      <c r="AX22" s="75">
        <f>IF($B22=0,0,IF(AX$3=TotalApuestas!AX17,AX$5,0))</f>
        <v>0</v>
      </c>
      <c r="AY22" s="75">
        <f>IF($B22=0,0,IF(AY$3=TotalApuestas!AY17,AY$5,0))</f>
        <v>0</v>
      </c>
      <c r="AZ22" s="75">
        <f>IF($B22=0,0,IF(AND(AX$3=TotalApuestas!AX17,Resultado!AY$3=TotalApuestas!AY17),Resultado!AZ$5+VLOOKUP(AZ$4&amp;"bonus",Aux!$AD$1:$AE$46,2,0),IF(AZ$3=TotalApuestas!AZ17,AZ$5,0)))</f>
        <v>0</v>
      </c>
      <c r="BA22" s="75">
        <f>IF($B22=0,0,IF(BA$3=TotalApuestas!BA17,BA$5,0))</f>
        <v>0</v>
      </c>
      <c r="BB22" s="75">
        <f>IF($B22=0,0,IF(BB$3=TotalApuestas!BB17,BB$5,0))</f>
        <v>0</v>
      </c>
      <c r="BC22" s="75">
        <f>IF($B22=0,0,IF(AND(BA$3=TotalApuestas!BA17,Resultado!BB$3=TotalApuestas!BB17),Resultado!BC$5+VLOOKUP(BC$4&amp;"bonus",Aux!$AD$1:$AE$46,2,0),IF(BC$3=TotalApuestas!BC17,BC$5,0)))</f>
        <v>0</v>
      </c>
      <c r="BD22" s="75">
        <f>IF($B22=0,0,IF(BD$3=TotalApuestas!BD17,BD$5,0))</f>
        <v>0</v>
      </c>
      <c r="BE22" s="75">
        <f>IF($B22=0,0,IF(BE$3=TotalApuestas!BE17,BE$5,0))</f>
        <v>0</v>
      </c>
      <c r="BF22" s="75">
        <f>IF($B22=0,0,IF(AND(BD$3=TotalApuestas!BD17,Resultado!BE$3=TotalApuestas!BE17),Resultado!BF$5+VLOOKUP(BF$4&amp;"bonus",Aux!$AD$1:$AE$46,2,0),IF(BF$3=TotalApuestas!BF17,BF$5,0)))</f>
        <v>0</v>
      </c>
      <c r="BG22" s="75">
        <f>IF($B22=0,0,IF(BG$3=TotalApuestas!BG17,BG$5,0))</f>
        <v>0</v>
      </c>
      <c r="BH22" s="75">
        <f>IF($B22=0,0,IF(BH$3=TotalApuestas!BH17,BH$5,0))</f>
        <v>0</v>
      </c>
      <c r="BI22" s="75">
        <f>IF($B22=0,0,IF(AND(BG$3=TotalApuestas!BG17,Resultado!BH$3=TotalApuestas!BH17),Resultado!BI$5+VLOOKUP(BI$4&amp;"bonus",Aux!$AD$1:$AE$46,2,0),IF(BI$3=TotalApuestas!BI17,BI$5,0)))</f>
        <v>0</v>
      </c>
      <c r="BJ22" s="75">
        <f>IF($B22=0,0,IF(BJ$3=TotalApuestas!BJ17,BJ$5,0))</f>
        <v>0</v>
      </c>
      <c r="BK22" s="75">
        <f>IF($B22=0,0,IF(BK$3=TotalApuestas!BK17,BK$5,0))</f>
        <v>0</v>
      </c>
      <c r="BL22" s="75">
        <f>IF($B22=0,0,IF(AND(BJ$3=TotalApuestas!BJ17,Resultado!BK$3=TotalApuestas!BK17),Resultado!BL$5+VLOOKUP(BL$4&amp;"bonus",Aux!$AD$1:$AE$46,2,0),IF(BL$3=TotalApuestas!BL17,BL$5,0)))</f>
        <v>0</v>
      </c>
      <c r="BM22" s="75">
        <f>IF($B22=0,0,IF(BM$3=TotalApuestas!BM17,BM$5,0))</f>
        <v>0</v>
      </c>
      <c r="BN22" s="75">
        <f>IF($B22=0,0,IF(BN$3=TotalApuestas!BN17,BN$5,0))</f>
        <v>0</v>
      </c>
      <c r="BO22" s="75">
        <f>IF($B22=0,0,IF(AND(BM$3=TotalApuestas!BM17,Resultado!BN$3=TotalApuestas!BN17),Resultado!BO$5+VLOOKUP(BO$4&amp;"bonus",Aux!$AD$1:$AE$46,2,0),IF(BO$3=TotalApuestas!BO17,BO$5,0)))</f>
        <v>0</v>
      </c>
      <c r="BP22" s="75">
        <f>IF($B22=0,0,IF(BP$3=TotalApuestas!BP17,BP$5,0))</f>
        <v>0</v>
      </c>
      <c r="BQ22" s="75">
        <f>IF($B22=0,0,IF(BQ$3=TotalApuestas!BQ17,BQ$5,0))</f>
        <v>0</v>
      </c>
      <c r="BR22" s="75">
        <f>IF($B22=0,0,IF(AND(BP$3=TotalApuestas!BP17,Resultado!BQ$3=TotalApuestas!BQ17),Resultado!BR$5+VLOOKUP(BR$4&amp;"bonus",Aux!$AD$1:$AE$46,2,0),IF(BR$3=TotalApuestas!BR17,BR$5,0)))</f>
        <v>0</v>
      </c>
      <c r="BS22" s="75">
        <f>IF($B22=0,0,IF(BS$3=TotalApuestas!BS17,BS$5,0))</f>
        <v>0</v>
      </c>
      <c r="BT22" s="75">
        <f>IF($B22=0,0,IF(BT$3=TotalApuestas!BT17,BT$5,0))</f>
        <v>0</v>
      </c>
      <c r="BU22" s="75">
        <f>IF($B22=0,0,IF(AND(BS$3=TotalApuestas!BS17,Resultado!BT$3=TotalApuestas!BT17),Resultado!BU$5+VLOOKUP(BU$4&amp;"bonus",Aux!$AD$1:$AE$46,2,0),IF(BU$3=TotalApuestas!BU17,BU$5,0)))</f>
        <v>0</v>
      </c>
      <c r="BV22" s="75">
        <f>IF($B22=0,0,IF(BV$3=TotalApuestas!BV17,BV$5,0))</f>
        <v>0</v>
      </c>
      <c r="BW22" s="75">
        <f>IF($B22=0,0,IF(BW$3=TotalApuestas!BW17,BW$5,0))</f>
        <v>0</v>
      </c>
      <c r="BX22" s="75">
        <f>IF($B22=0,0,IF(AND(BV$3=TotalApuestas!BV17,Resultado!BW$3=TotalApuestas!BW17),Resultado!BX$5+VLOOKUP(BX$4&amp;"bonus",Aux!$AD$1:$AE$46,2,0),IF(BX$3=TotalApuestas!BX17,BX$5,0)))</f>
        <v>0</v>
      </c>
      <c r="BY22" s="75">
        <f>IF($B22=0,0,IF(BY$3=TotalApuestas!BY17,BY$5,0))</f>
        <v>0</v>
      </c>
      <c r="BZ22" s="75">
        <f>IF($B22=0,0,IF(BZ$3=TotalApuestas!BZ17,BZ$5,0))</f>
        <v>0</v>
      </c>
      <c r="CA22" s="75">
        <f>IF($B22=0,0,IF(AND(BY$3=TotalApuestas!BY17,Resultado!BZ$3=TotalApuestas!BZ17),Resultado!CA$5+VLOOKUP(CA$4&amp;"bonus",Aux!$AD$1:$AE$46,2,0),IF(CA$3=TotalApuestas!CA17,CA$5,0)))</f>
        <v>0</v>
      </c>
      <c r="CB22" s="75">
        <f>IF($B22=0,0,IF(CB$3=TotalApuestas!CB17,CB$5,0))</f>
        <v>0</v>
      </c>
      <c r="CC22" s="75">
        <f>IF($B22=0,0,IF(CC$3=TotalApuestas!CC17,CC$5,0))</f>
        <v>0</v>
      </c>
      <c r="CD22" s="75">
        <f>IF($B22=0,0,IF(AND(CB$3=TotalApuestas!CB17,Resultado!CC$3=TotalApuestas!CC17),Resultado!CD$5+VLOOKUP(CD$4&amp;"bonus",Aux!$AD$1:$AE$46,2,0),IF(CD$3=TotalApuestas!CD17,CD$5,0)))</f>
        <v>0</v>
      </c>
      <c r="CE22" s="75">
        <f>IF($B22=0,0,IF(CE$3=TotalApuestas!CE17,CE$5,0))</f>
        <v>0</v>
      </c>
      <c r="CF22" s="75">
        <f>IF($B22=0,0,IF(CF$3=TotalApuestas!CF17,CF$5,0))</f>
        <v>0</v>
      </c>
      <c r="CG22" s="75">
        <f>IF($B22=0,0,IF(AND(CE$3=TotalApuestas!CE17,Resultado!CF$3=TotalApuestas!CF17),Resultado!CG$5+VLOOKUP(CG$4&amp;"bonus",Aux!$AD$1:$AE$46,2,0),IF(CG$3=TotalApuestas!CG17,CG$5,0)))</f>
        <v>0</v>
      </c>
      <c r="CH22" s="75">
        <f>IF($B22=0,0,IF(CH$3=TotalApuestas!CH17,CH$5,0))</f>
        <v>0</v>
      </c>
      <c r="CI22" s="75">
        <f>IF($B22=0,0,IF(CI$3=TotalApuestas!CI17,CI$5,0))</f>
        <v>0</v>
      </c>
      <c r="CJ22" s="75">
        <f>IF($B22=0,0,IF(AND(CH$3=TotalApuestas!CH17,Resultado!CI$3=TotalApuestas!CI17),Resultado!CJ$5+VLOOKUP(CJ$4&amp;"bonus",Aux!$AD$1:$AE$46,2,0),IF(CJ$3=TotalApuestas!CJ17,CJ$5,0)))</f>
        <v>0</v>
      </c>
      <c r="CK22" s="75">
        <f>IF($B22=0,0,IF(CK$3=TotalApuestas!CK17,CK$5,0))</f>
        <v>0</v>
      </c>
      <c r="CL22" s="75">
        <f>IF($B22=0,0,IF(CL$3=TotalApuestas!CL17,CL$5,0))</f>
        <v>0</v>
      </c>
      <c r="CM22" s="75">
        <f>IF($B22=0,0,IF(AND(CK$3=TotalApuestas!CK17,Resultado!CL$3=TotalApuestas!CL17),Resultado!CM$5+VLOOKUP(CM$4&amp;"bonus",Aux!$AD$1:$AE$46,2,0),IF(CM$3=TotalApuestas!CM17,CM$5,0)))</f>
        <v>0</v>
      </c>
      <c r="CN22" s="75">
        <f>IF($B22=0,0,IF(CN$3=TotalApuestas!CN17,CN$5,0))</f>
        <v>0</v>
      </c>
      <c r="CO22" s="75">
        <f>IF($B22=0,0,IF(CO$3=TotalApuestas!CO17,CO$5,0))</f>
        <v>0</v>
      </c>
      <c r="CP22" s="75">
        <f>IF($B22=0,0,IF(AND(CN$3=TotalApuestas!CN17,Resultado!CO$3=TotalApuestas!CO17),Resultado!CP$5+VLOOKUP(CP$4&amp;"bonus",Aux!$AD$1:$AE$46,2,0),IF(CP$3=TotalApuestas!CP17,CP$5,0)))</f>
        <v>0</v>
      </c>
      <c r="CQ22" s="75">
        <f>IF($B22=0,0,IF(CQ$3=TotalApuestas!CQ17,CQ$5,0))</f>
        <v>0</v>
      </c>
      <c r="CR22" s="75">
        <f>IF($B22=0,0,IF(CR$3=TotalApuestas!CR17,CR$5,0))</f>
        <v>0</v>
      </c>
      <c r="CS22" s="75">
        <f>IF($B22=0,0,IF(AND(CQ$3=TotalApuestas!CQ17,Resultado!CR$3=TotalApuestas!CR17),Resultado!CS$5+VLOOKUP(CS$4&amp;"bonus",Aux!$AD$1:$AE$46,2,0),IF(CS$3=TotalApuestas!CS17,CS$5,0)))</f>
        <v>0</v>
      </c>
      <c r="CT22" s="75">
        <f>IF($B22=0,0,IF(CT$3=TotalApuestas!CT17,CT$5,0))</f>
        <v>0</v>
      </c>
      <c r="CU22" s="75">
        <f>IF($B22=0,0,IF(CU$3=TotalApuestas!CU17,CU$5,0))</f>
        <v>0</v>
      </c>
      <c r="CV22" s="75">
        <f>IF($B22=0,0,IF(AND(CT$3=TotalApuestas!CT17,Resultado!CU$3=TotalApuestas!CU17),Resultado!CV$5+VLOOKUP(CV$4&amp;"bonus",Aux!$AD$1:$AE$46,2,0),IF(CV$3=TotalApuestas!CV17,CV$5,0)))</f>
        <v>0</v>
      </c>
      <c r="CW22" s="75">
        <f>IF($B22=0,0,IF(CW$3=TotalApuestas!CW17,CW$5,0))</f>
        <v>0</v>
      </c>
      <c r="CX22" s="75">
        <f>IF($B22=0,0,IF(CX$3=TotalApuestas!CX17,CX$5,0))</f>
        <v>0</v>
      </c>
      <c r="CY22" s="75">
        <f>IF($B22=0,0,IF(AND(CW$3=TotalApuestas!CW17,Resultado!CX$3=TotalApuestas!CX17),Resultado!CY$5+VLOOKUP(CY$4&amp;"bonus",Aux!$AD$1:$AE$46,2,0),IF(CY$3=TotalApuestas!CY17,CY$5,0)))</f>
        <v>0</v>
      </c>
      <c r="CZ22" s="75">
        <f>IF($B22=0,0,IF(CZ$3=TotalApuestas!CZ17,CZ$5,0))</f>
        <v>0</v>
      </c>
      <c r="DA22" s="75">
        <f>IF($B22=0,0,IF(DA$3=TotalApuestas!DA17,DA$5,0))</f>
        <v>0</v>
      </c>
      <c r="DB22" s="75">
        <f>IF($B22=0,0,IF(AND(CZ$3=TotalApuestas!CZ17,Resultado!DA$3=TotalApuestas!DA17),Resultado!DB$5+VLOOKUP(DB$4&amp;"bonus",Aux!$AD$1:$AE$46,2,0),IF(DB$3=TotalApuestas!DB17,DB$5,0)))</f>
        <v>0</v>
      </c>
      <c r="DC22" s="75">
        <f>IF($B22=0,0,IF(DC$3=TotalApuestas!DC17,DC$5,0))</f>
        <v>0</v>
      </c>
      <c r="DD22" s="75">
        <f>IF($B22=0,0,IF(DD$3=TotalApuestas!DD17,DD$5,0))</f>
        <v>0</v>
      </c>
      <c r="DE22" s="75">
        <f>IF($B22=0,0,IF(AND(DC$3=TotalApuestas!DC17,Resultado!DD$3=TotalApuestas!DD17),Resultado!DE$5+VLOOKUP(DE$4&amp;"bonus",Aux!$AD$1:$AE$46,2,0),IF(DE$3=TotalApuestas!DE17,DE$5,0)))</f>
        <v>0</v>
      </c>
      <c r="DF22" s="75">
        <f>IF($B22=0,0,IF(DF$3=TotalApuestas!DF17,DF$5,0))</f>
        <v>0</v>
      </c>
      <c r="DG22" s="75">
        <f>IF($B22=0,0,IF(DG$3=TotalApuestas!DG17,DG$5,0))</f>
        <v>0</v>
      </c>
      <c r="DH22" s="75">
        <f>IF($B22=0,0,IF(AND(DF$3=TotalApuestas!DF17,Resultado!DG$3=TotalApuestas!DG17),Resultado!DH$5+VLOOKUP(DH$4&amp;"bonus",Aux!$AD$1:$AE$46,2,0),IF(DH$3=TotalApuestas!DH17,DH$5,0)))</f>
        <v>0</v>
      </c>
      <c r="DI22" s="75">
        <f>IF($B22=0,0,IF(DI$3=TotalApuestas!DI17,DI$5,0))</f>
        <v>0</v>
      </c>
      <c r="DJ22" s="75">
        <f>IF($B22=0,0,IF(DJ$3=TotalApuestas!DJ17,DJ$5,0))</f>
        <v>0</v>
      </c>
      <c r="DK22" s="75">
        <f>IF($B22=0,0,IF(AND(DI$3=TotalApuestas!DI17,Resultado!DJ$3=TotalApuestas!DJ17),Resultado!DK$5+VLOOKUP(DK$4&amp;"bonus",Aux!$AD$1:$AE$46,2,0),IF(DK$3=TotalApuestas!DK17,DK$5,0)))</f>
        <v>0</v>
      </c>
      <c r="DL22" s="75">
        <f>IF($B22=0,0,IF(DL$3=TotalApuestas!DL17,DL$5,0))</f>
        <v>0</v>
      </c>
      <c r="DM22" s="75">
        <f>IF($B22=0,0,IF(DM$3=TotalApuestas!DM17,DM$5,0))</f>
        <v>0</v>
      </c>
      <c r="DN22" s="75">
        <f>IF($B22=0,0,IF(AND(DL$3=TotalApuestas!DL17,Resultado!DM$3=TotalApuestas!DM17),Resultado!DN$5+VLOOKUP(DN$4&amp;"bonus",Aux!$AD$1:$AE$46,2,0),IF(DN$3=TotalApuestas!DN17,DN$5,0)))</f>
        <v>0</v>
      </c>
      <c r="DO22" s="75">
        <f>IF($B22=0,0,IF(DO$3=TotalApuestas!DO17,DO$5,0))</f>
        <v>0</v>
      </c>
      <c r="DP22" s="75">
        <f>IF($B22=0,0,IF(DP$3=TotalApuestas!DP17,DP$5,0))</f>
        <v>0</v>
      </c>
      <c r="DQ22" s="75">
        <f>IF($B22=0,0,IF(AND(DO$3=TotalApuestas!DO17,Resultado!DP$3=TotalApuestas!DP17),Resultado!DQ$5+VLOOKUP(DQ$4&amp;"bonus",Aux!$AD$1:$AE$46,2,0),IF(DQ$3=TotalApuestas!DQ17,DQ$5,0)))</f>
        <v>0</v>
      </c>
      <c r="DR22" s="75">
        <f>IF($B22=0,0,IF(DR$3=TotalApuestas!DR17,DR$5,0))</f>
        <v>0</v>
      </c>
      <c r="DS22" s="75">
        <f>IF($B22=0,0,IF(DS$3=TotalApuestas!DS17,DS$5,0))</f>
        <v>0</v>
      </c>
      <c r="DT22" s="75">
        <f>IF($B22=0,0,IF(AND(DR$3=TotalApuestas!DR17,Resultado!DS$3=TotalApuestas!DS17),Resultado!DT$5+VLOOKUP(DT$4&amp;"bonus",Aux!$AD$1:$AE$46,2,0),IF(DT$3=TotalApuestas!DT17,DT$5,0)))</f>
        <v>0</v>
      </c>
      <c r="DU22" s="75">
        <f>IF($B22=0,0,IF(DU$3=TotalApuestas!DU17,DU$5,0))</f>
        <v>0</v>
      </c>
      <c r="DV22" s="75">
        <f>IF($B22=0,0,IF(DV$3=TotalApuestas!DV17,DV$5,0))</f>
        <v>0</v>
      </c>
      <c r="DW22" s="75">
        <f>IF($B22=0,0,IF(AND(DU$3=TotalApuestas!DU17,Resultado!DV$3=TotalApuestas!DV17),Resultado!DW$5+VLOOKUP(DW$4&amp;"bonus",Aux!$AD$1:$AE$46,2,0),IF(DW$3=TotalApuestas!DW17,DW$5,0)))</f>
        <v>0</v>
      </c>
      <c r="DX22" s="75">
        <f>IF($B22=0,0,IF(DX$3=TotalApuestas!DX17,DX$5,0))</f>
        <v>0</v>
      </c>
      <c r="DY22" s="75">
        <f>IF($B22=0,0,IF(DY$3=TotalApuestas!DY17,DY$5,0))</f>
        <v>0</v>
      </c>
      <c r="DZ22" s="75">
        <f>IF($B22=0,0,IF(AND(DX$3=TotalApuestas!DX17,Resultado!DY$3=TotalApuestas!DY17),Resultado!DZ$5+VLOOKUP(DZ$4&amp;"bonus",Aux!$AD$1:$AE$46,2,0),IF(DZ$3=TotalApuestas!DZ17,DZ$5,0)))</f>
        <v>0</v>
      </c>
      <c r="EA22" s="75">
        <f>IF($B22=0,0,IF(EA$3=TotalApuestas!EA17,EA$5,0))</f>
        <v>0</v>
      </c>
      <c r="EB22" s="75">
        <f>IF($B22=0,0,IF(EB$3=TotalApuestas!EB17,EB$5,0))</f>
        <v>0</v>
      </c>
      <c r="EC22" s="75">
        <f>IF($B22=0,0,IF(AND(EA$3=TotalApuestas!EA17,Resultado!EB$3=TotalApuestas!EB17),Resultado!EC$5+VLOOKUP(EC$4&amp;"bonus",Aux!$AD$1:$AE$46,2,0),IF(EC$3=TotalApuestas!EC17,EC$5,0)))</f>
        <v>0</v>
      </c>
      <c r="ED22" s="75">
        <f>IF($B22=0,0,IF(ED$3=TotalApuestas!ED17,ED$5,0))</f>
        <v>0</v>
      </c>
      <c r="EE22" s="75">
        <f>IF($B22=0,0,IF(EE$3=TotalApuestas!EE17,EE$5,0))</f>
        <v>0</v>
      </c>
      <c r="EF22" s="75">
        <f>IF($B22=0,0,IF(AND(ED$3=TotalApuestas!ED17,Resultado!EE$3=TotalApuestas!EE17),Resultado!EF$5+VLOOKUP(EF$4&amp;"bonus",Aux!$AD$1:$AE$46,2,0),IF(EF$3=TotalApuestas!EF17,EF$5,0)))</f>
        <v>0</v>
      </c>
      <c r="EG22" s="75">
        <f>IF($B22=0,0,IF(EG$3=TotalApuestas!EG17,EG$5,0))</f>
        <v>0</v>
      </c>
      <c r="EH22" s="75">
        <f>IF($B22=0,0,IF(EH$3=TotalApuestas!EH17,EH$5,0))</f>
        <v>0</v>
      </c>
      <c r="EI22" s="75">
        <f>IF($B22=0,0,IF(AND(EG$3=TotalApuestas!EG17,Resultado!EH$3=TotalApuestas!EH17),Resultado!EI$5+VLOOKUP(EI$4&amp;"bonus",Aux!$AD$1:$AE$46,2,0),IF(EI$3=TotalApuestas!EI17,EI$5,0)))</f>
        <v>0</v>
      </c>
      <c r="EJ22" s="75">
        <f>IF($B22=0,0,IF(EJ$3=TotalApuestas!EJ17,EJ$5,0))</f>
        <v>0</v>
      </c>
      <c r="EK22" s="75">
        <f>IF($B22=0,0,IF(EK$3=TotalApuestas!EK17,EK$5,0))</f>
        <v>0</v>
      </c>
      <c r="EL22" s="75">
        <f>IF($B22=0,0,IF(AND(EJ$3=TotalApuestas!EJ17,Resultado!EK$3=TotalApuestas!EK17),Resultado!EL$5+VLOOKUP(EL$4&amp;"bonus",Aux!$AD$1:$AE$46,2,0),IF(EL$3=TotalApuestas!EL17,EL$5,0)))</f>
        <v>0</v>
      </c>
      <c r="EM22" s="75">
        <f>IF($B22=0,0,IF(EM$3=TotalApuestas!EM17,EM$5,0))</f>
        <v>0</v>
      </c>
      <c r="EN22" s="75">
        <f>IF($B22=0,0,IF(EN$3=TotalApuestas!EN17,EN$5,0))</f>
        <v>0</v>
      </c>
      <c r="EO22" s="75">
        <f>IF($B22=0,0,IF(AND(EM$3=TotalApuestas!EM17,Resultado!EN$3=TotalApuestas!EN17),Resultado!EO$5+VLOOKUP(EO$4&amp;"bonus",Aux!$AD$1:$AE$46,2,0),IF(EO$3=TotalApuestas!EO17,EO$5,0)))</f>
        <v>0</v>
      </c>
      <c r="EP22" s="75">
        <f>IF($B22=0,0,IF(EP$3=TotalApuestas!EP17,EP$5,0))</f>
        <v>0</v>
      </c>
      <c r="EQ22" s="75">
        <f>IF($B22=0,0,IF(EQ$3=TotalApuestas!EQ17,EQ$5,0))</f>
        <v>0</v>
      </c>
      <c r="ER22" s="75">
        <f>IF($B22=0,0,IF(AND(EP$3=TotalApuestas!EP17,Resultado!EQ$3=TotalApuestas!EQ17),Resultado!ER$5+VLOOKUP(ER$4&amp;"bonus",Aux!$AD$1:$AE$46,2,0),IF(ER$3=TotalApuestas!ER17,ER$5,0)))</f>
        <v>0</v>
      </c>
      <c r="ES22" s="75">
        <f>IF($B22=0,0,IF(ES$3=TotalApuestas!ES17,ES$5,0))</f>
        <v>0</v>
      </c>
      <c r="ET22" s="75">
        <f>IF($B22=0,0,IF(ET$3=TotalApuestas!ET17,ET$5,0))</f>
        <v>0</v>
      </c>
      <c r="EU22" s="75">
        <f>IF($B22=0,0,IF(EU$3=TotalApuestas!EU17,EU$5,0))</f>
        <v>0</v>
      </c>
      <c r="EV22" s="75">
        <f>IF($B22=0,0,IF(EV$3=TotalApuestas!EV17,EV$5,0))</f>
        <v>0</v>
      </c>
      <c r="EW22" s="75">
        <f>IF($B22=0,0,IF(EW$3=TotalApuestas!EW17,EW$5,0))</f>
        <v>0</v>
      </c>
      <c r="EX22" s="75">
        <f>IF($B22=0,0,IF(EX$3=TotalApuestas!EX17,EX$5,0))</f>
        <v>0</v>
      </c>
      <c r="EY22" s="75">
        <f>IF($B22=0,0,IF(EY$3=TotalApuestas!EY17,EY$5,0))</f>
        <v>0</v>
      </c>
      <c r="EZ22" s="75">
        <f>IF($B22=0,0,IF(EZ$3=TotalApuestas!EZ17,EZ$5,0))</f>
        <v>0</v>
      </c>
      <c r="FA22" s="75">
        <f>IF($B22=0,0,IF(FA$3=TotalApuestas!FA17,FA$5,0))</f>
        <v>0</v>
      </c>
      <c r="FB22" s="75">
        <f>IF($B22=0,0,IF(FB$3=TotalApuestas!FB17,FB$5,0))</f>
        <v>0</v>
      </c>
      <c r="FC22" s="75">
        <f>IF($B22=0,0,IF(FC$3=TotalApuestas!FC17,FC$5,0))</f>
        <v>0</v>
      </c>
      <c r="FD22" s="75">
        <f>IF($B22=0,0,IF(FD$3=TotalApuestas!FD17,FD$5,0))</f>
        <v>0</v>
      </c>
      <c r="FE22" s="75">
        <f>IF($B22=0,0,IF(FE$3=TotalApuestas!FE17,FE$5,0))</f>
        <v>0</v>
      </c>
      <c r="FF22" s="75">
        <f>IF($B22=0,0,IF(FF$3=TotalApuestas!FF17,FF$5,0))</f>
        <v>0</v>
      </c>
      <c r="FG22" s="75">
        <f>IF($B22=0,0,IF(FG$3=TotalApuestas!FG17,FG$5,0))</f>
        <v>0</v>
      </c>
      <c r="FH22" s="75">
        <f>IF($B22=0,0,IF(FH$3=TotalApuestas!FH17,FH$5,0))</f>
        <v>0</v>
      </c>
      <c r="FI22" s="75">
        <f>IF($B22=0,0,IF(FI$3=TotalApuestas!FI17,FI$5,0))</f>
        <v>0</v>
      </c>
      <c r="FJ22" s="75">
        <f>IF($B22=0,0,IF(FJ$3=TotalApuestas!FJ17,FJ$5,0))</f>
        <v>0</v>
      </c>
      <c r="FK22" s="75">
        <f>IF($B22=0,0,IF(FK$3=TotalApuestas!FK17,FK$5,0))</f>
        <v>0</v>
      </c>
      <c r="FL22" s="75">
        <f>IF($B22=0,0,IF(FL$3=TotalApuestas!FL17,FL$5,0))</f>
        <v>0</v>
      </c>
      <c r="FM22" s="75">
        <f>IF($B22=0,0,IF(FM$3=TotalApuestas!FM17,FM$5,0))</f>
        <v>0</v>
      </c>
      <c r="FN22" s="75">
        <f>IF($B22=0,0,IF(FN$3=TotalApuestas!FN17,FN$5,0))</f>
        <v>0</v>
      </c>
      <c r="FO22" s="75">
        <f>IF($B22=0,0,IF(FO$3=TotalApuestas!FO17,FO$5,0))</f>
        <v>0</v>
      </c>
      <c r="FP22" s="75">
        <f>IF($B22=0,0,IF(FP$3=TotalApuestas!FP17,FP$5,0))</f>
        <v>0</v>
      </c>
      <c r="FQ22" s="75">
        <f>IF($B22=0,0,IF(FQ$3=TotalApuestas!FQ17,FQ$5,0))</f>
        <v>0</v>
      </c>
      <c r="FR22" s="75">
        <f>IF($B22=0,0,IF(FR$3=TotalApuestas!FR17,FR$5,0))</f>
        <v>0</v>
      </c>
      <c r="FS22" s="75">
        <f>IF($B22=0,0,IF(FS$3=TotalApuestas!FS17,FS$5,0))</f>
        <v>0</v>
      </c>
      <c r="FT22" s="75">
        <f>IF($B22=0,0,IF(FT$3=TotalApuestas!FT17,FT$5,0))</f>
        <v>0</v>
      </c>
      <c r="FU22" s="75">
        <f>IF($B22=0,0,IF(FU$3=TotalApuestas!FU17,FU$5,0))</f>
        <v>0</v>
      </c>
      <c r="FV22" s="75">
        <f>IF($B22=0,0,IF(FV$3=TotalApuestas!FV17,FV$5,0))</f>
        <v>0</v>
      </c>
      <c r="FW22" s="75">
        <f>IF($B22=0,0,IF(FW$3=TotalApuestas!FW17,FW$5,0))</f>
        <v>0</v>
      </c>
      <c r="FX22" s="75">
        <f>IF($B22=0,0,IF(FX$3=TotalApuestas!FX17,FX$5,0))</f>
        <v>0</v>
      </c>
      <c r="FY22" s="75">
        <f>IF($B22=0,0,IF(FY$3=TotalApuestas!FY17,FY$5,0))</f>
        <v>0</v>
      </c>
      <c r="FZ22" s="75">
        <f>IF($B22=0,0,IF(AND(FX$3=TotalApuestas!FX17,Resultado!FY$3=TotalApuestas!FY17),Resultado!FZ$5+VLOOKUP(FZ$4&amp;"bonus",Aux!$AD$1:$AE$46,2,0),IF(FZ$3=TotalApuestas!FZ17,FZ$5,0)))</f>
        <v>0</v>
      </c>
      <c r="GA22" s="75">
        <f>IF($B22=0,0,IF(GA$3=TotalApuestas!GA17,GA$5,0))</f>
        <v>0</v>
      </c>
      <c r="GB22" s="75">
        <f>IF($B22=0,0,IF(GB$3=TotalApuestas!GB17,GB$5,0))</f>
        <v>0</v>
      </c>
      <c r="GC22" s="75">
        <f>IF($B22=0,0,IF(AND(GA$3=TotalApuestas!GA17,Resultado!GB$3=TotalApuestas!GB17),Resultado!GC$5+VLOOKUP(GC$4&amp;"bonus",Aux!$AD$1:$AE$46,2,0),IF(GC$3=TotalApuestas!GC17,GC$5,0)))</f>
        <v>0</v>
      </c>
      <c r="GD22" s="75">
        <f>IF($B22=0,0,IF(GD$3=TotalApuestas!GD17,GD$5,0))</f>
        <v>0</v>
      </c>
      <c r="GE22" s="75">
        <f>IF($B22=0,0,IF(GE$3=TotalApuestas!GE17,GE$5,0))</f>
        <v>0</v>
      </c>
      <c r="GF22" s="75">
        <f>IF($B22=0,0,IF(AND(GD$3=TotalApuestas!GD17,Resultado!GE$3=TotalApuestas!GE17),Resultado!GF$5+VLOOKUP(GF$4&amp;"bonus",Aux!$AD$1:$AE$46,2,0),IF(GF$3=TotalApuestas!GF17,GF$5,0)))</f>
        <v>0</v>
      </c>
      <c r="GG22" s="75">
        <f>IF($B22=0,0,IF(GG$3=TotalApuestas!GG17,GG$5,0))</f>
        <v>0</v>
      </c>
      <c r="GH22" s="75">
        <f>IF($B22=0,0,IF(GH$3=TotalApuestas!GH17,GH$5,0))</f>
        <v>0</v>
      </c>
      <c r="GI22" s="75">
        <f>IF($B22=0,0,IF(AND(GG$3=TotalApuestas!GG17,Resultado!GH$3=TotalApuestas!GH17),Resultado!GI$5+VLOOKUP(GI$4&amp;"bonus",Aux!$AD$1:$AE$46,2,0),IF(GI$3=TotalApuestas!GI17,GI$5,0)))</f>
        <v>0</v>
      </c>
      <c r="GJ22" s="75">
        <f>IF($B22=0,0,IF(GJ$3=TotalApuestas!GJ17,GJ$5,0))</f>
        <v>0</v>
      </c>
      <c r="GK22" s="75">
        <f>IF($B22=0,0,IF(GK$3=TotalApuestas!GK17,GK$5,0))</f>
        <v>0</v>
      </c>
      <c r="GL22" s="75">
        <f>IF($B22=0,0,IF(AND(GJ$3=TotalApuestas!GJ17,Resultado!GK$3=TotalApuestas!GK17),Resultado!GL$5+VLOOKUP(GL$4&amp;"bonus",Aux!$AD$1:$AE$46,2,0),IF(GL$3=TotalApuestas!GL17,GL$5,0)))</f>
        <v>0</v>
      </c>
      <c r="GM22" s="75">
        <f>IF($B22=0,0,IF(GM$3=TotalApuestas!GM17,GM$5,0))</f>
        <v>0</v>
      </c>
      <c r="GN22" s="75">
        <f>IF($B22=0,0,IF(GN$3=TotalApuestas!GN17,GN$5,0))</f>
        <v>0</v>
      </c>
      <c r="GO22" s="75">
        <f>IF($B22=0,0,IF(AND(GM$3=TotalApuestas!GM17,Resultado!GN$3=TotalApuestas!GN17),Resultado!GO$5+VLOOKUP(GO$4&amp;"bonus",Aux!$AD$1:$AE$46,2,0),IF(GO$3=TotalApuestas!GO17,GO$5,0)))</f>
        <v>0</v>
      </c>
      <c r="GP22" s="75">
        <f>IF($B22=0,0,IF(GP$3=TotalApuestas!GP17,GP$5,0))</f>
        <v>0</v>
      </c>
      <c r="GQ22" s="75">
        <f>IF($B22=0,0,IF(GQ$3=TotalApuestas!GQ17,GQ$5,0))</f>
        <v>0</v>
      </c>
      <c r="GR22" s="75">
        <f>IF($B22=0,0,IF(AND(GP$3=TotalApuestas!GP17,Resultado!GQ$3=TotalApuestas!GQ17),Resultado!GR$5+VLOOKUP(GR$4&amp;"bonus",Aux!$AD$1:$AE$46,2,0),IF(GR$3=TotalApuestas!GR17,GR$5,0)))</f>
        <v>0</v>
      </c>
      <c r="GS22" s="75">
        <f>IF($B22=0,0,IF(GS$3=TotalApuestas!GS17,GS$5,0))</f>
        <v>0</v>
      </c>
      <c r="GT22" s="75">
        <f>IF($B22=0,0,IF(GT$3=TotalApuestas!GT17,GT$5,0))</f>
        <v>0</v>
      </c>
      <c r="GU22" s="75">
        <f>IF($B22=0,0,IF(AND(GS$3=TotalApuestas!GS17,Resultado!GT$3=TotalApuestas!GT17),Resultado!GU$5+VLOOKUP(GU$4&amp;"bonus",Aux!$AD$1:$AE$46,2,0),IF(GU$3=TotalApuestas!GU17,GU$5,0)))</f>
        <v>0</v>
      </c>
      <c r="GV22" s="75">
        <f>IF($B22=0,0,IF(GV$3=TotalApuestas!GV17,GV$5,0))</f>
        <v>0</v>
      </c>
      <c r="GW22" s="75">
        <f>IF($B22=0,0,IF(GW$3=TotalApuestas!GW17,GW$5,0))</f>
        <v>0</v>
      </c>
      <c r="GX22" s="75">
        <f>IF($B22=0,0,IF(AND(GV$3=TotalApuestas!GV17,Resultado!GW$3=TotalApuestas!GW17),Resultado!GX$5+VLOOKUP(GX$4&amp;"bonus",Aux!$AD$1:$AE$46,2,0),IF(GX$3=TotalApuestas!GX17,GX$5,0)))</f>
        <v>0</v>
      </c>
      <c r="GY22" s="75">
        <f>IF($B22=0,0,IF(GY$3=TotalApuestas!GY17,GY$5,0))</f>
        <v>0</v>
      </c>
      <c r="GZ22" s="75">
        <f>IF($B22=0,0,IF(GZ$3=TotalApuestas!GZ17,GZ$5,0))</f>
        <v>0</v>
      </c>
      <c r="HA22" s="75">
        <f>IF($B22=0,0,IF(AND(GY$3=TotalApuestas!GY17,Resultado!GZ$3=TotalApuestas!GZ17),Resultado!HA$5+VLOOKUP(HA$4&amp;"bonus",Aux!$AD$1:$AE$46,2,0),IF(HA$3=TotalApuestas!HA17,HA$5,0)))</f>
        <v>0</v>
      </c>
      <c r="HB22" s="75">
        <f>IF($B22=0,0,IF(HB$3=TotalApuestas!HB17,HB$5,0))</f>
        <v>0</v>
      </c>
      <c r="HC22" s="75">
        <f>IF($B22=0,0,IF(HC$3=TotalApuestas!HC17,HC$5,0))</f>
        <v>0</v>
      </c>
      <c r="HD22" s="75">
        <f>IF($B22=0,0,IF(AND(HB$3=TotalApuestas!HB17,Resultado!HC$3=TotalApuestas!HC17),Resultado!HD$5+VLOOKUP(HD$4&amp;"bonus",Aux!$AD$1:$AE$46,2,0),IF(HD$3=TotalApuestas!HD17,HD$5,0)))</f>
        <v>0</v>
      </c>
      <c r="HE22" s="75">
        <f>IF($B22=0,0,IF(HE$3=TotalApuestas!HE17,HE$5,0))</f>
        <v>0</v>
      </c>
      <c r="HF22" s="75">
        <f>IF($B22=0,0,IF(HF$3=TotalApuestas!HF17,HF$5,0))</f>
        <v>0</v>
      </c>
      <c r="HG22" s="75">
        <f>IF($B22=0,0,IF(AND(HE$3=TotalApuestas!HE17,Resultado!HF$3=TotalApuestas!HF17),Resultado!HG$5+VLOOKUP(HG$4&amp;"bonus",Aux!$AD$1:$AE$46,2,0),IF(HG$3=TotalApuestas!HG17,HG$5,0)))</f>
        <v>0</v>
      </c>
      <c r="HH22" s="75">
        <f>IF($B22=0,0,IF(HH$3=TotalApuestas!HH17,HH$5,0))</f>
        <v>0</v>
      </c>
      <c r="HI22" s="75">
        <f>IF($B22=0,0,IF(HI$3=TotalApuestas!HI17,HI$5,0))</f>
        <v>0</v>
      </c>
      <c r="HJ22" s="75">
        <f>IF($B22=0,0,IF(AND(HH$3=TotalApuestas!HH17,Resultado!HI$3=TotalApuestas!HI17),Resultado!HJ$5+VLOOKUP(HJ$4&amp;"bonus",Aux!$AD$1:$AE$46,2,0),IF(HJ$3=TotalApuestas!HJ17,HJ$5,0)))</f>
        <v>0</v>
      </c>
      <c r="HK22" s="75">
        <f>IF($B22=0,0,IF(HK$3=TotalApuestas!HK17,HK$5,0))</f>
        <v>0</v>
      </c>
      <c r="HL22" s="75">
        <f>IF($B22=0,0,IF(HL$3=TotalApuestas!HL17,HL$5,0))</f>
        <v>0</v>
      </c>
      <c r="HM22" s="75">
        <f>IF($B22=0,0,IF(AND(HK$3=TotalApuestas!HK17,Resultado!HL$3=TotalApuestas!HL17),Resultado!HM$5+VLOOKUP(HM$4&amp;"bonus",Aux!$AD$1:$AE$46,2,0),IF(HM$3=TotalApuestas!HM17,HM$5,0)))</f>
        <v>0</v>
      </c>
      <c r="HN22" s="75">
        <f>IF($B22=0,0,IF(HN$3=TotalApuestas!HN17,HN$5,0))</f>
        <v>0</v>
      </c>
      <c r="HO22" s="75">
        <f>IF($B22=0,0,IF(HO$3=TotalApuestas!HO17,HO$5,0))</f>
        <v>0</v>
      </c>
      <c r="HP22" s="75">
        <f>IF($B22=0,0,IF(AND(HN$3=TotalApuestas!HN17,Resultado!HO$3=TotalApuestas!HO17),Resultado!HP$5+VLOOKUP(HP$4&amp;"bonus",Aux!$AD$1:$AE$46,2,0),IF(HP$3=TotalApuestas!HP17,HP$5,0)))</f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670C1-68C9-456C-9725-C7436B3B20C1}">
  <dimension ref="A1:AW32"/>
  <sheetViews>
    <sheetView showGridLines="0" showZeros="0" zoomScaleNormal="100" workbookViewId="0">
      <selection activeCell="V27" sqref="V27:V32"/>
    </sheetView>
  </sheetViews>
  <sheetFormatPr baseColWidth="10" defaultColWidth="11.42578125" defaultRowHeight="15" x14ac:dyDescent="0.25"/>
  <cols>
    <col min="1" max="1" width="4.5703125" customWidth="1"/>
    <col min="2" max="2" width="1.85546875" customWidth="1"/>
    <col min="3" max="3" width="5" customWidth="1"/>
    <col min="4" max="4" width="15.5703125" customWidth="1"/>
    <col min="5" max="19" width="8.85546875" customWidth="1"/>
    <col min="20" max="20" width="1.85546875" customWidth="1"/>
    <col min="21" max="21" width="11.42578125" style="48"/>
    <col min="22" max="22" width="11.42578125" style="76"/>
    <col min="23" max="23" width="12.5703125" style="77" customWidth="1"/>
    <col min="24" max="32" width="8" style="77" customWidth="1"/>
    <col min="33" max="35" width="11.42578125" style="78"/>
    <col min="36" max="36" width="11.42578125" style="79"/>
    <col min="37" max="37" width="11.42578125" style="79" customWidth="1"/>
    <col min="38" max="41" width="11.42578125" style="78"/>
  </cols>
  <sheetData>
    <row r="1" spans="1:49" s="153" customFormat="1" ht="27.75" customHeight="1" x14ac:dyDescent="0.25">
      <c r="A1" s="317" t="s">
        <v>314</v>
      </c>
      <c r="B1" s="317"/>
      <c r="C1" s="317"/>
      <c r="D1" s="317"/>
      <c r="E1" s="317"/>
      <c r="F1" s="317"/>
      <c r="G1" s="317"/>
      <c r="H1" s="317"/>
      <c r="I1" s="317"/>
      <c r="J1" s="317"/>
      <c r="K1" s="317"/>
      <c r="L1" s="317"/>
      <c r="M1" s="317"/>
      <c r="N1" s="317"/>
      <c r="O1" s="317"/>
      <c r="P1" s="317"/>
      <c r="Q1" s="317"/>
      <c r="R1" s="317"/>
      <c r="S1" s="317"/>
      <c r="T1" s="317"/>
      <c r="U1" s="211"/>
      <c r="V1" s="211"/>
      <c r="W1" s="211"/>
      <c r="X1" s="211"/>
      <c r="Y1" s="211"/>
      <c r="Z1" s="211"/>
      <c r="AA1" s="211"/>
      <c r="AB1" s="211"/>
      <c r="AC1" s="211"/>
      <c r="AD1" s="211"/>
      <c r="AE1" s="211"/>
      <c r="AF1" s="211"/>
      <c r="AG1" s="211"/>
      <c r="AH1" s="211"/>
      <c r="AI1" s="211"/>
      <c r="AJ1" s="211"/>
      <c r="AK1" s="211"/>
      <c r="AL1" s="211"/>
      <c r="AM1" s="211"/>
      <c r="AN1" s="211"/>
      <c r="AO1" s="211"/>
      <c r="AP1" s="211"/>
      <c r="AQ1" s="211"/>
      <c r="AR1" s="211"/>
      <c r="AS1" s="211"/>
      <c r="AT1" s="211"/>
      <c r="AU1" s="211"/>
      <c r="AV1" s="211"/>
      <c r="AW1" s="211"/>
    </row>
    <row r="2" spans="1:49" ht="15.75" thickBot="1" x14ac:dyDescent="0.3"/>
    <row r="3" spans="1:49" ht="38.85" customHeight="1" x14ac:dyDescent="0.25">
      <c r="C3" s="221"/>
      <c r="D3" s="222"/>
      <c r="E3" s="316" t="s">
        <v>317</v>
      </c>
      <c r="F3" s="316"/>
      <c r="G3" s="316"/>
      <c r="H3" s="316"/>
      <c r="I3" s="316"/>
      <c r="J3" s="316"/>
      <c r="K3" s="316"/>
      <c r="L3" s="316"/>
      <c r="M3" s="316"/>
      <c r="N3" s="316"/>
      <c r="O3" s="316"/>
      <c r="P3" s="316"/>
      <c r="Q3" s="222"/>
      <c r="R3" s="222"/>
      <c r="S3" s="228"/>
      <c r="V3" s="266"/>
      <c r="W3" s="267"/>
      <c r="X3" s="268"/>
      <c r="Y3" s="268"/>
      <c r="Z3" s="268"/>
      <c r="AA3" s="268"/>
      <c r="AB3" s="268"/>
      <c r="AC3" s="268"/>
      <c r="AD3" s="268"/>
      <c r="AE3" s="268"/>
      <c r="AF3" s="268"/>
      <c r="AG3" s="269"/>
      <c r="AH3" s="269"/>
      <c r="AI3" s="269"/>
      <c r="AJ3" s="270"/>
      <c r="AK3" s="270"/>
      <c r="AL3" s="269"/>
    </row>
    <row r="4" spans="1:49" ht="27.4" customHeight="1" thickBot="1" x14ac:dyDescent="0.3">
      <c r="C4" s="223"/>
      <c r="D4" s="153"/>
      <c r="E4" s="229" t="s">
        <v>12</v>
      </c>
      <c r="F4" s="229" t="s">
        <v>11</v>
      </c>
      <c r="G4" s="229" t="s">
        <v>14</v>
      </c>
      <c r="H4" s="229" t="s">
        <v>16</v>
      </c>
      <c r="I4" s="229" t="s">
        <v>175</v>
      </c>
      <c r="J4" s="229" t="s">
        <v>15</v>
      </c>
      <c r="K4" s="229" t="s">
        <v>112</v>
      </c>
      <c r="L4" s="229" t="s">
        <v>176</v>
      </c>
      <c r="M4" s="230" t="s">
        <v>93</v>
      </c>
      <c r="N4" s="229" t="s">
        <v>313</v>
      </c>
      <c r="O4" s="229" t="s">
        <v>59</v>
      </c>
      <c r="P4" s="229" t="s">
        <v>61</v>
      </c>
      <c r="Q4" s="229" t="s">
        <v>94</v>
      </c>
      <c r="R4" s="230" t="s">
        <v>95</v>
      </c>
      <c r="S4" s="231" t="s">
        <v>68</v>
      </c>
      <c r="U4" s="116"/>
      <c r="V4" s="266"/>
      <c r="W4" s="271"/>
      <c r="X4" s="271" t="s">
        <v>12</v>
      </c>
      <c r="Y4" s="271" t="s">
        <v>11</v>
      </c>
      <c r="Z4" s="271" t="s">
        <v>14</v>
      </c>
      <c r="AA4" s="271" t="s">
        <v>16</v>
      </c>
      <c r="AB4" s="271" t="s">
        <v>175</v>
      </c>
      <c r="AC4" s="271" t="s">
        <v>15</v>
      </c>
      <c r="AD4" s="271" t="s">
        <v>112</v>
      </c>
      <c r="AE4" s="271" t="s">
        <v>176</v>
      </c>
      <c r="AF4" s="272" t="s">
        <v>93</v>
      </c>
      <c r="AG4" s="273" t="s">
        <v>313</v>
      </c>
      <c r="AH4" s="273" t="s">
        <v>59</v>
      </c>
      <c r="AI4" s="273" t="s">
        <v>61</v>
      </c>
      <c r="AJ4" s="273" t="s">
        <v>10</v>
      </c>
      <c r="AK4" s="273" t="s">
        <v>96</v>
      </c>
      <c r="AL4" s="273" t="s">
        <v>68</v>
      </c>
    </row>
    <row r="5" spans="1:49" x14ac:dyDescent="0.25">
      <c r="C5" s="224">
        <v>1</v>
      </c>
      <c r="D5" s="225">
        <f>+VLOOKUP($C5,$V:$AL,COLUMNS($C$4:D4),0)</f>
        <v>0</v>
      </c>
      <c r="E5" s="117" t="str">
        <f>+IF($D5=0,"",VLOOKUP($C5,$V:$AL,COLUMNS($C$4:E4),0))</f>
        <v/>
      </c>
      <c r="F5" s="118" t="str">
        <f>+IF($D5=0,"",VLOOKUP($C5,$V:$AL,COLUMNS($C$4:F4),0))</f>
        <v/>
      </c>
      <c r="G5" s="118" t="str">
        <f>+IF($D5=0,"",VLOOKUP($C5,$V:$AL,COLUMNS($C$4:G4),0))</f>
        <v/>
      </c>
      <c r="H5" s="118" t="str">
        <f>+IF($D5=0,"",VLOOKUP($C5,$V:$AL,COLUMNS($C$4:H4),0))</f>
        <v/>
      </c>
      <c r="I5" s="118" t="str">
        <f>+IF($D5=0,"",VLOOKUP($C5,$V:$AL,COLUMNS($C$4:I4),0))</f>
        <v/>
      </c>
      <c r="J5" s="118" t="str">
        <f>+IF($D5=0,"",VLOOKUP($C5,$V:$AL,COLUMNS($C$4:J4),0))</f>
        <v/>
      </c>
      <c r="K5" s="118" t="str">
        <f>+IF($D5=0,"",VLOOKUP($C5,$V:$AL,COLUMNS($C$4:K4),0))</f>
        <v/>
      </c>
      <c r="L5" s="118" t="str">
        <f>+IF($D5=0,"",VLOOKUP($C5,$V:$AL,COLUMNS($C$4:L4),0))</f>
        <v/>
      </c>
      <c r="M5" s="119" t="str">
        <f>+IF($D5=0,"",VLOOKUP($C5,$V:$AL,COLUMNS($C$4:M4),0))</f>
        <v/>
      </c>
      <c r="N5" s="81" t="str">
        <f>+IF($D5=0,"",VLOOKUP($C5,$V:$AL,COLUMNS($C$4:N4),0))</f>
        <v/>
      </c>
      <c r="O5" s="81" t="str">
        <f>+IF($D5=0,"",VLOOKUP($C5,$V:$AL,COLUMNS($C$4:O4),0))</f>
        <v/>
      </c>
      <c r="P5" s="81" t="str">
        <f>+IF($D5=0,"",VLOOKUP($C5,$V:$AL,COLUMNS($C$4:P4),0))</f>
        <v/>
      </c>
      <c r="Q5" s="81" t="str">
        <f>+IF($D5=0,"",VLOOKUP($C5,$V:$AL,COLUMNS($C$4:Q4),0))</f>
        <v/>
      </c>
      <c r="R5" s="253" t="str">
        <f>+IF($D5=0,"",VLOOKUP($C5,$V:$AL,COLUMNS($C$4:R4),0))</f>
        <v/>
      </c>
      <c r="S5" s="82" t="str">
        <f>+IF($D5=0,"",VLOOKUP($C5,$V:$AL,COLUMNS($C$4:S4),0))</f>
        <v/>
      </c>
      <c r="T5" s="81"/>
      <c r="U5" s="116"/>
      <c r="V5" s="266">
        <f t="shared" ref="V5:V19" si="0">+_xlfn.RANK.EQ(AL5,$AL$5:$AL$23)</f>
        <v>19</v>
      </c>
      <c r="W5" s="274">
        <f>Resultado!B7</f>
        <v>0</v>
      </c>
      <c r="X5" s="268">
        <f>+SUMIFS(Resultado!7:7,Resultado!$1:$1,ClasificaciónPorra!X$4)</f>
        <v>0</v>
      </c>
      <c r="Y5" s="268">
        <f>+SUMIFS(Resultado!7:7,Resultado!$1:$1,ClasificaciónPorra!Y$4)</f>
        <v>0</v>
      </c>
      <c r="Z5" s="268">
        <f>+SUMIFS(Resultado!7:7,Resultado!$1:$1,ClasificaciónPorra!Z$4)</f>
        <v>0</v>
      </c>
      <c r="AA5" s="268">
        <f>+SUMIFS(Resultado!7:7,Resultado!$1:$1,ClasificaciónPorra!AA$4)</f>
        <v>0</v>
      </c>
      <c r="AB5" s="268">
        <f>+SUMIFS(Resultado!7:7,Resultado!$1:$1,ClasificaciónPorra!AB$4)</f>
        <v>0</v>
      </c>
      <c r="AC5" s="268">
        <f>+SUMIFS(Resultado!7:7,Resultado!$1:$1,ClasificaciónPorra!AC$4)</f>
        <v>0</v>
      </c>
      <c r="AD5" s="268">
        <f>+SUMIFS(Resultado!7:7,Resultado!$1:$1,ClasificaciónPorra!AD$4)</f>
        <v>0</v>
      </c>
      <c r="AE5" s="268">
        <f>+SUMIFS(Resultado!7:7,Resultado!$1:$1,ClasificaciónPorra!AE$4)</f>
        <v>0</v>
      </c>
      <c r="AF5" s="268">
        <f>+SUM(X5:AE5)</f>
        <v>0</v>
      </c>
      <c r="AG5" s="268">
        <f>+SUMIFS(Resultado!7:7,Resultado!$1:$1,ClasificaciónPorra!AG$4)</f>
        <v>0</v>
      </c>
      <c r="AH5" s="268">
        <f>+SUMIFS(Resultado!7:7,Resultado!$1:$1,ClasificaciónPorra!AH$4)</f>
        <v>0</v>
      </c>
      <c r="AI5" s="268">
        <f>+SUMIFS(Resultado!7:7,Resultado!$1:$1,ClasificaciónPorra!AI$4)</f>
        <v>0</v>
      </c>
      <c r="AJ5" s="268">
        <f>+SUMIFS(Resultado!7:7,Resultado!$1:$1,ClasificaciónPorra!AJ$4)</f>
        <v>0</v>
      </c>
      <c r="AK5" s="270">
        <f>+SUM(AG5:AJ5)</f>
        <v>0</v>
      </c>
      <c r="AL5" s="269">
        <f t="shared" ref="AL5:AL19" si="1">+IF(W5=0,0+ROW()/10000,AK5+AF5+ROW()/1000)</f>
        <v>5.0000000000000001E-4</v>
      </c>
    </row>
    <row r="6" spans="1:49" ht="13.5" customHeight="1" x14ac:dyDescent="0.25">
      <c r="C6" s="224">
        <f t="shared" ref="C6:C23" si="2">+C5+1</f>
        <v>2</v>
      </c>
      <c r="D6" s="225">
        <f>+VLOOKUP($C6,$V:$AL,COLUMNS($C$4:D5),0)</f>
        <v>0</v>
      </c>
      <c r="E6" s="117" t="str">
        <f>+IF($D6=0,"",VLOOKUP($C6,$V:$AL,COLUMNS($C$4:E5),0))</f>
        <v/>
      </c>
      <c r="F6" s="118" t="str">
        <f>+IF($D6=0,"",VLOOKUP($C6,$V:$AL,COLUMNS($C$4:F5),0))</f>
        <v/>
      </c>
      <c r="G6" s="118" t="str">
        <f>+IF($D6=0,"",VLOOKUP($C6,$V:$AL,COLUMNS($C$4:G5),0))</f>
        <v/>
      </c>
      <c r="H6" s="118" t="str">
        <f>+IF($D6=0,"",VLOOKUP($C6,$V:$AL,COLUMNS($C$4:H5),0))</f>
        <v/>
      </c>
      <c r="I6" s="118" t="str">
        <f>+IF($D6=0,"",VLOOKUP($C6,$V:$AL,COLUMNS($C$4:I5),0))</f>
        <v/>
      </c>
      <c r="J6" s="118" t="str">
        <f>+IF($D6=0,"",VLOOKUP($C6,$V:$AL,COLUMNS($C$4:J5),0))</f>
        <v/>
      </c>
      <c r="K6" s="118" t="str">
        <f>+IF($D6=0,"",VLOOKUP($C6,$V:$AL,COLUMNS($C$4:K5),0))</f>
        <v/>
      </c>
      <c r="L6" s="118" t="str">
        <f>+IF($D6=0,"",VLOOKUP($C6,$V:$AL,COLUMNS($C$4:L5),0))</f>
        <v/>
      </c>
      <c r="M6" s="120" t="str">
        <f>+IF($D6=0,"",VLOOKUP($C6,$V:$AL,COLUMNS($C$4:M5),0))</f>
        <v/>
      </c>
      <c r="N6" s="81" t="str">
        <f>+IF($D6=0,"",VLOOKUP($C6,$V:$AL,COLUMNS($C$4:N5),0))</f>
        <v/>
      </c>
      <c r="O6" s="81" t="str">
        <f>+IF($D6=0,"",VLOOKUP($C6,$V:$AL,COLUMNS($C$4:O5),0))</f>
        <v/>
      </c>
      <c r="P6" s="81" t="str">
        <f>+IF($D6=0,"",VLOOKUP($C6,$V:$AL,COLUMNS($C$4:P5),0))</f>
        <v/>
      </c>
      <c r="Q6" s="81" t="str">
        <f>+IF($D6=0,"",VLOOKUP($C6,$V:$AL,COLUMNS($C$4:Q5),0))</f>
        <v/>
      </c>
      <c r="R6" s="253" t="str">
        <f>+IF($D6=0,"",VLOOKUP($C6,$V:$AL,COLUMNS($C$4:R5),0))</f>
        <v/>
      </c>
      <c r="S6" s="82" t="str">
        <f>+IF($D6=0,"",VLOOKUP($C6,$V:$AL,COLUMNS($C$4:S5),0))</f>
        <v/>
      </c>
      <c r="T6" s="81"/>
      <c r="U6" s="116"/>
      <c r="V6" s="266">
        <f t="shared" si="0"/>
        <v>18</v>
      </c>
      <c r="W6" s="274">
        <f>Resultado!B8</f>
        <v>0</v>
      </c>
      <c r="X6" s="268">
        <f>+SUMIFS(Resultado!8:8,Resultado!$1:$1,ClasificaciónPorra!X$4)</f>
        <v>0</v>
      </c>
      <c r="Y6" s="268">
        <f>+SUMIFS(Resultado!8:8,Resultado!$1:$1,ClasificaciónPorra!Y$4)</f>
        <v>0</v>
      </c>
      <c r="Z6" s="268">
        <f>+SUMIFS(Resultado!8:8,Resultado!$1:$1,ClasificaciónPorra!Z$4)</f>
        <v>0</v>
      </c>
      <c r="AA6" s="268">
        <f>+SUMIFS(Resultado!8:8,Resultado!$1:$1,ClasificaciónPorra!AA$4)</f>
        <v>0</v>
      </c>
      <c r="AB6" s="268">
        <f>+SUMIFS(Resultado!8:8,Resultado!$1:$1,ClasificaciónPorra!AB$4)</f>
        <v>0</v>
      </c>
      <c r="AC6" s="268">
        <f>+SUMIFS(Resultado!8:8,Resultado!$1:$1,ClasificaciónPorra!AC$4)</f>
        <v>0</v>
      </c>
      <c r="AD6" s="268">
        <f>+SUMIFS(Resultado!8:8,Resultado!$1:$1,ClasificaciónPorra!AD$4)</f>
        <v>0</v>
      </c>
      <c r="AE6" s="268">
        <f>+SUMIFS(Resultado!8:8,Resultado!$1:$1,ClasificaciónPorra!AE$4)</f>
        <v>0</v>
      </c>
      <c r="AF6" s="268">
        <f t="shared" ref="AF6:AF19" si="3">+SUM(X6:AE6)</f>
        <v>0</v>
      </c>
      <c r="AG6" s="268">
        <f>+SUMIFS(Resultado!8:8,Resultado!$1:$1,ClasificaciónPorra!AG$4)</f>
        <v>0</v>
      </c>
      <c r="AH6" s="268">
        <f>+SUMIFS(Resultado!8:8,Resultado!$1:$1,ClasificaciónPorra!AH$4)</f>
        <v>0</v>
      </c>
      <c r="AI6" s="268">
        <f>+SUMIFS(Resultado!8:8,Resultado!$1:$1,ClasificaciónPorra!AI$4)</f>
        <v>0</v>
      </c>
      <c r="AJ6" s="268">
        <f>+SUMIFS(Resultado!8:8,Resultado!$1:$1,ClasificaciónPorra!AJ$4)</f>
        <v>0</v>
      </c>
      <c r="AK6" s="270">
        <f t="shared" ref="AK6:AK19" si="4">+SUM(AG6:AJ6)</f>
        <v>0</v>
      </c>
      <c r="AL6" s="269">
        <f t="shared" si="1"/>
        <v>5.9999999999999995E-4</v>
      </c>
    </row>
    <row r="7" spans="1:49" x14ac:dyDescent="0.25">
      <c r="C7" s="224">
        <f t="shared" si="2"/>
        <v>3</v>
      </c>
      <c r="D7" s="225">
        <f>+VLOOKUP($C7,$V:$AL,COLUMNS($C$4:D6),0)</f>
        <v>0</v>
      </c>
      <c r="E7" s="117" t="str">
        <f>+IF($D7=0,"",VLOOKUP($C7,$V:$AL,COLUMNS($C$4:E6),0))</f>
        <v/>
      </c>
      <c r="F7" s="118" t="str">
        <f>+IF($D7=0,"",VLOOKUP($C7,$V:$AL,COLUMNS($C$4:F6),0))</f>
        <v/>
      </c>
      <c r="G7" s="118" t="str">
        <f>+IF($D7=0,"",VLOOKUP($C7,$V:$AL,COLUMNS($C$4:G6),0))</f>
        <v/>
      </c>
      <c r="H7" s="118" t="str">
        <f>+IF($D7=0,"",VLOOKUP($C7,$V:$AL,COLUMNS($C$4:H6),0))</f>
        <v/>
      </c>
      <c r="I7" s="118" t="str">
        <f>+IF($D7=0,"",VLOOKUP($C7,$V:$AL,COLUMNS($C$4:I6),0))</f>
        <v/>
      </c>
      <c r="J7" s="118" t="str">
        <f>+IF($D7=0,"",VLOOKUP($C7,$V:$AL,COLUMNS($C$4:J6),0))</f>
        <v/>
      </c>
      <c r="K7" s="118" t="str">
        <f>+IF($D7=0,"",VLOOKUP($C7,$V:$AL,COLUMNS($C$4:K6),0))</f>
        <v/>
      </c>
      <c r="L7" s="118" t="str">
        <f>+IF($D7=0,"",VLOOKUP($C7,$V:$AL,COLUMNS($C$4:L6),0))</f>
        <v/>
      </c>
      <c r="M7" s="120" t="str">
        <f>+IF($D7=0,"",VLOOKUP($C7,$V:$AL,COLUMNS($C$4:M6),0))</f>
        <v/>
      </c>
      <c r="N7" s="81" t="str">
        <f>+IF($D7=0,"",VLOOKUP($C7,$V:$AL,COLUMNS($C$4:N6),0))</f>
        <v/>
      </c>
      <c r="O7" s="81" t="str">
        <f>+IF($D7=0,"",VLOOKUP($C7,$V:$AL,COLUMNS($C$4:O6),0))</f>
        <v/>
      </c>
      <c r="P7" s="81" t="str">
        <f>+IF($D7=0,"",VLOOKUP($C7,$V:$AL,COLUMNS($C$4:P6),0))</f>
        <v/>
      </c>
      <c r="Q7" s="81" t="str">
        <f>+IF($D7=0,"",VLOOKUP($C7,$V:$AL,COLUMNS($C$4:Q6),0))</f>
        <v/>
      </c>
      <c r="R7" s="253" t="str">
        <f>+IF($D7=0,"",VLOOKUP($C7,$V:$AL,COLUMNS($C$4:R6),0))</f>
        <v/>
      </c>
      <c r="S7" s="82" t="str">
        <f>+IF($D7=0,"",VLOOKUP($C7,$V:$AL,COLUMNS($C$4:S6),0))</f>
        <v/>
      </c>
      <c r="T7" s="81"/>
      <c r="U7" s="116"/>
      <c r="V7" s="266">
        <f t="shared" si="0"/>
        <v>17</v>
      </c>
      <c r="W7" s="274">
        <f>Resultado!B9</f>
        <v>0</v>
      </c>
      <c r="X7" s="268">
        <f>+SUMIFS(Resultado!9:9,Resultado!$1:$1,ClasificaciónPorra!X$4)</f>
        <v>0</v>
      </c>
      <c r="Y7" s="268">
        <f>+SUMIFS(Resultado!9:9,Resultado!$1:$1,ClasificaciónPorra!Y$4)</f>
        <v>0</v>
      </c>
      <c r="Z7" s="268">
        <f>+SUMIFS(Resultado!9:9,Resultado!$1:$1,ClasificaciónPorra!Z$4)</f>
        <v>0</v>
      </c>
      <c r="AA7" s="268">
        <f>+SUMIFS(Resultado!9:9,Resultado!$1:$1,ClasificaciónPorra!AA$4)</f>
        <v>0</v>
      </c>
      <c r="AB7" s="268">
        <f>+SUMIFS(Resultado!9:9,Resultado!$1:$1,ClasificaciónPorra!AB$4)</f>
        <v>0</v>
      </c>
      <c r="AC7" s="268">
        <f>+SUMIFS(Resultado!9:9,Resultado!$1:$1,ClasificaciónPorra!AC$4)</f>
        <v>0</v>
      </c>
      <c r="AD7" s="268">
        <f>+SUMIFS(Resultado!9:9,Resultado!$1:$1,ClasificaciónPorra!AD$4)</f>
        <v>0</v>
      </c>
      <c r="AE7" s="268">
        <f>+SUMIFS(Resultado!9:9,Resultado!$1:$1,ClasificaciónPorra!AE$4)</f>
        <v>0</v>
      </c>
      <c r="AF7" s="268">
        <f t="shared" si="3"/>
        <v>0</v>
      </c>
      <c r="AG7" s="268">
        <f>+SUMIFS(Resultado!9:9,Resultado!$1:$1,ClasificaciónPorra!AG$4)</f>
        <v>0</v>
      </c>
      <c r="AH7" s="268">
        <f>+SUMIFS(Resultado!9:9,Resultado!$1:$1,ClasificaciónPorra!AH$4)</f>
        <v>0</v>
      </c>
      <c r="AI7" s="268">
        <f>+SUMIFS(Resultado!9:9,Resultado!$1:$1,ClasificaciónPorra!AI$4)</f>
        <v>0</v>
      </c>
      <c r="AJ7" s="268">
        <f>+SUMIFS(Resultado!9:9,Resultado!$1:$1,ClasificaciónPorra!AJ$4)</f>
        <v>0</v>
      </c>
      <c r="AK7" s="270">
        <f t="shared" si="4"/>
        <v>0</v>
      </c>
      <c r="AL7" s="269">
        <f t="shared" si="1"/>
        <v>6.9999999999999999E-4</v>
      </c>
    </row>
    <row r="8" spans="1:49" x14ac:dyDescent="0.25">
      <c r="C8" s="224">
        <f t="shared" si="2"/>
        <v>4</v>
      </c>
      <c r="D8" s="226">
        <f>+VLOOKUP($C8,$V:$AL,COLUMNS($C$4:D7),0)</f>
        <v>0</v>
      </c>
      <c r="E8" s="121" t="str">
        <f>+IF($D8=0,"",VLOOKUP($C8,$V:$AL,COLUMNS($C$4:E7),0))</f>
        <v/>
      </c>
      <c r="F8" s="122" t="str">
        <f>+IF($D8=0,"",VLOOKUP($C8,$V:$AL,COLUMNS($C$4:F7),0))</f>
        <v/>
      </c>
      <c r="G8" s="122" t="str">
        <f>+IF($D8=0,"",VLOOKUP($C8,$V:$AL,COLUMNS($C$4:G7),0))</f>
        <v/>
      </c>
      <c r="H8" s="122" t="str">
        <f>+IF($D8=0,"",VLOOKUP($C8,$V:$AL,COLUMNS($C$4:H7),0))</f>
        <v/>
      </c>
      <c r="I8" s="122" t="str">
        <f>+IF($D8=0,"",VLOOKUP($C8,$V:$AL,COLUMNS($C$4:I7),0))</f>
        <v/>
      </c>
      <c r="J8" s="122" t="str">
        <f>+IF($D8=0,"",VLOOKUP($C8,$V:$AL,COLUMNS($C$4:J7),0))</f>
        <v/>
      </c>
      <c r="K8" s="122" t="str">
        <f>+IF($D8=0,"",VLOOKUP($C8,$V:$AL,COLUMNS($C$4:K7),0))</f>
        <v/>
      </c>
      <c r="L8" s="122" t="str">
        <f>+IF($D8=0,"",VLOOKUP($C8,$V:$AL,COLUMNS($C$4:L7),0))</f>
        <v/>
      </c>
      <c r="M8" s="123" t="str">
        <f>+IF($D8=0,"",VLOOKUP($C8,$V:$AL,COLUMNS($C$4:M7),0))</f>
        <v/>
      </c>
      <c r="N8" s="83" t="str">
        <f>+IF($D8=0,"",VLOOKUP($C8,$V:$AL,COLUMNS($C$4:N7),0))</f>
        <v/>
      </c>
      <c r="O8" s="83" t="str">
        <f>+IF($D8=0,"",VLOOKUP($C8,$V:$AL,COLUMNS($C$4:O7),0))</f>
        <v/>
      </c>
      <c r="P8" s="83" t="str">
        <f>+IF($D8=0,"",VLOOKUP($C8,$V:$AL,COLUMNS($C$4:P7),0))</f>
        <v/>
      </c>
      <c r="Q8" s="83" t="str">
        <f>+IF($D8=0,"",VLOOKUP($C8,$V:$AL,COLUMNS($C$4:Q7),0))</f>
        <v/>
      </c>
      <c r="R8" s="254" t="str">
        <f>+IF($D8=0,"",VLOOKUP($C8,$V:$AL,COLUMNS($C$4:R7),0))</f>
        <v/>
      </c>
      <c r="S8" s="84" t="str">
        <f>+IF($D8=0,"",VLOOKUP($C8,$V:$AL,COLUMNS($C$4:S7),0))</f>
        <v/>
      </c>
      <c r="T8" s="81"/>
      <c r="U8" s="116"/>
      <c r="V8" s="266">
        <f t="shared" si="0"/>
        <v>16</v>
      </c>
      <c r="W8" s="274">
        <f>Resultado!B10</f>
        <v>0</v>
      </c>
      <c r="X8" s="268">
        <f>+SUMIFS(Resultado!10:10,Resultado!$1:$1,ClasificaciónPorra!X$4)</f>
        <v>0</v>
      </c>
      <c r="Y8" s="268">
        <f>+SUMIFS(Resultado!10:10,Resultado!$1:$1,ClasificaciónPorra!Y$4)</f>
        <v>0</v>
      </c>
      <c r="Z8" s="268">
        <f>+SUMIFS(Resultado!10:10,Resultado!$1:$1,ClasificaciónPorra!Z$4)</f>
        <v>0</v>
      </c>
      <c r="AA8" s="268">
        <f>+SUMIFS(Resultado!10:10,Resultado!$1:$1,ClasificaciónPorra!AA$4)</f>
        <v>0</v>
      </c>
      <c r="AB8" s="268">
        <f>+SUMIFS(Resultado!10:10,Resultado!$1:$1,ClasificaciónPorra!AB$4)</f>
        <v>0</v>
      </c>
      <c r="AC8" s="268">
        <f>+SUMIFS(Resultado!10:10,Resultado!$1:$1,ClasificaciónPorra!AC$4)</f>
        <v>0</v>
      </c>
      <c r="AD8" s="268">
        <f>+SUMIFS(Resultado!10:10,Resultado!$1:$1,ClasificaciónPorra!AD$4)</f>
        <v>0</v>
      </c>
      <c r="AE8" s="268">
        <f>+SUMIFS(Resultado!10:10,Resultado!$1:$1,ClasificaciónPorra!AE$4)</f>
        <v>0</v>
      </c>
      <c r="AF8" s="268">
        <f t="shared" si="3"/>
        <v>0</v>
      </c>
      <c r="AG8" s="268">
        <f>+SUMIFS(Resultado!10:10,Resultado!$1:$1,ClasificaciónPorra!AG$4)</f>
        <v>0</v>
      </c>
      <c r="AH8" s="268">
        <f>+SUMIFS(Resultado!10:10,Resultado!$1:$1,ClasificaciónPorra!AH$4)</f>
        <v>0</v>
      </c>
      <c r="AI8" s="268">
        <f>+SUMIFS(Resultado!10:10,Resultado!$1:$1,ClasificaciónPorra!AI$4)</f>
        <v>0</v>
      </c>
      <c r="AJ8" s="268">
        <f>+SUMIFS(Resultado!10:10,Resultado!$1:$1,ClasificaciónPorra!AJ$4)</f>
        <v>0</v>
      </c>
      <c r="AK8" s="270">
        <f t="shared" si="4"/>
        <v>0</v>
      </c>
      <c r="AL8" s="269">
        <f t="shared" si="1"/>
        <v>8.0000000000000004E-4</v>
      </c>
    </row>
    <row r="9" spans="1:49" x14ac:dyDescent="0.25">
      <c r="C9" s="224">
        <f t="shared" si="2"/>
        <v>5</v>
      </c>
      <c r="D9" s="227">
        <f>+VLOOKUP($C9,$V:$AL,COLUMNS($C$4:D8),0)</f>
        <v>0</v>
      </c>
      <c r="E9" s="124" t="str">
        <f>+IF($D9=0,"",VLOOKUP($C9,$V:$AL,COLUMNS($C$4:E8),0))</f>
        <v/>
      </c>
      <c r="F9" s="125" t="str">
        <f>+IF($D9=0,"",VLOOKUP($C9,$V:$AL,COLUMNS($C$4:F8),0))</f>
        <v/>
      </c>
      <c r="G9" s="125" t="str">
        <f>+IF($D9=0,"",VLOOKUP($C9,$V:$AL,COLUMNS($C$4:G8),0))</f>
        <v/>
      </c>
      <c r="H9" s="125" t="str">
        <f>+IF($D9=0,"",VLOOKUP($C9,$V:$AL,COLUMNS($C$4:H8),0))</f>
        <v/>
      </c>
      <c r="I9" s="125" t="str">
        <f>+IF($D9=0,"",VLOOKUP($C9,$V:$AL,COLUMNS($C$4:I8),0))</f>
        <v/>
      </c>
      <c r="J9" s="125" t="str">
        <f>+IF($D9=0,"",VLOOKUP($C9,$V:$AL,COLUMNS($C$4:J8),0))</f>
        <v/>
      </c>
      <c r="K9" s="125" t="str">
        <f>+IF($D9=0,"",VLOOKUP($C9,$V:$AL,COLUMNS($C$4:K8),0))</f>
        <v/>
      </c>
      <c r="L9" s="125" t="str">
        <f>+IF($D9=0,"",VLOOKUP($C9,$V:$AL,COLUMNS($C$4:L8),0))</f>
        <v/>
      </c>
      <c r="M9" s="126" t="str">
        <f>+IF($D9=0,"",VLOOKUP($C9,$V:$AL,COLUMNS($C$4:M8),0))</f>
        <v/>
      </c>
      <c r="N9" s="85" t="str">
        <f>+IF($D9=0,"",VLOOKUP($C9,$V:$AL,COLUMNS($C$4:N8),0))</f>
        <v/>
      </c>
      <c r="O9" s="85" t="str">
        <f>+IF($D9=0,"",VLOOKUP($C9,$V:$AL,COLUMNS($C$4:O8),0))</f>
        <v/>
      </c>
      <c r="P9" s="85" t="str">
        <f>+IF($D9=0,"",VLOOKUP($C9,$V:$AL,COLUMNS($C$4:P8),0))</f>
        <v/>
      </c>
      <c r="Q9" s="85" t="str">
        <f>+IF($D9=0,"",VLOOKUP($C9,$V:$AL,COLUMNS($C$4:Q8),0))</f>
        <v/>
      </c>
      <c r="R9" s="255" t="str">
        <f>+IF($D9=0,"",VLOOKUP($C9,$V:$AL,COLUMNS($C$4:R8),0))</f>
        <v/>
      </c>
      <c r="S9" s="86" t="str">
        <f>+IF($D9=0,"",VLOOKUP($C9,$V:$AL,COLUMNS($C$4:S8),0))</f>
        <v/>
      </c>
      <c r="T9" s="81"/>
      <c r="U9" s="116"/>
      <c r="V9" s="266">
        <f t="shared" si="0"/>
        <v>15</v>
      </c>
      <c r="W9" s="274">
        <f>Resultado!B11</f>
        <v>0</v>
      </c>
      <c r="X9" s="268">
        <f>+SUMIFS(Resultado!11:11,Resultado!$1:$1,ClasificaciónPorra!X$4)</f>
        <v>0</v>
      </c>
      <c r="Y9" s="268">
        <f>+SUMIFS(Resultado!11:11,Resultado!$1:$1,ClasificaciónPorra!Y$4)</f>
        <v>0</v>
      </c>
      <c r="Z9" s="268">
        <f>+SUMIFS(Resultado!11:11,Resultado!$1:$1,ClasificaciónPorra!Z$4)</f>
        <v>0</v>
      </c>
      <c r="AA9" s="268">
        <f>+SUMIFS(Resultado!11:11,Resultado!$1:$1,ClasificaciónPorra!AA$4)</f>
        <v>0</v>
      </c>
      <c r="AB9" s="268">
        <f>+SUMIFS(Resultado!11:11,Resultado!$1:$1,ClasificaciónPorra!AB$4)</f>
        <v>0</v>
      </c>
      <c r="AC9" s="268">
        <f>+SUMIFS(Resultado!11:11,Resultado!$1:$1,ClasificaciónPorra!AC$4)</f>
        <v>0</v>
      </c>
      <c r="AD9" s="268">
        <f>+SUMIFS(Resultado!11:11,Resultado!$1:$1,ClasificaciónPorra!AD$4)</f>
        <v>0</v>
      </c>
      <c r="AE9" s="268">
        <f>+SUMIFS(Resultado!11:11,Resultado!$1:$1,ClasificaciónPorra!AE$4)</f>
        <v>0</v>
      </c>
      <c r="AF9" s="268">
        <f t="shared" si="3"/>
        <v>0</v>
      </c>
      <c r="AG9" s="268">
        <f>+SUMIFS(Resultado!11:11,Resultado!$1:$1,ClasificaciónPorra!AG$4)</f>
        <v>0</v>
      </c>
      <c r="AH9" s="268">
        <f>+SUMIFS(Resultado!11:11,Resultado!$1:$1,ClasificaciónPorra!AH$4)</f>
        <v>0</v>
      </c>
      <c r="AI9" s="268">
        <f>+SUMIFS(Resultado!11:11,Resultado!$1:$1,ClasificaciónPorra!AI$4)</f>
        <v>0</v>
      </c>
      <c r="AJ9" s="268">
        <f>+SUMIFS(Resultado!11:11,Resultado!$1:$1,ClasificaciónPorra!AJ$4)</f>
        <v>0</v>
      </c>
      <c r="AK9" s="270">
        <f t="shared" si="4"/>
        <v>0</v>
      </c>
      <c r="AL9" s="269">
        <f t="shared" si="1"/>
        <v>8.9999999999999998E-4</v>
      </c>
    </row>
    <row r="10" spans="1:49" x14ac:dyDescent="0.25">
      <c r="C10" s="224">
        <f t="shared" si="2"/>
        <v>6</v>
      </c>
      <c r="D10" s="225">
        <f>+VLOOKUP($C10,$V:$AL,COLUMNS($C$4:D9),0)</f>
        <v>0</v>
      </c>
      <c r="E10" s="117" t="str">
        <f>+IF($D10=0,"",VLOOKUP($C10,$V:$AL,COLUMNS($C$4:E9),0))</f>
        <v/>
      </c>
      <c r="F10" s="118" t="str">
        <f>+IF($D10=0,"",VLOOKUP($C10,$V:$AL,COLUMNS($C$4:F9),0))</f>
        <v/>
      </c>
      <c r="G10" s="118" t="str">
        <f>+IF($D10=0,"",VLOOKUP($C10,$V:$AL,COLUMNS($C$4:G9),0))</f>
        <v/>
      </c>
      <c r="H10" s="118" t="str">
        <f>+IF($D10=0,"",VLOOKUP($C10,$V:$AL,COLUMNS($C$4:H9),0))</f>
        <v/>
      </c>
      <c r="I10" s="118" t="str">
        <f>+IF($D10=0,"",VLOOKUP($C10,$V:$AL,COLUMNS($C$4:I9),0))</f>
        <v/>
      </c>
      <c r="J10" s="118" t="str">
        <f>+IF($D10=0,"",VLOOKUP($C10,$V:$AL,COLUMNS($C$4:J9),0))</f>
        <v/>
      </c>
      <c r="K10" s="118" t="str">
        <f>+IF($D10=0,"",VLOOKUP($C10,$V:$AL,COLUMNS($C$4:K9),0))</f>
        <v/>
      </c>
      <c r="L10" s="118" t="str">
        <f>+IF($D10=0,"",VLOOKUP($C10,$V:$AL,COLUMNS($C$4:L9),0))</f>
        <v/>
      </c>
      <c r="M10" s="120" t="str">
        <f>+IF($D10=0,"",VLOOKUP($C10,$V:$AL,COLUMNS($C$4:M9),0))</f>
        <v/>
      </c>
      <c r="N10" s="81" t="str">
        <f>+IF($D10=0,"",VLOOKUP($C10,$V:$AL,COLUMNS($C$4:N9),0))</f>
        <v/>
      </c>
      <c r="O10" s="81" t="str">
        <f>+IF($D10=0,"",VLOOKUP($C10,$V:$AL,COLUMNS($C$4:O9),0))</f>
        <v/>
      </c>
      <c r="P10" s="81" t="str">
        <f>+IF($D10=0,"",VLOOKUP($C10,$V:$AL,COLUMNS($C$4:P9),0))</f>
        <v/>
      </c>
      <c r="Q10" s="81" t="str">
        <f>+IF($D10=0,"",VLOOKUP($C10,$V:$AL,COLUMNS($C$4:Q9),0))</f>
        <v/>
      </c>
      <c r="R10" s="253" t="str">
        <f>+IF($D10=0,"",VLOOKUP($C10,$V:$AL,COLUMNS($C$4:R9),0))</f>
        <v/>
      </c>
      <c r="S10" s="82" t="str">
        <f>+IF($D10=0,"",VLOOKUP($C10,$V:$AL,COLUMNS($C$4:S9),0))</f>
        <v/>
      </c>
      <c r="T10" s="81"/>
      <c r="U10" s="116"/>
      <c r="V10" s="266">
        <f t="shared" si="0"/>
        <v>14</v>
      </c>
      <c r="W10" s="274">
        <f>Resultado!B12</f>
        <v>0</v>
      </c>
      <c r="X10" s="268">
        <f>+SUMIFS(Resultado!12:12,Resultado!$1:$1,ClasificaciónPorra!X$4)</f>
        <v>0</v>
      </c>
      <c r="Y10" s="268">
        <f>+SUMIFS(Resultado!12:12,Resultado!$1:$1,ClasificaciónPorra!Y$4)</f>
        <v>0</v>
      </c>
      <c r="Z10" s="268">
        <f>+SUMIFS(Resultado!12:12,Resultado!$1:$1,ClasificaciónPorra!Z$4)</f>
        <v>0</v>
      </c>
      <c r="AA10" s="268">
        <f>+SUMIFS(Resultado!12:12,Resultado!$1:$1,ClasificaciónPorra!AA$4)</f>
        <v>0</v>
      </c>
      <c r="AB10" s="268">
        <f>+SUMIFS(Resultado!12:12,Resultado!$1:$1,ClasificaciónPorra!AB$4)</f>
        <v>0</v>
      </c>
      <c r="AC10" s="268">
        <f>+SUMIFS(Resultado!12:12,Resultado!$1:$1,ClasificaciónPorra!AC$4)</f>
        <v>0</v>
      </c>
      <c r="AD10" s="268">
        <f>+SUMIFS(Resultado!12:12,Resultado!$1:$1,ClasificaciónPorra!AD$4)</f>
        <v>0</v>
      </c>
      <c r="AE10" s="268">
        <f>+SUMIFS(Resultado!12:12,Resultado!$1:$1,ClasificaciónPorra!AE$4)</f>
        <v>0</v>
      </c>
      <c r="AF10" s="268">
        <f t="shared" si="3"/>
        <v>0</v>
      </c>
      <c r="AG10" s="268">
        <f>+SUMIFS(Resultado!12:12,Resultado!$1:$1,ClasificaciónPorra!AG$4)</f>
        <v>0</v>
      </c>
      <c r="AH10" s="268">
        <f>+SUMIFS(Resultado!12:12,Resultado!$1:$1,ClasificaciónPorra!AH$4)</f>
        <v>0</v>
      </c>
      <c r="AI10" s="268">
        <f>+SUMIFS(Resultado!12:12,Resultado!$1:$1,ClasificaciónPorra!AI$4)</f>
        <v>0</v>
      </c>
      <c r="AJ10" s="268">
        <f>+SUMIFS(Resultado!12:12,Resultado!$1:$1,ClasificaciónPorra!AJ$4)</f>
        <v>0</v>
      </c>
      <c r="AK10" s="270">
        <f t="shared" si="4"/>
        <v>0</v>
      </c>
      <c r="AL10" s="269">
        <f t="shared" si="1"/>
        <v>1E-3</v>
      </c>
    </row>
    <row r="11" spans="1:49" x14ac:dyDescent="0.25">
      <c r="C11" s="224">
        <f t="shared" si="2"/>
        <v>7</v>
      </c>
      <c r="D11" s="225">
        <f>+VLOOKUP($C11,$V:$AL,COLUMNS($C$4:D10),0)</f>
        <v>0</v>
      </c>
      <c r="E11" s="117" t="str">
        <f>+IF($D11=0,"",VLOOKUP($C11,$V:$AL,COLUMNS($C$4:E10),0))</f>
        <v/>
      </c>
      <c r="F11" s="118" t="str">
        <f>+IF($D11=0,"",VLOOKUP($C11,$V:$AL,COLUMNS($C$4:F10),0))</f>
        <v/>
      </c>
      <c r="G11" s="118" t="str">
        <f>+IF($D11=0,"",VLOOKUP($C11,$V:$AL,COLUMNS($C$4:G10),0))</f>
        <v/>
      </c>
      <c r="H11" s="118" t="str">
        <f>+IF($D11=0,"",VLOOKUP($C11,$V:$AL,COLUMNS($C$4:H10),0))</f>
        <v/>
      </c>
      <c r="I11" s="118" t="str">
        <f>+IF($D11=0,"",VLOOKUP($C11,$V:$AL,COLUMNS($C$4:I10),0))</f>
        <v/>
      </c>
      <c r="J11" s="118" t="str">
        <f>+IF($D11=0,"",VLOOKUP($C11,$V:$AL,COLUMNS($C$4:J10),0))</f>
        <v/>
      </c>
      <c r="K11" s="118" t="str">
        <f>+IF($D11=0,"",VLOOKUP($C11,$V:$AL,COLUMNS($C$4:K10),0))</f>
        <v/>
      </c>
      <c r="L11" s="118" t="str">
        <f>+IF($D11=0,"",VLOOKUP($C11,$V:$AL,COLUMNS($C$4:L10),0))</f>
        <v/>
      </c>
      <c r="M11" s="120" t="str">
        <f>+IF($D11=0,"",VLOOKUP($C11,$V:$AL,COLUMNS($C$4:M10),0))</f>
        <v/>
      </c>
      <c r="N11" s="81" t="str">
        <f>+IF($D11=0,"",VLOOKUP($C11,$V:$AL,COLUMNS($C$4:N10),0))</f>
        <v/>
      </c>
      <c r="O11" s="81" t="str">
        <f>+IF($D11=0,"",VLOOKUP($C11,$V:$AL,COLUMNS($C$4:O10),0))</f>
        <v/>
      </c>
      <c r="P11" s="81" t="str">
        <f>+IF($D11=0,"",VLOOKUP($C11,$V:$AL,COLUMNS($C$4:P10),0))</f>
        <v/>
      </c>
      <c r="Q11" s="81" t="str">
        <f>+IF($D11=0,"",VLOOKUP($C11,$V:$AL,COLUMNS($C$4:Q10),0))</f>
        <v/>
      </c>
      <c r="R11" s="253" t="str">
        <f>+IF($D11=0,"",VLOOKUP($C11,$V:$AL,COLUMNS($C$4:R10),0))</f>
        <v/>
      </c>
      <c r="S11" s="82" t="str">
        <f>+IF($D11=0,"",VLOOKUP($C11,$V:$AL,COLUMNS($C$4:S10),0))</f>
        <v/>
      </c>
      <c r="T11" s="81"/>
      <c r="U11" s="116"/>
      <c r="V11" s="266">
        <f t="shared" si="0"/>
        <v>13</v>
      </c>
      <c r="W11" s="274">
        <f>Resultado!B13</f>
        <v>0</v>
      </c>
      <c r="X11" s="268">
        <f>+SUMIFS(Resultado!13:13,Resultado!$1:$1,ClasificaciónPorra!X$4)</f>
        <v>0</v>
      </c>
      <c r="Y11" s="268">
        <f>+SUMIFS(Resultado!13:13,Resultado!$1:$1,ClasificaciónPorra!Y$4)</f>
        <v>0</v>
      </c>
      <c r="Z11" s="268">
        <f>+SUMIFS(Resultado!13:13,Resultado!$1:$1,ClasificaciónPorra!Z$4)</f>
        <v>0</v>
      </c>
      <c r="AA11" s="268">
        <f>+SUMIFS(Resultado!13:13,Resultado!$1:$1,ClasificaciónPorra!AA$4)</f>
        <v>0</v>
      </c>
      <c r="AB11" s="268">
        <f>+SUMIFS(Resultado!13:13,Resultado!$1:$1,ClasificaciónPorra!AB$4)</f>
        <v>0</v>
      </c>
      <c r="AC11" s="268">
        <f>+SUMIFS(Resultado!13:13,Resultado!$1:$1,ClasificaciónPorra!AC$4)</f>
        <v>0</v>
      </c>
      <c r="AD11" s="268">
        <f>+SUMIFS(Resultado!13:13,Resultado!$1:$1,ClasificaciónPorra!AD$4)</f>
        <v>0</v>
      </c>
      <c r="AE11" s="268">
        <f>+SUMIFS(Resultado!13:13,Resultado!$1:$1,ClasificaciónPorra!AE$4)</f>
        <v>0</v>
      </c>
      <c r="AF11" s="268">
        <f t="shared" si="3"/>
        <v>0</v>
      </c>
      <c r="AG11" s="268">
        <f>+SUMIFS(Resultado!13:13,Resultado!$1:$1,ClasificaciónPorra!AG$4)</f>
        <v>0</v>
      </c>
      <c r="AH11" s="268">
        <f>+SUMIFS(Resultado!13:13,Resultado!$1:$1,ClasificaciónPorra!AH$4)</f>
        <v>0</v>
      </c>
      <c r="AI11" s="268">
        <f>+SUMIFS(Resultado!13:13,Resultado!$1:$1,ClasificaciónPorra!AI$4)</f>
        <v>0</v>
      </c>
      <c r="AJ11" s="268">
        <f>+SUMIFS(Resultado!13:13,Resultado!$1:$1,ClasificaciónPorra!AJ$4)</f>
        <v>0</v>
      </c>
      <c r="AK11" s="270">
        <f t="shared" si="4"/>
        <v>0</v>
      </c>
      <c r="AL11" s="269">
        <f t="shared" si="1"/>
        <v>1.1000000000000001E-3</v>
      </c>
    </row>
    <row r="12" spans="1:49" x14ac:dyDescent="0.25">
      <c r="C12" s="224">
        <f t="shared" si="2"/>
        <v>8</v>
      </c>
      <c r="D12" s="225">
        <f>+VLOOKUP($C12,$V:$AL,COLUMNS($C$4:D11),0)</f>
        <v>0</v>
      </c>
      <c r="E12" s="117" t="str">
        <f>+IF($D12=0,"",VLOOKUP($C12,$V:$AL,COLUMNS($C$4:E11),0))</f>
        <v/>
      </c>
      <c r="F12" s="118" t="str">
        <f>+IF($D12=0,"",VLOOKUP($C12,$V:$AL,COLUMNS($C$4:F11),0))</f>
        <v/>
      </c>
      <c r="G12" s="118" t="str">
        <f>+IF($D12=0,"",VLOOKUP($C12,$V:$AL,COLUMNS($C$4:G11),0))</f>
        <v/>
      </c>
      <c r="H12" s="118" t="str">
        <f>+IF($D12=0,"",VLOOKUP($C12,$V:$AL,COLUMNS($C$4:H11),0))</f>
        <v/>
      </c>
      <c r="I12" s="118" t="str">
        <f>+IF($D12=0,"",VLOOKUP($C12,$V:$AL,COLUMNS($C$4:I11),0))</f>
        <v/>
      </c>
      <c r="J12" s="118" t="str">
        <f>+IF($D12=0,"",VLOOKUP($C12,$V:$AL,COLUMNS($C$4:J11),0))</f>
        <v/>
      </c>
      <c r="K12" s="118" t="str">
        <f>+IF($D12=0,"",VLOOKUP($C12,$V:$AL,COLUMNS($C$4:K11),0))</f>
        <v/>
      </c>
      <c r="L12" s="118" t="str">
        <f>+IF($D12=0,"",VLOOKUP($C12,$V:$AL,COLUMNS($C$4:L11),0))</f>
        <v/>
      </c>
      <c r="M12" s="120" t="str">
        <f>+IF($D12=0,"",VLOOKUP($C12,$V:$AL,COLUMNS($C$4:M11),0))</f>
        <v/>
      </c>
      <c r="N12" s="81" t="str">
        <f>+IF($D12=0,"",VLOOKUP($C12,$V:$AL,COLUMNS($C$4:N11),0))</f>
        <v/>
      </c>
      <c r="O12" s="81" t="str">
        <f>+IF($D12=0,"",VLOOKUP($C12,$V:$AL,COLUMNS($C$4:O11),0))</f>
        <v/>
      </c>
      <c r="P12" s="81" t="str">
        <f>+IF($D12=0,"",VLOOKUP($C12,$V:$AL,COLUMNS($C$4:P11),0))</f>
        <v/>
      </c>
      <c r="Q12" s="81" t="str">
        <f>+IF($D12=0,"",VLOOKUP($C12,$V:$AL,COLUMNS($C$4:Q11),0))</f>
        <v/>
      </c>
      <c r="R12" s="253" t="str">
        <f>+IF($D12=0,"",VLOOKUP($C12,$V:$AL,COLUMNS($C$4:R11),0))</f>
        <v/>
      </c>
      <c r="S12" s="82" t="str">
        <f>+IF($D12=0,"",VLOOKUP($C12,$V:$AL,COLUMNS($C$4:S11),0))</f>
        <v/>
      </c>
      <c r="T12" s="81"/>
      <c r="U12" s="116"/>
      <c r="V12" s="266">
        <f t="shared" si="0"/>
        <v>12</v>
      </c>
      <c r="W12" s="274">
        <f>Resultado!B14</f>
        <v>0</v>
      </c>
      <c r="X12" s="268">
        <f>+SUMIFS(Resultado!14:14,Resultado!$1:$1,ClasificaciónPorra!X$4)</f>
        <v>0</v>
      </c>
      <c r="Y12" s="268">
        <f>+SUMIFS(Resultado!14:14,Resultado!$1:$1,ClasificaciónPorra!Y$4)</f>
        <v>0</v>
      </c>
      <c r="Z12" s="268">
        <f>+SUMIFS(Resultado!14:14,Resultado!$1:$1,ClasificaciónPorra!Z$4)</f>
        <v>0</v>
      </c>
      <c r="AA12" s="268">
        <f>+SUMIFS(Resultado!14:14,Resultado!$1:$1,ClasificaciónPorra!AA$4)</f>
        <v>0</v>
      </c>
      <c r="AB12" s="268">
        <f>+SUMIFS(Resultado!14:14,Resultado!$1:$1,ClasificaciónPorra!AB$4)</f>
        <v>0</v>
      </c>
      <c r="AC12" s="268">
        <f>+SUMIFS(Resultado!14:14,Resultado!$1:$1,ClasificaciónPorra!AC$4)</f>
        <v>0</v>
      </c>
      <c r="AD12" s="268">
        <f>+SUMIFS(Resultado!14:14,Resultado!$1:$1,ClasificaciónPorra!AD$4)</f>
        <v>0</v>
      </c>
      <c r="AE12" s="268">
        <f>+SUMIFS(Resultado!14:14,Resultado!$1:$1,ClasificaciónPorra!AE$4)</f>
        <v>0</v>
      </c>
      <c r="AF12" s="268">
        <f t="shared" si="3"/>
        <v>0</v>
      </c>
      <c r="AG12" s="268">
        <f>+SUMIFS(Resultado!14:14,Resultado!$1:$1,ClasificaciónPorra!AG$4)</f>
        <v>0</v>
      </c>
      <c r="AH12" s="268">
        <f>+SUMIFS(Resultado!14:14,Resultado!$1:$1,ClasificaciónPorra!AH$4)</f>
        <v>0</v>
      </c>
      <c r="AI12" s="268">
        <f>+SUMIFS(Resultado!14:14,Resultado!$1:$1,ClasificaciónPorra!AI$4)</f>
        <v>0</v>
      </c>
      <c r="AJ12" s="268">
        <f>+SUMIFS(Resultado!14:14,Resultado!$1:$1,ClasificaciónPorra!AJ$4)</f>
        <v>0</v>
      </c>
      <c r="AK12" s="270">
        <f t="shared" si="4"/>
        <v>0</v>
      </c>
      <c r="AL12" s="269">
        <f t="shared" si="1"/>
        <v>1.1999999999999999E-3</v>
      </c>
    </row>
    <row r="13" spans="1:49" x14ac:dyDescent="0.25">
      <c r="C13" s="224">
        <f t="shared" si="2"/>
        <v>9</v>
      </c>
      <c r="D13" s="226">
        <f>+VLOOKUP($C13,$V:$AL,COLUMNS($C$4:D12),0)</f>
        <v>0</v>
      </c>
      <c r="E13" s="121" t="str">
        <f>+IF($D13=0,"",VLOOKUP($C13,$V:$AL,COLUMNS($C$4:E12),0))</f>
        <v/>
      </c>
      <c r="F13" s="122" t="str">
        <f>+IF($D13=0,"",VLOOKUP($C13,$V:$AL,COLUMNS($C$4:F12),0))</f>
        <v/>
      </c>
      <c r="G13" s="122" t="str">
        <f>+IF($D13=0,"",VLOOKUP($C13,$V:$AL,COLUMNS($C$4:G12),0))</f>
        <v/>
      </c>
      <c r="H13" s="122" t="str">
        <f>+IF($D13=0,"",VLOOKUP($C13,$V:$AL,COLUMNS($C$4:H12),0))</f>
        <v/>
      </c>
      <c r="I13" s="122" t="str">
        <f>+IF($D13=0,"",VLOOKUP($C13,$V:$AL,COLUMNS($C$4:I12),0))</f>
        <v/>
      </c>
      <c r="J13" s="122" t="str">
        <f>+IF($D13=0,"",VLOOKUP($C13,$V:$AL,COLUMNS($C$4:J12),0))</f>
        <v/>
      </c>
      <c r="K13" s="122" t="str">
        <f>+IF($D13=0,"",VLOOKUP($C13,$V:$AL,COLUMNS($C$4:K12),0))</f>
        <v/>
      </c>
      <c r="L13" s="122" t="str">
        <f>+IF($D13=0,"",VLOOKUP($C13,$V:$AL,COLUMNS($C$4:L12),0))</f>
        <v/>
      </c>
      <c r="M13" s="123" t="str">
        <f>+IF($D13=0,"",VLOOKUP($C13,$V:$AL,COLUMNS($C$4:M12),0))</f>
        <v/>
      </c>
      <c r="N13" s="83" t="str">
        <f>+IF($D13=0,"",VLOOKUP($C13,$V:$AL,COLUMNS($C$4:N12),0))</f>
        <v/>
      </c>
      <c r="O13" s="83" t="str">
        <f>+IF($D13=0,"",VLOOKUP($C13,$V:$AL,COLUMNS($C$4:O12),0))</f>
        <v/>
      </c>
      <c r="P13" s="83" t="str">
        <f>+IF($D13=0,"",VLOOKUP($C13,$V:$AL,COLUMNS($C$4:P12),0))</f>
        <v/>
      </c>
      <c r="Q13" s="83" t="str">
        <f>+IF($D13=0,"",VLOOKUP($C13,$V:$AL,COLUMNS($C$4:Q12),0))</f>
        <v/>
      </c>
      <c r="R13" s="254" t="str">
        <f>+IF($D13=0,"",VLOOKUP($C13,$V:$AL,COLUMNS($C$4:R12),0))</f>
        <v/>
      </c>
      <c r="S13" s="84" t="str">
        <f>+IF($D13=0,"",VLOOKUP($C13,$V:$AL,COLUMNS($C$4:S12),0))</f>
        <v/>
      </c>
      <c r="T13" s="81"/>
      <c r="U13" s="116"/>
      <c r="V13" s="266">
        <f t="shared" si="0"/>
        <v>11</v>
      </c>
      <c r="W13" s="274">
        <f>Resultado!B15</f>
        <v>0</v>
      </c>
      <c r="X13" s="268">
        <f>+SUMIFS(Resultado!15:15,Resultado!$1:$1,ClasificaciónPorra!X$4)</f>
        <v>0</v>
      </c>
      <c r="Y13" s="268">
        <f>+SUMIFS(Resultado!15:15,Resultado!$1:$1,ClasificaciónPorra!Y$4)</f>
        <v>0</v>
      </c>
      <c r="Z13" s="268">
        <f>+SUMIFS(Resultado!15:15,Resultado!$1:$1,ClasificaciónPorra!Z$4)</f>
        <v>0</v>
      </c>
      <c r="AA13" s="268">
        <f>+SUMIFS(Resultado!15:15,Resultado!$1:$1,ClasificaciónPorra!AA$4)</f>
        <v>0</v>
      </c>
      <c r="AB13" s="268">
        <f>+SUMIFS(Resultado!15:15,Resultado!$1:$1,ClasificaciónPorra!AB$4)</f>
        <v>0</v>
      </c>
      <c r="AC13" s="268">
        <f>+SUMIFS(Resultado!15:15,Resultado!$1:$1,ClasificaciónPorra!AC$4)</f>
        <v>0</v>
      </c>
      <c r="AD13" s="268">
        <f>+SUMIFS(Resultado!15:15,Resultado!$1:$1,ClasificaciónPorra!AD$4)</f>
        <v>0</v>
      </c>
      <c r="AE13" s="268">
        <f>+SUMIFS(Resultado!15:15,Resultado!$1:$1,ClasificaciónPorra!AE$4)</f>
        <v>0</v>
      </c>
      <c r="AF13" s="268">
        <f t="shared" si="3"/>
        <v>0</v>
      </c>
      <c r="AG13" s="268">
        <f>+SUMIFS(Resultado!15:15,Resultado!$1:$1,ClasificaciónPorra!AG$4)</f>
        <v>0</v>
      </c>
      <c r="AH13" s="268">
        <f>+SUMIFS(Resultado!15:15,Resultado!$1:$1,ClasificaciónPorra!AH$4)</f>
        <v>0</v>
      </c>
      <c r="AI13" s="268">
        <f>+SUMIFS(Resultado!15:15,Resultado!$1:$1,ClasificaciónPorra!AI$4)</f>
        <v>0</v>
      </c>
      <c r="AJ13" s="268">
        <f>+SUMIFS(Resultado!15:15,Resultado!$1:$1,ClasificaciónPorra!AJ$4)</f>
        <v>0</v>
      </c>
      <c r="AK13" s="270">
        <f t="shared" si="4"/>
        <v>0</v>
      </c>
      <c r="AL13" s="269">
        <f t="shared" si="1"/>
        <v>1.2999999999999999E-3</v>
      </c>
    </row>
    <row r="14" spans="1:49" x14ac:dyDescent="0.25">
      <c r="C14" s="224">
        <f t="shared" si="2"/>
        <v>10</v>
      </c>
      <c r="D14" s="227">
        <f>+VLOOKUP($C14,$V:$AL,COLUMNS($C$4:D13),0)</f>
        <v>0</v>
      </c>
      <c r="E14" s="124" t="str">
        <f>+IF($D14=0,"",VLOOKUP($C14,$V:$AL,COLUMNS($C$4:E13),0))</f>
        <v/>
      </c>
      <c r="F14" s="125" t="str">
        <f>+IF($D14=0,"",VLOOKUP($C14,$V:$AL,COLUMNS($C$4:F13),0))</f>
        <v/>
      </c>
      <c r="G14" s="125" t="str">
        <f>+IF($D14=0,"",VLOOKUP($C14,$V:$AL,COLUMNS($C$4:G13),0))</f>
        <v/>
      </c>
      <c r="H14" s="125" t="str">
        <f>+IF($D14=0,"",VLOOKUP($C14,$V:$AL,COLUMNS($C$4:H13),0))</f>
        <v/>
      </c>
      <c r="I14" s="125" t="str">
        <f>+IF($D14=0,"",VLOOKUP($C14,$V:$AL,COLUMNS($C$4:I13),0))</f>
        <v/>
      </c>
      <c r="J14" s="125" t="str">
        <f>+IF($D14=0,"",VLOOKUP($C14,$V:$AL,COLUMNS($C$4:J13),0))</f>
        <v/>
      </c>
      <c r="K14" s="125" t="str">
        <f>+IF($D14=0,"",VLOOKUP($C14,$V:$AL,COLUMNS($C$4:K13),0))</f>
        <v/>
      </c>
      <c r="L14" s="125" t="str">
        <f>+IF($D14=0,"",VLOOKUP($C14,$V:$AL,COLUMNS($C$4:L13),0))</f>
        <v/>
      </c>
      <c r="M14" s="126" t="str">
        <f>+IF($D14=0,"",VLOOKUP($C14,$V:$AL,COLUMNS($C$4:M13),0))</f>
        <v/>
      </c>
      <c r="N14" s="85" t="str">
        <f>+IF($D14=0,"",VLOOKUP($C14,$V:$AL,COLUMNS($C$4:N13),0))</f>
        <v/>
      </c>
      <c r="O14" s="85" t="str">
        <f>+IF($D14=0,"",VLOOKUP($C14,$V:$AL,COLUMNS($C$4:O13),0))</f>
        <v/>
      </c>
      <c r="P14" s="85" t="str">
        <f>+IF($D14=0,"",VLOOKUP($C14,$V:$AL,COLUMNS($C$4:P13),0))</f>
        <v/>
      </c>
      <c r="Q14" s="85" t="str">
        <f>+IF($D14=0,"",VLOOKUP($C14,$V:$AL,COLUMNS($C$4:Q13),0))</f>
        <v/>
      </c>
      <c r="R14" s="255" t="str">
        <f>+IF($D14=0,"",VLOOKUP($C14,$V:$AL,COLUMNS($C$4:R13),0))</f>
        <v/>
      </c>
      <c r="S14" s="86" t="str">
        <f>+IF($D14=0,"",VLOOKUP($C14,$V:$AL,COLUMNS($C$4:S13),0))</f>
        <v/>
      </c>
      <c r="T14" s="81"/>
      <c r="U14" s="116"/>
      <c r="V14" s="266">
        <f t="shared" si="0"/>
        <v>10</v>
      </c>
      <c r="W14" s="274">
        <f>Resultado!B16</f>
        <v>0</v>
      </c>
      <c r="X14" s="268">
        <f>+SUMIFS(Resultado!16:16,Resultado!$1:$1,ClasificaciónPorra!X$4)</f>
        <v>0</v>
      </c>
      <c r="Y14" s="268">
        <f>+SUMIFS(Resultado!16:16,Resultado!$1:$1,ClasificaciónPorra!Y$4)</f>
        <v>0</v>
      </c>
      <c r="Z14" s="268">
        <f>+SUMIFS(Resultado!16:16,Resultado!$1:$1,ClasificaciónPorra!Z$4)</f>
        <v>0</v>
      </c>
      <c r="AA14" s="268">
        <f>+SUMIFS(Resultado!16:16,Resultado!$1:$1,ClasificaciónPorra!AA$4)</f>
        <v>0</v>
      </c>
      <c r="AB14" s="268">
        <f>+SUMIFS(Resultado!16:16,Resultado!$1:$1,ClasificaciónPorra!AB$4)</f>
        <v>0</v>
      </c>
      <c r="AC14" s="268">
        <f>+SUMIFS(Resultado!16:16,Resultado!$1:$1,ClasificaciónPorra!AC$4)</f>
        <v>0</v>
      </c>
      <c r="AD14" s="268">
        <f>+SUMIFS(Resultado!16:16,Resultado!$1:$1,ClasificaciónPorra!AD$4)</f>
        <v>0</v>
      </c>
      <c r="AE14" s="268">
        <f>+SUMIFS(Resultado!16:16,Resultado!$1:$1,ClasificaciónPorra!AE$4)</f>
        <v>0</v>
      </c>
      <c r="AF14" s="268">
        <f t="shared" si="3"/>
        <v>0</v>
      </c>
      <c r="AG14" s="268">
        <f>+SUMIFS(Resultado!16:16,Resultado!$1:$1,ClasificaciónPorra!AG$4)</f>
        <v>0</v>
      </c>
      <c r="AH14" s="268">
        <f>+SUMIFS(Resultado!16:16,Resultado!$1:$1,ClasificaciónPorra!AH$4)</f>
        <v>0</v>
      </c>
      <c r="AI14" s="268">
        <f>+SUMIFS(Resultado!16:16,Resultado!$1:$1,ClasificaciónPorra!AI$4)</f>
        <v>0</v>
      </c>
      <c r="AJ14" s="268">
        <f>+SUMIFS(Resultado!16:16,Resultado!$1:$1,ClasificaciónPorra!AJ$4)</f>
        <v>0</v>
      </c>
      <c r="AK14" s="270">
        <f t="shared" si="4"/>
        <v>0</v>
      </c>
      <c r="AL14" s="269">
        <f t="shared" si="1"/>
        <v>1.4E-3</v>
      </c>
    </row>
    <row r="15" spans="1:49" x14ac:dyDescent="0.25">
      <c r="C15" s="224">
        <f>+C14+1</f>
        <v>11</v>
      </c>
      <c r="D15" s="225">
        <f>+VLOOKUP($C15,$V:$AL,COLUMNS($C$4:D14),0)</f>
        <v>0</v>
      </c>
      <c r="E15" s="117" t="str">
        <f>+IF($D15=0,"",VLOOKUP($C15,$V:$AL,COLUMNS($C$4:E14),0))</f>
        <v/>
      </c>
      <c r="F15" s="118" t="str">
        <f>+IF($D15=0,"",VLOOKUP($C15,$V:$AL,COLUMNS($C$4:F14),0))</f>
        <v/>
      </c>
      <c r="G15" s="118" t="str">
        <f>+IF($D15=0,"",VLOOKUP($C15,$V:$AL,COLUMNS($C$4:G14),0))</f>
        <v/>
      </c>
      <c r="H15" s="118" t="str">
        <f>+IF($D15=0,"",VLOOKUP($C15,$V:$AL,COLUMNS($C$4:H14),0))</f>
        <v/>
      </c>
      <c r="I15" s="118" t="str">
        <f>+IF($D15=0,"",VLOOKUP($C15,$V:$AL,COLUMNS($C$4:I14),0))</f>
        <v/>
      </c>
      <c r="J15" s="118" t="str">
        <f>+IF($D15=0,"",VLOOKUP($C15,$V:$AL,COLUMNS($C$4:J14),0))</f>
        <v/>
      </c>
      <c r="K15" s="118" t="str">
        <f>+IF($D15=0,"",VLOOKUP($C15,$V:$AL,COLUMNS($C$4:K14),0))</f>
        <v/>
      </c>
      <c r="L15" s="118" t="str">
        <f>+IF($D15=0,"",VLOOKUP($C15,$V:$AL,COLUMNS($C$4:L14),0))</f>
        <v/>
      </c>
      <c r="M15" s="120" t="str">
        <f>+IF($D15=0,"",VLOOKUP($C15,$V:$AL,COLUMNS($C$4:M14),0))</f>
        <v/>
      </c>
      <c r="N15" s="81" t="str">
        <f>+IF($D15=0,"",VLOOKUP($C15,$V:$AL,COLUMNS($C$4:N14),0))</f>
        <v/>
      </c>
      <c r="O15" s="81" t="str">
        <f>+IF($D15=0,"",VLOOKUP($C15,$V:$AL,COLUMNS($C$4:O14),0))</f>
        <v/>
      </c>
      <c r="P15" s="81" t="str">
        <f>+IF($D15=0,"",VLOOKUP($C15,$V:$AL,COLUMNS($C$4:P14),0))</f>
        <v/>
      </c>
      <c r="Q15" s="81" t="str">
        <f>+IF($D15=0,"",VLOOKUP($C15,$V:$AL,COLUMNS($C$4:Q14),0))</f>
        <v/>
      </c>
      <c r="R15" s="253" t="str">
        <f>+IF($D15=0,"",VLOOKUP($C15,$V:$AL,COLUMNS($C$4:R14),0))</f>
        <v/>
      </c>
      <c r="S15" s="82" t="str">
        <f>+IF($D15=0,"",VLOOKUP($C15,$V:$AL,COLUMNS($C$4:S14),0))</f>
        <v/>
      </c>
      <c r="T15" s="81"/>
      <c r="U15" s="116"/>
      <c r="V15" s="266">
        <f t="shared" si="0"/>
        <v>9</v>
      </c>
      <c r="W15" s="274">
        <f>Resultado!B17</f>
        <v>0</v>
      </c>
      <c r="X15" s="268">
        <f>+SUMIFS(Resultado!17:17,Resultado!$1:$1,ClasificaciónPorra!X$4)</f>
        <v>0</v>
      </c>
      <c r="Y15" s="268">
        <f>+SUMIFS(Resultado!17:17,Resultado!$1:$1,ClasificaciónPorra!Y$4)</f>
        <v>0</v>
      </c>
      <c r="Z15" s="268">
        <f>+SUMIFS(Resultado!17:17,Resultado!$1:$1,ClasificaciónPorra!Z$4)</f>
        <v>0</v>
      </c>
      <c r="AA15" s="268">
        <f>+SUMIFS(Resultado!17:17,Resultado!$1:$1,ClasificaciónPorra!AA$4)</f>
        <v>0</v>
      </c>
      <c r="AB15" s="268">
        <f>+SUMIFS(Resultado!17:17,Resultado!$1:$1,ClasificaciónPorra!AB$4)</f>
        <v>0</v>
      </c>
      <c r="AC15" s="268">
        <f>+SUMIFS(Resultado!17:17,Resultado!$1:$1,ClasificaciónPorra!AC$4)</f>
        <v>0</v>
      </c>
      <c r="AD15" s="268">
        <f>+SUMIFS(Resultado!17:17,Resultado!$1:$1,ClasificaciónPorra!AD$4)</f>
        <v>0</v>
      </c>
      <c r="AE15" s="268">
        <f>+SUMIFS(Resultado!17:17,Resultado!$1:$1,ClasificaciónPorra!AE$4)</f>
        <v>0</v>
      </c>
      <c r="AF15" s="268">
        <f t="shared" si="3"/>
        <v>0</v>
      </c>
      <c r="AG15" s="268">
        <f>+SUMIFS(Resultado!17:17,Resultado!$1:$1,ClasificaciónPorra!AG$4)</f>
        <v>0</v>
      </c>
      <c r="AH15" s="268">
        <f>+SUMIFS(Resultado!17:17,Resultado!$1:$1,ClasificaciónPorra!AH$4)</f>
        <v>0</v>
      </c>
      <c r="AI15" s="268">
        <f>+SUMIFS(Resultado!17:17,Resultado!$1:$1,ClasificaciónPorra!AI$4)</f>
        <v>0</v>
      </c>
      <c r="AJ15" s="268">
        <f>+SUMIFS(Resultado!17:17,Resultado!$1:$1,ClasificaciónPorra!AJ$4)</f>
        <v>0</v>
      </c>
      <c r="AK15" s="270">
        <f t="shared" si="4"/>
        <v>0</v>
      </c>
      <c r="AL15" s="269">
        <f t="shared" si="1"/>
        <v>1.5E-3</v>
      </c>
    </row>
    <row r="16" spans="1:49" s="78" customFormat="1" x14ac:dyDescent="0.25">
      <c r="C16" s="224">
        <f t="shared" si="2"/>
        <v>12</v>
      </c>
      <c r="D16" s="225">
        <f>+VLOOKUP($C16,$V:$AL,COLUMNS($C$4:D15),0)</f>
        <v>0</v>
      </c>
      <c r="E16" s="117" t="str">
        <f>+IF($D16=0,"",VLOOKUP($C16,$V:$AL,COLUMNS($C$4:E15),0))</f>
        <v/>
      </c>
      <c r="F16" s="118" t="str">
        <f>+IF($D16=0,"",VLOOKUP($C16,$V:$AL,COLUMNS($C$4:F15),0))</f>
        <v/>
      </c>
      <c r="G16" s="118" t="str">
        <f>+IF($D16=0,"",VLOOKUP($C16,$V:$AL,COLUMNS($C$4:G15),0))</f>
        <v/>
      </c>
      <c r="H16" s="118" t="str">
        <f>+IF($D16=0,"",VLOOKUP($C16,$V:$AL,COLUMNS($C$4:H15),0))</f>
        <v/>
      </c>
      <c r="I16" s="118" t="str">
        <f>+IF($D16=0,"",VLOOKUP($C16,$V:$AL,COLUMNS($C$4:I15),0))</f>
        <v/>
      </c>
      <c r="J16" s="118" t="str">
        <f>+IF($D16=0,"",VLOOKUP($C16,$V:$AL,COLUMNS($C$4:J15),0))</f>
        <v/>
      </c>
      <c r="K16" s="118" t="str">
        <f>+IF($D16=0,"",VLOOKUP($C16,$V:$AL,COLUMNS($C$4:K15),0))</f>
        <v/>
      </c>
      <c r="L16" s="118" t="str">
        <f>+IF($D16=0,"",VLOOKUP($C16,$V:$AL,COLUMNS($C$4:L15),0))</f>
        <v/>
      </c>
      <c r="M16" s="120" t="str">
        <f>+IF($D16=0,"",VLOOKUP($C16,$V:$AL,COLUMNS($C$4:M15),0))</f>
        <v/>
      </c>
      <c r="N16" s="81" t="str">
        <f>+IF($D16=0,"",VLOOKUP($C16,$V:$AL,COLUMNS($C$4:N15),0))</f>
        <v/>
      </c>
      <c r="O16" s="81" t="str">
        <f>+IF($D16=0,"",VLOOKUP($C16,$V:$AL,COLUMNS($C$4:O15),0))</f>
        <v/>
      </c>
      <c r="P16" s="81" t="str">
        <f>+IF($D16=0,"",VLOOKUP($C16,$V:$AL,COLUMNS($C$4:P15),0))</f>
        <v/>
      </c>
      <c r="Q16" s="81" t="str">
        <f>+IF($D16=0,"",VLOOKUP($C16,$V:$AL,COLUMNS($C$4:Q15),0))</f>
        <v/>
      </c>
      <c r="R16" s="253" t="str">
        <f>+IF($D16=0,"",VLOOKUP($C16,$V:$AL,COLUMNS($C$4:R15),0))</f>
        <v/>
      </c>
      <c r="S16" s="82" t="str">
        <f>+IF($D16=0,"",VLOOKUP($C16,$V:$AL,COLUMNS($C$4:S15),0))</f>
        <v/>
      </c>
      <c r="T16" s="81"/>
      <c r="U16" s="116"/>
      <c r="V16" s="266">
        <f t="shared" si="0"/>
        <v>8</v>
      </c>
      <c r="W16" s="274">
        <f>Resultado!B18</f>
        <v>0</v>
      </c>
      <c r="X16" s="268">
        <f>+SUMIFS(Resultado!18:18,Resultado!$1:$1,ClasificaciónPorra!X$4)</f>
        <v>0</v>
      </c>
      <c r="Y16" s="268">
        <f>+SUMIFS(Resultado!18:18,Resultado!$1:$1,ClasificaciónPorra!Y$4)</f>
        <v>0</v>
      </c>
      <c r="Z16" s="268">
        <f>+SUMIFS(Resultado!18:18,Resultado!$1:$1,ClasificaciónPorra!Z$4)</f>
        <v>0</v>
      </c>
      <c r="AA16" s="268">
        <f>+SUMIFS(Resultado!18:18,Resultado!$1:$1,ClasificaciónPorra!AA$4)</f>
        <v>0</v>
      </c>
      <c r="AB16" s="268">
        <f>+SUMIFS(Resultado!18:18,Resultado!$1:$1,ClasificaciónPorra!AB$4)</f>
        <v>0</v>
      </c>
      <c r="AC16" s="268">
        <f>+SUMIFS(Resultado!18:18,Resultado!$1:$1,ClasificaciónPorra!AC$4)</f>
        <v>0</v>
      </c>
      <c r="AD16" s="268">
        <f>+SUMIFS(Resultado!18:18,Resultado!$1:$1,ClasificaciónPorra!AD$4)</f>
        <v>0</v>
      </c>
      <c r="AE16" s="268">
        <f>+SUMIFS(Resultado!18:18,Resultado!$1:$1,ClasificaciónPorra!AE$4)</f>
        <v>0</v>
      </c>
      <c r="AF16" s="268">
        <f t="shared" si="3"/>
        <v>0</v>
      </c>
      <c r="AG16" s="268">
        <f>+SUMIFS(Resultado!18:18,Resultado!$1:$1,ClasificaciónPorra!AG$4)</f>
        <v>0</v>
      </c>
      <c r="AH16" s="268">
        <f>+SUMIFS(Resultado!18:18,Resultado!$1:$1,ClasificaciónPorra!AH$4)</f>
        <v>0</v>
      </c>
      <c r="AI16" s="268">
        <f>+SUMIFS(Resultado!18:18,Resultado!$1:$1,ClasificaciónPorra!AI$4)</f>
        <v>0</v>
      </c>
      <c r="AJ16" s="268">
        <f>+SUMIFS(Resultado!18:18,Resultado!$1:$1,ClasificaciónPorra!AJ$4)</f>
        <v>0</v>
      </c>
      <c r="AK16" s="270">
        <f t="shared" si="4"/>
        <v>0</v>
      </c>
      <c r="AL16" s="269">
        <f t="shared" si="1"/>
        <v>1.6000000000000001E-3</v>
      </c>
    </row>
    <row r="17" spans="3:38" s="78" customFormat="1" x14ac:dyDescent="0.25">
      <c r="C17" s="224">
        <f t="shared" si="2"/>
        <v>13</v>
      </c>
      <c r="D17" s="225">
        <f>+VLOOKUP($C17,$V:$AL,COLUMNS($C$4:D16),0)</f>
        <v>0</v>
      </c>
      <c r="E17" s="117" t="str">
        <f>+IF($D17=0,"",VLOOKUP($C17,$V:$AL,COLUMNS($C$4:E16),0))</f>
        <v/>
      </c>
      <c r="F17" s="118" t="str">
        <f>+IF($D17=0,"",VLOOKUP($C17,$V:$AL,COLUMNS($C$4:F16),0))</f>
        <v/>
      </c>
      <c r="G17" s="118" t="str">
        <f>+IF($D17=0,"",VLOOKUP($C17,$V:$AL,COLUMNS($C$4:G16),0))</f>
        <v/>
      </c>
      <c r="H17" s="118" t="str">
        <f>+IF($D17=0,"",VLOOKUP($C17,$V:$AL,COLUMNS($C$4:H16),0))</f>
        <v/>
      </c>
      <c r="I17" s="118" t="str">
        <f>+IF($D17=0,"",VLOOKUP($C17,$V:$AL,COLUMNS($C$4:I16),0))</f>
        <v/>
      </c>
      <c r="J17" s="118" t="str">
        <f>+IF($D17=0,"",VLOOKUP($C17,$V:$AL,COLUMNS($C$4:J16),0))</f>
        <v/>
      </c>
      <c r="K17" s="118" t="str">
        <f>+IF($D17=0,"",VLOOKUP($C17,$V:$AL,COLUMNS($C$4:K16),0))</f>
        <v/>
      </c>
      <c r="L17" s="118" t="str">
        <f>+IF($D17=0,"",VLOOKUP($C17,$V:$AL,COLUMNS($C$4:L16),0))</f>
        <v/>
      </c>
      <c r="M17" s="120" t="str">
        <f>+IF($D17=0,"",VLOOKUP($C17,$V:$AL,COLUMNS($C$4:M16),0))</f>
        <v/>
      </c>
      <c r="N17" s="81" t="str">
        <f>+IF($D17=0,"",VLOOKUP($C17,$V:$AL,COLUMNS($C$4:N16),0))</f>
        <v/>
      </c>
      <c r="O17" s="81" t="str">
        <f>+IF($D17=0,"",VLOOKUP($C17,$V:$AL,COLUMNS($C$4:O16),0))</f>
        <v/>
      </c>
      <c r="P17" s="81" t="str">
        <f>+IF($D17=0,"",VLOOKUP($C17,$V:$AL,COLUMNS($C$4:P16),0))</f>
        <v/>
      </c>
      <c r="Q17" s="81" t="str">
        <f>+IF($D17=0,"",VLOOKUP($C17,$V:$AL,COLUMNS($C$4:Q16),0))</f>
        <v/>
      </c>
      <c r="R17" s="253" t="str">
        <f>+IF($D17=0,"",VLOOKUP($C17,$V:$AL,COLUMNS($C$4:R16),0))</f>
        <v/>
      </c>
      <c r="S17" s="82" t="str">
        <f>+IF($D17=0,"",VLOOKUP($C17,$V:$AL,COLUMNS($C$4:S16),0))</f>
        <v/>
      </c>
      <c r="T17" s="81"/>
      <c r="U17" s="116"/>
      <c r="V17" s="266">
        <f t="shared" si="0"/>
        <v>7</v>
      </c>
      <c r="W17" s="274">
        <f>Resultado!B19</f>
        <v>0</v>
      </c>
      <c r="X17" s="268">
        <f>+SUMIFS(Resultado!19:19,Resultado!$1:$1,ClasificaciónPorra!X$4)</f>
        <v>0</v>
      </c>
      <c r="Y17" s="268">
        <f>+SUMIFS(Resultado!19:19,Resultado!$1:$1,ClasificaciónPorra!Y$4)</f>
        <v>0</v>
      </c>
      <c r="Z17" s="268">
        <f>+SUMIFS(Resultado!19:19,Resultado!$1:$1,ClasificaciónPorra!Z$4)</f>
        <v>0</v>
      </c>
      <c r="AA17" s="268">
        <f>+SUMIFS(Resultado!19:19,Resultado!$1:$1,ClasificaciónPorra!AA$4)</f>
        <v>0</v>
      </c>
      <c r="AB17" s="268">
        <f>+SUMIFS(Resultado!19:19,Resultado!$1:$1,ClasificaciónPorra!AB$4)</f>
        <v>0</v>
      </c>
      <c r="AC17" s="268">
        <f>+SUMIFS(Resultado!19:19,Resultado!$1:$1,ClasificaciónPorra!AC$4)</f>
        <v>0</v>
      </c>
      <c r="AD17" s="268">
        <f>+SUMIFS(Resultado!19:19,Resultado!$1:$1,ClasificaciónPorra!AD$4)</f>
        <v>0</v>
      </c>
      <c r="AE17" s="268">
        <f>+SUMIFS(Resultado!19:19,Resultado!$1:$1,ClasificaciónPorra!AE$4)</f>
        <v>0</v>
      </c>
      <c r="AF17" s="268">
        <f t="shared" si="3"/>
        <v>0</v>
      </c>
      <c r="AG17" s="268">
        <f>+SUMIFS(Resultado!19:19,Resultado!$1:$1,ClasificaciónPorra!AG$4)</f>
        <v>0</v>
      </c>
      <c r="AH17" s="268">
        <f>+SUMIFS(Resultado!19:19,Resultado!$1:$1,ClasificaciónPorra!AH$4)</f>
        <v>0</v>
      </c>
      <c r="AI17" s="268">
        <f>+SUMIFS(Resultado!19:19,Resultado!$1:$1,ClasificaciónPorra!AI$4)</f>
        <v>0</v>
      </c>
      <c r="AJ17" s="268">
        <f>+SUMIFS(Resultado!19:19,Resultado!$1:$1,ClasificaciónPorra!AJ$4)</f>
        <v>0</v>
      </c>
      <c r="AK17" s="270">
        <f t="shared" si="4"/>
        <v>0</v>
      </c>
      <c r="AL17" s="269">
        <f t="shared" si="1"/>
        <v>1.6999999999999999E-3</v>
      </c>
    </row>
    <row r="18" spans="3:38" s="78" customFormat="1" x14ac:dyDescent="0.25">
      <c r="C18" s="224">
        <f t="shared" si="2"/>
        <v>14</v>
      </c>
      <c r="D18" s="226">
        <f>+VLOOKUP($C18,$V:$AL,COLUMNS($C$4:D17),0)</f>
        <v>0</v>
      </c>
      <c r="E18" s="121" t="str">
        <f>+IF($D18=0,"",VLOOKUP($C18,$V:$AL,COLUMNS($C$4:E17),0))</f>
        <v/>
      </c>
      <c r="F18" s="122" t="str">
        <f>+IF($D18=0,"",VLOOKUP($C18,$V:$AL,COLUMNS($C$4:F17),0))</f>
        <v/>
      </c>
      <c r="G18" s="122" t="str">
        <f>+IF($D18=0,"",VLOOKUP($C18,$V:$AL,COLUMNS($C$4:G17),0))</f>
        <v/>
      </c>
      <c r="H18" s="122" t="str">
        <f>+IF($D18=0,"",VLOOKUP($C18,$V:$AL,COLUMNS($C$4:H17),0))</f>
        <v/>
      </c>
      <c r="I18" s="122" t="str">
        <f>+IF($D18=0,"",VLOOKUP($C18,$V:$AL,COLUMNS($C$4:I17),0))</f>
        <v/>
      </c>
      <c r="J18" s="122" t="str">
        <f>+IF($D18=0,"",VLOOKUP($C18,$V:$AL,COLUMNS($C$4:J17),0))</f>
        <v/>
      </c>
      <c r="K18" s="122" t="str">
        <f>+IF($D18=0,"",VLOOKUP($C18,$V:$AL,COLUMNS($C$4:K17),0))</f>
        <v/>
      </c>
      <c r="L18" s="122" t="str">
        <f>+IF($D18=0,"",VLOOKUP($C18,$V:$AL,COLUMNS($C$4:L17),0))</f>
        <v/>
      </c>
      <c r="M18" s="123" t="str">
        <f>+IF($D18=0,"",VLOOKUP($C18,$V:$AL,COLUMNS($C$4:M17),0))</f>
        <v/>
      </c>
      <c r="N18" s="83" t="str">
        <f>+IF($D18=0,"",VLOOKUP($C18,$V:$AL,COLUMNS($C$4:N17),0))</f>
        <v/>
      </c>
      <c r="O18" s="83" t="str">
        <f>+IF($D18=0,"",VLOOKUP($C18,$V:$AL,COLUMNS($C$4:O17),0))</f>
        <v/>
      </c>
      <c r="P18" s="83" t="str">
        <f>+IF($D18=0,"",VLOOKUP($C18,$V:$AL,COLUMNS($C$4:P17),0))</f>
        <v/>
      </c>
      <c r="Q18" s="83" t="str">
        <f>+IF($D18=0,"",VLOOKUP($C18,$V:$AL,COLUMNS($C$4:Q17),0))</f>
        <v/>
      </c>
      <c r="R18" s="254" t="str">
        <f>+IF($D18=0,"",VLOOKUP($C18,$V:$AL,COLUMNS($C$4:R17),0))</f>
        <v/>
      </c>
      <c r="S18" s="84" t="str">
        <f>+IF($D18=0,"",VLOOKUP($C18,$V:$AL,COLUMNS($C$4:S17),0))</f>
        <v/>
      </c>
      <c r="T18" s="81"/>
      <c r="U18" s="116"/>
      <c r="V18" s="266">
        <f t="shared" si="0"/>
        <v>6</v>
      </c>
      <c r="W18" s="274">
        <f>Resultado!B20</f>
        <v>0</v>
      </c>
      <c r="X18" s="268">
        <f>+SUMIFS(Resultado!20:20,Resultado!$1:$1,ClasificaciónPorra!X$4)</f>
        <v>0</v>
      </c>
      <c r="Y18" s="268">
        <f>+SUMIFS(Resultado!20:20,Resultado!$1:$1,ClasificaciónPorra!Y$4)</f>
        <v>0</v>
      </c>
      <c r="Z18" s="268">
        <f>+SUMIFS(Resultado!20:20,Resultado!$1:$1,ClasificaciónPorra!Z$4)</f>
        <v>0</v>
      </c>
      <c r="AA18" s="268">
        <f>+SUMIFS(Resultado!20:20,Resultado!$1:$1,ClasificaciónPorra!AA$4)</f>
        <v>0</v>
      </c>
      <c r="AB18" s="268">
        <f>+SUMIFS(Resultado!20:20,Resultado!$1:$1,ClasificaciónPorra!AB$4)</f>
        <v>0</v>
      </c>
      <c r="AC18" s="268">
        <f>+SUMIFS(Resultado!20:20,Resultado!$1:$1,ClasificaciónPorra!AC$4)</f>
        <v>0</v>
      </c>
      <c r="AD18" s="268">
        <f>+SUMIFS(Resultado!20:20,Resultado!$1:$1,ClasificaciónPorra!AD$4)</f>
        <v>0</v>
      </c>
      <c r="AE18" s="268">
        <f>+SUMIFS(Resultado!20:20,Resultado!$1:$1,ClasificaciónPorra!AE$4)</f>
        <v>0</v>
      </c>
      <c r="AF18" s="268">
        <f t="shared" si="3"/>
        <v>0</v>
      </c>
      <c r="AG18" s="268">
        <f>+SUMIFS(Resultado!20:20,Resultado!$1:$1,ClasificaciónPorra!AG$4)</f>
        <v>0</v>
      </c>
      <c r="AH18" s="268">
        <f>+SUMIFS(Resultado!20:20,Resultado!$1:$1,ClasificaciónPorra!AH$4)</f>
        <v>0</v>
      </c>
      <c r="AI18" s="268">
        <f>+SUMIFS(Resultado!20:20,Resultado!$1:$1,ClasificaciónPorra!AI$4)</f>
        <v>0</v>
      </c>
      <c r="AJ18" s="268">
        <f>+SUMIFS(Resultado!20:20,Resultado!$1:$1,ClasificaciónPorra!AJ$4)</f>
        <v>0</v>
      </c>
      <c r="AK18" s="270">
        <f t="shared" si="4"/>
        <v>0</v>
      </c>
      <c r="AL18" s="269">
        <f t="shared" si="1"/>
        <v>1.8E-3</v>
      </c>
    </row>
    <row r="19" spans="3:38" s="78" customFormat="1" x14ac:dyDescent="0.25">
      <c r="C19" s="224">
        <f t="shared" si="2"/>
        <v>15</v>
      </c>
      <c r="D19" s="227">
        <f>+VLOOKUP($C19,$V:$AL,COLUMNS($C$4:D18),0)</f>
        <v>0</v>
      </c>
      <c r="E19" s="124" t="str">
        <f>+IF($D19=0,"",VLOOKUP($C19,$V:$AL,COLUMNS($C$4:E18),0))</f>
        <v/>
      </c>
      <c r="F19" s="125" t="str">
        <f>+IF($D19=0,"",VLOOKUP($C19,$V:$AL,COLUMNS($C$4:F18),0))</f>
        <v/>
      </c>
      <c r="G19" s="125" t="str">
        <f>+IF($D19=0,"",VLOOKUP($C19,$V:$AL,COLUMNS($C$4:G18),0))</f>
        <v/>
      </c>
      <c r="H19" s="125" t="str">
        <f>+IF($D19=0,"",VLOOKUP($C19,$V:$AL,COLUMNS($C$4:H18),0))</f>
        <v/>
      </c>
      <c r="I19" s="125" t="str">
        <f>+IF($D19=0,"",VLOOKUP($C19,$V:$AL,COLUMNS($C$4:I18),0))</f>
        <v/>
      </c>
      <c r="J19" s="125" t="str">
        <f>+IF($D19=0,"",VLOOKUP($C19,$V:$AL,COLUMNS($C$4:J18),0))</f>
        <v/>
      </c>
      <c r="K19" s="125" t="str">
        <f>+IF($D19=0,"",VLOOKUP($C19,$V:$AL,COLUMNS($C$4:K18),0))</f>
        <v/>
      </c>
      <c r="L19" s="125" t="str">
        <f>+IF($D19=0,"",VLOOKUP($C19,$V:$AL,COLUMNS($C$4:L18),0))</f>
        <v/>
      </c>
      <c r="M19" s="126" t="str">
        <f>+IF($D19=0,"",VLOOKUP($C19,$V:$AL,COLUMNS($C$4:M18),0))</f>
        <v/>
      </c>
      <c r="N19" s="85" t="str">
        <f>+IF($D19=0,"",VLOOKUP($C19,$V:$AL,COLUMNS($C$4:N18),0))</f>
        <v/>
      </c>
      <c r="O19" s="85" t="str">
        <f>+IF($D19=0,"",VLOOKUP($C19,$V:$AL,COLUMNS($C$4:O18),0))</f>
        <v/>
      </c>
      <c r="P19" s="85" t="str">
        <f>+IF($D19=0,"",VLOOKUP($C19,$V:$AL,COLUMNS($C$4:P18),0))</f>
        <v/>
      </c>
      <c r="Q19" s="85" t="str">
        <f>+IF($D19=0,"",VLOOKUP($C19,$V:$AL,COLUMNS($C$4:Q18),0))</f>
        <v/>
      </c>
      <c r="R19" s="255" t="str">
        <f>+IF($D19=0,"",VLOOKUP($C19,$V:$AL,COLUMNS($C$4:R18),0))</f>
        <v/>
      </c>
      <c r="S19" s="86" t="str">
        <f>+IF($D19=0,"",VLOOKUP($C19,$V:$AL,COLUMNS($C$4:S18),0))</f>
        <v/>
      </c>
      <c r="T19" s="81"/>
      <c r="U19" s="116"/>
      <c r="V19" s="266">
        <f t="shared" si="0"/>
        <v>5</v>
      </c>
      <c r="W19" s="274">
        <f>Resultado!B21</f>
        <v>0</v>
      </c>
      <c r="X19" s="268">
        <f>+SUMIFS(Resultado!21:21,Resultado!$1:$1,ClasificaciónPorra!X$4)</f>
        <v>0</v>
      </c>
      <c r="Y19" s="268">
        <f>+SUMIFS(Resultado!21:21,Resultado!$1:$1,ClasificaciónPorra!Y$4)</f>
        <v>0</v>
      </c>
      <c r="Z19" s="268">
        <f>+SUMIFS(Resultado!21:21,Resultado!$1:$1,ClasificaciónPorra!Z$4)</f>
        <v>0</v>
      </c>
      <c r="AA19" s="268">
        <f>+SUMIFS(Resultado!21:21,Resultado!$1:$1,ClasificaciónPorra!AA$4)</f>
        <v>0</v>
      </c>
      <c r="AB19" s="268">
        <f>+SUMIFS(Resultado!21:21,Resultado!$1:$1,ClasificaciónPorra!AB$4)</f>
        <v>0</v>
      </c>
      <c r="AC19" s="268">
        <f>+SUMIFS(Resultado!21:21,Resultado!$1:$1,ClasificaciónPorra!AC$4)</f>
        <v>0</v>
      </c>
      <c r="AD19" s="268">
        <f>+SUMIFS(Resultado!21:21,Resultado!$1:$1,ClasificaciónPorra!AD$4)</f>
        <v>0</v>
      </c>
      <c r="AE19" s="268">
        <f>+SUMIFS(Resultado!21:21,Resultado!$1:$1,ClasificaciónPorra!AE$4)</f>
        <v>0</v>
      </c>
      <c r="AF19" s="268">
        <f t="shared" si="3"/>
        <v>0</v>
      </c>
      <c r="AG19" s="268">
        <f>+SUMIFS(Resultado!21:21,Resultado!$1:$1,ClasificaciónPorra!AG$4)</f>
        <v>0</v>
      </c>
      <c r="AH19" s="268">
        <f>+SUMIFS(Resultado!21:21,Resultado!$1:$1,ClasificaciónPorra!AH$4)</f>
        <v>0</v>
      </c>
      <c r="AI19" s="268">
        <f>+SUMIFS(Resultado!21:21,Resultado!$1:$1,ClasificaciónPorra!AI$4)</f>
        <v>0</v>
      </c>
      <c r="AJ19" s="268">
        <f>+SUMIFS(Resultado!21:21,Resultado!$1:$1,ClasificaciónPorra!AJ$4)</f>
        <v>0</v>
      </c>
      <c r="AK19" s="270">
        <f t="shared" si="4"/>
        <v>0</v>
      </c>
      <c r="AL19" s="269">
        <f t="shared" si="1"/>
        <v>1.9E-3</v>
      </c>
    </row>
    <row r="20" spans="3:38" s="78" customFormat="1" x14ac:dyDescent="0.25">
      <c r="C20" s="224">
        <f t="shared" si="2"/>
        <v>16</v>
      </c>
      <c r="D20" s="225">
        <f>+VLOOKUP($C20,$V:$AL,COLUMNS($C$4:D19),0)</f>
        <v>0</v>
      </c>
      <c r="E20" s="117" t="str">
        <f>+IF($D20=0,"",VLOOKUP($C20,$V:$AL,COLUMNS($C$4:E19),0))</f>
        <v/>
      </c>
      <c r="F20" s="118" t="str">
        <f>+IF($D20=0,"",VLOOKUP($C20,$V:$AL,COLUMNS($C$4:F19),0))</f>
        <v/>
      </c>
      <c r="G20" s="118" t="str">
        <f>+IF($D20=0,"",VLOOKUP($C20,$V:$AL,COLUMNS($C$4:G19),0))</f>
        <v/>
      </c>
      <c r="H20" s="118" t="str">
        <f>+IF($D20=0,"",VLOOKUP($C20,$V:$AL,COLUMNS($C$4:H19),0))</f>
        <v/>
      </c>
      <c r="I20" s="118" t="str">
        <f>+IF($D20=0,"",VLOOKUP($C20,$V:$AL,COLUMNS($C$4:I19),0))</f>
        <v/>
      </c>
      <c r="J20" s="118" t="str">
        <f>+IF($D20=0,"",VLOOKUP($C20,$V:$AL,COLUMNS($C$4:J19),0))</f>
        <v/>
      </c>
      <c r="K20" s="118" t="str">
        <f>+IF($D20=0,"",VLOOKUP($C20,$V:$AL,COLUMNS($C$4:K19),0))</f>
        <v/>
      </c>
      <c r="L20" s="118" t="str">
        <f>+IF($D20=0,"",VLOOKUP($C20,$V:$AL,COLUMNS($C$4:L19),0))</f>
        <v/>
      </c>
      <c r="M20" s="120" t="str">
        <f>+IF($D20=0,"",VLOOKUP($C20,$V:$AL,COLUMNS($C$4:M19),0))</f>
        <v/>
      </c>
      <c r="N20" s="81" t="str">
        <f>+IF($D20=0,"",VLOOKUP($C20,$V:$AL,COLUMNS($C$4:N19),0))</f>
        <v/>
      </c>
      <c r="O20" s="81" t="str">
        <f>+IF($D20=0,"",VLOOKUP($C20,$V:$AL,COLUMNS($C$4:O19),0))</f>
        <v/>
      </c>
      <c r="P20" s="81" t="str">
        <f>+IF($D20=0,"",VLOOKUP($C20,$V:$AL,COLUMNS($C$4:P19),0))</f>
        <v/>
      </c>
      <c r="Q20" s="81" t="str">
        <f>+IF($D20=0,"",VLOOKUP($C20,$V:$AL,COLUMNS($C$4:Q19),0))</f>
        <v/>
      </c>
      <c r="R20" s="253" t="str">
        <f>+IF($D20=0,"",VLOOKUP($C20,$V:$AL,COLUMNS($C$4:R19),0))</f>
        <v/>
      </c>
      <c r="S20" s="82" t="str">
        <f>+IF($D20=0,"",VLOOKUP($C20,$V:$AL,COLUMNS($C$4:S19),0))</f>
        <v/>
      </c>
      <c r="T20" s="81"/>
      <c r="U20" s="116"/>
      <c r="V20" s="266">
        <f t="shared" ref="V20:V23" si="5">+_xlfn.RANK.EQ(AL20,$AL$5:$AL$23)</f>
        <v>4</v>
      </c>
      <c r="W20" s="274">
        <f>Resultado!B22</f>
        <v>0</v>
      </c>
      <c r="X20" s="268">
        <f>+SUMIFS(Resultado!22:22,Resultado!$1:$1,ClasificaciónPorra!X$4)</f>
        <v>0</v>
      </c>
      <c r="Y20" s="268">
        <f>+SUMIFS(Resultado!22:22,Resultado!$1:$1,ClasificaciónPorra!Y$4)</f>
        <v>0</v>
      </c>
      <c r="Z20" s="268">
        <f>+SUMIFS(Resultado!22:22,Resultado!$1:$1,ClasificaciónPorra!Z$4)</f>
        <v>0</v>
      </c>
      <c r="AA20" s="268">
        <f>+SUMIFS(Resultado!22:22,Resultado!$1:$1,ClasificaciónPorra!AA$4)</f>
        <v>0</v>
      </c>
      <c r="AB20" s="268">
        <f>+SUMIFS(Resultado!22:22,Resultado!$1:$1,ClasificaciónPorra!AB$4)</f>
        <v>0</v>
      </c>
      <c r="AC20" s="268">
        <f>+SUMIFS(Resultado!22:22,Resultado!$1:$1,ClasificaciónPorra!AC$4)</f>
        <v>0</v>
      </c>
      <c r="AD20" s="268">
        <f>+SUMIFS(Resultado!22:22,Resultado!$1:$1,ClasificaciónPorra!AD$4)</f>
        <v>0</v>
      </c>
      <c r="AE20" s="268">
        <f>+SUMIFS(Resultado!22:22,Resultado!$1:$1,ClasificaciónPorra!AE$4)</f>
        <v>0</v>
      </c>
      <c r="AF20" s="268">
        <f t="shared" ref="AF20:AF23" si="6">+SUM(X20:AE20)</f>
        <v>0</v>
      </c>
      <c r="AG20" s="268">
        <f>+SUMIFS(Resultado!22:22,Resultado!$1:$1,ClasificaciónPorra!AG$4)</f>
        <v>0</v>
      </c>
      <c r="AH20" s="268">
        <f>+SUMIFS(Resultado!22:22,Resultado!$1:$1,ClasificaciónPorra!AH$4)</f>
        <v>0</v>
      </c>
      <c r="AI20" s="268">
        <f>+SUMIFS(Resultado!22:22,Resultado!$1:$1,ClasificaciónPorra!AI$4)</f>
        <v>0</v>
      </c>
      <c r="AJ20" s="268">
        <f>+SUMIFS(Resultado!22:22,Resultado!$1:$1,ClasificaciónPorra!AJ$4)</f>
        <v>0</v>
      </c>
      <c r="AK20" s="270">
        <f t="shared" ref="AK20:AK23" si="7">+SUM(AG20:AJ20)</f>
        <v>0</v>
      </c>
      <c r="AL20" s="269">
        <f t="shared" ref="AL20:AL23" si="8">+IF(W20=0,0+ROW()/10000,AK20+AF20+ROW()/1000)</f>
        <v>2E-3</v>
      </c>
    </row>
    <row r="21" spans="3:38" s="78" customFormat="1" x14ac:dyDescent="0.25">
      <c r="C21" s="224">
        <f t="shared" si="2"/>
        <v>17</v>
      </c>
      <c r="D21" s="225">
        <f>+VLOOKUP($C21,$V:$AL,COLUMNS($C$4:D20),0)</f>
        <v>0</v>
      </c>
      <c r="E21" s="117" t="str">
        <f>+IF($D21=0,"",VLOOKUP($C21,$V:$AL,COLUMNS($C$4:E20),0))</f>
        <v/>
      </c>
      <c r="F21" s="118" t="str">
        <f>+IF($D21=0,"",VLOOKUP($C21,$V:$AL,COLUMNS($C$4:F20),0))</f>
        <v/>
      </c>
      <c r="G21" s="118" t="str">
        <f>+IF($D21=0,"",VLOOKUP($C21,$V:$AL,COLUMNS($C$4:G20),0))</f>
        <v/>
      </c>
      <c r="H21" s="118" t="str">
        <f>+IF($D21=0,"",VLOOKUP($C21,$V:$AL,COLUMNS($C$4:H20),0))</f>
        <v/>
      </c>
      <c r="I21" s="118" t="str">
        <f>+IF($D21=0,"",VLOOKUP($C21,$V:$AL,COLUMNS($C$4:I20),0))</f>
        <v/>
      </c>
      <c r="J21" s="118" t="str">
        <f>+IF($D21=0,"",VLOOKUP($C21,$V:$AL,COLUMNS($C$4:J20),0))</f>
        <v/>
      </c>
      <c r="K21" s="118" t="str">
        <f>+IF($D21=0,"",VLOOKUP($C21,$V:$AL,COLUMNS($C$4:K20),0))</f>
        <v/>
      </c>
      <c r="L21" s="118" t="str">
        <f>+IF($D21=0,"",VLOOKUP($C21,$V:$AL,COLUMNS($C$4:L20),0))</f>
        <v/>
      </c>
      <c r="M21" s="120" t="str">
        <f>+IF($D21=0,"",VLOOKUP($C21,$V:$AL,COLUMNS($C$4:M20),0))</f>
        <v/>
      </c>
      <c r="N21" s="81" t="str">
        <f>+IF($D21=0,"",VLOOKUP($C21,$V:$AL,COLUMNS($C$4:N20),0))</f>
        <v/>
      </c>
      <c r="O21" s="81" t="str">
        <f>+IF($D21=0,"",VLOOKUP($C21,$V:$AL,COLUMNS($C$4:O20),0))</f>
        <v/>
      </c>
      <c r="P21" s="81" t="str">
        <f>+IF($D21=0,"",VLOOKUP($C21,$V:$AL,COLUMNS($C$4:P20),0))</f>
        <v/>
      </c>
      <c r="Q21" s="81" t="str">
        <f>+IF($D21=0,"",VLOOKUP($C21,$V:$AL,COLUMNS($C$4:Q20),0))</f>
        <v/>
      </c>
      <c r="R21" s="253" t="str">
        <f>+IF($D21=0,"",VLOOKUP($C21,$V:$AL,COLUMNS($C$4:R20),0))</f>
        <v/>
      </c>
      <c r="S21" s="82" t="str">
        <f>+IF($D21=0,"",VLOOKUP($C21,$V:$AL,COLUMNS($C$4:S20),0))</f>
        <v/>
      </c>
      <c r="T21" s="81"/>
      <c r="U21" s="116"/>
      <c r="V21" s="266">
        <f t="shared" si="5"/>
        <v>3</v>
      </c>
      <c r="W21" s="274">
        <f>Resultado!B23</f>
        <v>0</v>
      </c>
      <c r="X21" s="268">
        <f>+SUMIFS(Resultado!23:23,Resultado!$1:$1,ClasificaciónPorra!X$4)</f>
        <v>0</v>
      </c>
      <c r="Y21" s="268">
        <f>+SUMIFS(Resultado!23:23,Resultado!$1:$1,ClasificaciónPorra!Y$4)</f>
        <v>0</v>
      </c>
      <c r="Z21" s="268">
        <f>+SUMIFS(Resultado!23:23,Resultado!$1:$1,ClasificaciónPorra!Z$4)</f>
        <v>0</v>
      </c>
      <c r="AA21" s="268">
        <f>+SUMIFS(Resultado!23:23,Resultado!$1:$1,ClasificaciónPorra!AA$4)</f>
        <v>0</v>
      </c>
      <c r="AB21" s="268">
        <f>+SUMIFS(Resultado!23:23,Resultado!$1:$1,ClasificaciónPorra!AB$4)</f>
        <v>0</v>
      </c>
      <c r="AC21" s="268">
        <f>+SUMIFS(Resultado!23:23,Resultado!$1:$1,ClasificaciónPorra!AC$4)</f>
        <v>0</v>
      </c>
      <c r="AD21" s="268">
        <f>+SUMIFS(Resultado!23:23,Resultado!$1:$1,ClasificaciónPorra!AD$4)</f>
        <v>0</v>
      </c>
      <c r="AE21" s="268">
        <f>+SUMIFS(Resultado!23:23,Resultado!$1:$1,ClasificaciónPorra!AE$4)</f>
        <v>0</v>
      </c>
      <c r="AF21" s="268">
        <f t="shared" si="6"/>
        <v>0</v>
      </c>
      <c r="AG21" s="268">
        <f>+SUMIFS(Resultado!23:23,Resultado!$1:$1,ClasificaciónPorra!AG$4)</f>
        <v>0</v>
      </c>
      <c r="AH21" s="268">
        <f>+SUMIFS(Resultado!23:23,Resultado!$1:$1,ClasificaciónPorra!AH$4)</f>
        <v>0</v>
      </c>
      <c r="AI21" s="268">
        <f>+SUMIFS(Resultado!23:23,Resultado!$1:$1,ClasificaciónPorra!AI$4)</f>
        <v>0</v>
      </c>
      <c r="AJ21" s="268">
        <f>+SUMIFS(Resultado!23:23,Resultado!$1:$1,ClasificaciónPorra!AJ$4)</f>
        <v>0</v>
      </c>
      <c r="AK21" s="270">
        <f t="shared" si="7"/>
        <v>0</v>
      </c>
      <c r="AL21" s="269">
        <f t="shared" si="8"/>
        <v>2.0999999999999999E-3</v>
      </c>
    </row>
    <row r="22" spans="3:38" s="78" customFormat="1" x14ac:dyDescent="0.25">
      <c r="C22" s="224">
        <f t="shared" si="2"/>
        <v>18</v>
      </c>
      <c r="D22" s="225">
        <f>+VLOOKUP($C22,$V:$AL,COLUMNS($C$4:D21),0)</f>
        <v>0</v>
      </c>
      <c r="E22" s="117" t="str">
        <f>+IF($D22=0,"",VLOOKUP($C22,$V:$AL,COLUMNS($C$4:E21),0))</f>
        <v/>
      </c>
      <c r="F22" s="118" t="str">
        <f>+IF($D22=0,"",VLOOKUP($C22,$V:$AL,COLUMNS($C$4:F21),0))</f>
        <v/>
      </c>
      <c r="G22" s="118" t="str">
        <f>+IF($D22=0,"",VLOOKUP($C22,$V:$AL,COLUMNS($C$4:G21),0))</f>
        <v/>
      </c>
      <c r="H22" s="118" t="str">
        <f>+IF($D22=0,"",VLOOKUP($C22,$V:$AL,COLUMNS($C$4:H21),0))</f>
        <v/>
      </c>
      <c r="I22" s="118" t="str">
        <f>+IF($D22=0,"",VLOOKUP($C22,$V:$AL,COLUMNS($C$4:I21),0))</f>
        <v/>
      </c>
      <c r="J22" s="118" t="str">
        <f>+IF($D22=0,"",VLOOKUP($C22,$V:$AL,COLUMNS($C$4:J21),0))</f>
        <v/>
      </c>
      <c r="K22" s="118" t="str">
        <f>+IF($D22=0,"",VLOOKUP($C22,$V:$AL,COLUMNS($C$4:K21),0))</f>
        <v/>
      </c>
      <c r="L22" s="118" t="str">
        <f>+IF($D22=0,"",VLOOKUP($C22,$V:$AL,COLUMNS($C$4:L21),0))</f>
        <v/>
      </c>
      <c r="M22" s="120" t="str">
        <f>+IF($D22=0,"",VLOOKUP($C22,$V:$AL,COLUMNS($C$4:M21),0))</f>
        <v/>
      </c>
      <c r="N22" s="81" t="str">
        <f>+IF($D22=0,"",VLOOKUP($C22,$V:$AL,COLUMNS($C$4:N21),0))</f>
        <v/>
      </c>
      <c r="O22" s="81" t="str">
        <f>+IF($D22=0,"",VLOOKUP($C22,$V:$AL,COLUMNS($C$4:O21),0))</f>
        <v/>
      </c>
      <c r="P22" s="81" t="str">
        <f>+IF($D22=0,"",VLOOKUP($C22,$V:$AL,COLUMNS($C$4:P21),0))</f>
        <v/>
      </c>
      <c r="Q22" s="81" t="str">
        <f>+IF($D22=0,"",VLOOKUP($C22,$V:$AL,COLUMNS($C$4:Q21),0))</f>
        <v/>
      </c>
      <c r="R22" s="253" t="str">
        <f>+IF($D22=0,"",VLOOKUP($C22,$V:$AL,COLUMNS($C$4:R21),0))</f>
        <v/>
      </c>
      <c r="S22" s="82" t="str">
        <f>+IF($D22=0,"",VLOOKUP($C22,$V:$AL,COLUMNS($C$4:S21),0))</f>
        <v/>
      </c>
      <c r="T22" s="81"/>
      <c r="U22" s="116"/>
      <c r="V22" s="266">
        <f t="shared" si="5"/>
        <v>2</v>
      </c>
      <c r="W22" s="274">
        <f>Resultado!B24</f>
        <v>0</v>
      </c>
      <c r="X22" s="268">
        <f>+SUMIFS(Resultado!24:24,Resultado!$1:$1,ClasificaciónPorra!X$4)</f>
        <v>0</v>
      </c>
      <c r="Y22" s="268">
        <f>+SUMIFS(Resultado!24:24,Resultado!$1:$1,ClasificaciónPorra!Y$4)</f>
        <v>0</v>
      </c>
      <c r="Z22" s="268">
        <f>+SUMIFS(Resultado!24:24,Resultado!$1:$1,ClasificaciónPorra!Z$4)</f>
        <v>0</v>
      </c>
      <c r="AA22" s="268">
        <f>+SUMIFS(Resultado!24:24,Resultado!$1:$1,ClasificaciónPorra!AA$4)</f>
        <v>0</v>
      </c>
      <c r="AB22" s="268">
        <f>+SUMIFS(Resultado!24:24,Resultado!$1:$1,ClasificaciónPorra!AB$4)</f>
        <v>0</v>
      </c>
      <c r="AC22" s="268">
        <f>+SUMIFS(Resultado!24:24,Resultado!$1:$1,ClasificaciónPorra!AC$4)</f>
        <v>0</v>
      </c>
      <c r="AD22" s="268">
        <f>+SUMIFS(Resultado!24:24,Resultado!$1:$1,ClasificaciónPorra!AD$4)</f>
        <v>0</v>
      </c>
      <c r="AE22" s="268">
        <f>+SUMIFS(Resultado!24:24,Resultado!$1:$1,ClasificaciónPorra!AE$4)</f>
        <v>0</v>
      </c>
      <c r="AF22" s="268">
        <f t="shared" si="6"/>
        <v>0</v>
      </c>
      <c r="AG22" s="268">
        <f>+SUMIFS(Resultado!24:24,Resultado!$1:$1,ClasificaciónPorra!AG$4)</f>
        <v>0</v>
      </c>
      <c r="AH22" s="268">
        <f>+SUMIFS(Resultado!24:24,Resultado!$1:$1,ClasificaciónPorra!AH$4)</f>
        <v>0</v>
      </c>
      <c r="AI22" s="268">
        <f>+SUMIFS(Resultado!24:24,Resultado!$1:$1,ClasificaciónPorra!AI$4)</f>
        <v>0</v>
      </c>
      <c r="AJ22" s="268">
        <f>+SUMIFS(Resultado!24:24,Resultado!$1:$1,ClasificaciónPorra!AJ$4)</f>
        <v>0</v>
      </c>
      <c r="AK22" s="270">
        <f t="shared" si="7"/>
        <v>0</v>
      </c>
      <c r="AL22" s="269">
        <f t="shared" si="8"/>
        <v>2.2000000000000001E-3</v>
      </c>
    </row>
    <row r="23" spans="3:38" s="78" customFormat="1" x14ac:dyDescent="0.25">
      <c r="C23" s="224">
        <f t="shared" si="2"/>
        <v>19</v>
      </c>
      <c r="D23" s="226">
        <f>+VLOOKUP($C23,$V:$AL,COLUMNS($C$4:D22),0)</f>
        <v>0</v>
      </c>
      <c r="E23" s="121" t="str">
        <f>+IF($D23=0,"",VLOOKUP($C23,$V:$AL,COLUMNS($C$4:E22),0))</f>
        <v/>
      </c>
      <c r="F23" s="122" t="str">
        <f>+IF($D23=0,"",VLOOKUP($C23,$V:$AL,COLUMNS($C$4:F22),0))</f>
        <v/>
      </c>
      <c r="G23" s="122" t="str">
        <f>+IF($D23=0,"",VLOOKUP($C23,$V:$AL,COLUMNS($C$4:G22),0))</f>
        <v/>
      </c>
      <c r="H23" s="122" t="str">
        <f>+IF($D23=0,"",VLOOKUP($C23,$V:$AL,COLUMNS($C$4:H22),0))</f>
        <v/>
      </c>
      <c r="I23" s="122" t="str">
        <f>+IF($D23=0,"",VLOOKUP($C23,$V:$AL,COLUMNS($C$4:I22),0))</f>
        <v/>
      </c>
      <c r="J23" s="122" t="str">
        <f>+IF($D23=0,"",VLOOKUP($C23,$V:$AL,COLUMNS($C$4:J22),0))</f>
        <v/>
      </c>
      <c r="K23" s="122" t="str">
        <f>+IF($D23=0,"",VLOOKUP($C23,$V:$AL,COLUMNS($C$4:K22),0))</f>
        <v/>
      </c>
      <c r="L23" s="122" t="str">
        <f>+IF($D23=0,"",VLOOKUP($C23,$V:$AL,COLUMNS($C$4:L22),0))</f>
        <v/>
      </c>
      <c r="M23" s="123" t="str">
        <f>+IF($D23=0,"",VLOOKUP($C23,$V:$AL,COLUMNS($C$4:M22),0))</f>
        <v/>
      </c>
      <c r="N23" s="83" t="str">
        <f>+IF($D23=0,"",VLOOKUP($C23,$V:$AL,COLUMNS($C$4:N22),0))</f>
        <v/>
      </c>
      <c r="O23" s="83" t="str">
        <f>+IF($D23=0,"",VLOOKUP($C23,$V:$AL,COLUMNS($C$4:O22),0))</f>
        <v/>
      </c>
      <c r="P23" s="83" t="str">
        <f>+IF($D23=0,"",VLOOKUP($C23,$V:$AL,COLUMNS($C$4:P22),0))</f>
        <v/>
      </c>
      <c r="Q23" s="83" t="str">
        <f>+IF($D23=0,"",VLOOKUP($C23,$V:$AL,COLUMNS($C$4:Q22),0))</f>
        <v/>
      </c>
      <c r="R23" s="254" t="str">
        <f>+IF($D23=0,"",VLOOKUP($C23,$V:$AL,COLUMNS($C$4:R22),0))</f>
        <v/>
      </c>
      <c r="S23" s="84" t="str">
        <f>+IF($D23=0,"",VLOOKUP($C23,$V:$AL,COLUMNS($C$4:S22),0))</f>
        <v/>
      </c>
      <c r="T23"/>
      <c r="U23" s="116"/>
      <c r="V23" s="266">
        <f t="shared" si="5"/>
        <v>1</v>
      </c>
      <c r="W23" s="274">
        <f>Resultado!B25</f>
        <v>0</v>
      </c>
      <c r="X23" s="268">
        <f>+SUMIFS(Resultado!25:25,Resultado!$1:$1,ClasificaciónPorra!X$4)</f>
        <v>0</v>
      </c>
      <c r="Y23" s="268">
        <f>+SUMIFS(Resultado!25:25,Resultado!$1:$1,ClasificaciónPorra!Y$4)</f>
        <v>0</v>
      </c>
      <c r="Z23" s="268">
        <f>+SUMIFS(Resultado!25:25,Resultado!$1:$1,ClasificaciónPorra!Z$4)</f>
        <v>0</v>
      </c>
      <c r="AA23" s="268">
        <f>+SUMIFS(Resultado!25:25,Resultado!$1:$1,ClasificaciónPorra!AA$4)</f>
        <v>0</v>
      </c>
      <c r="AB23" s="268">
        <f>+SUMIFS(Resultado!25:25,Resultado!$1:$1,ClasificaciónPorra!AB$4)</f>
        <v>0</v>
      </c>
      <c r="AC23" s="268">
        <f>+SUMIFS(Resultado!25:25,Resultado!$1:$1,ClasificaciónPorra!AC$4)</f>
        <v>0</v>
      </c>
      <c r="AD23" s="268">
        <f>+SUMIFS(Resultado!25:25,Resultado!$1:$1,ClasificaciónPorra!AD$4)</f>
        <v>0</v>
      </c>
      <c r="AE23" s="268">
        <f>+SUMIFS(Resultado!25:25,Resultado!$1:$1,ClasificaciónPorra!AE$4)</f>
        <v>0</v>
      </c>
      <c r="AF23" s="268">
        <f t="shared" si="6"/>
        <v>0</v>
      </c>
      <c r="AG23" s="268">
        <f>+SUMIFS(Resultado!25:25,Resultado!$1:$1,ClasificaciónPorra!AG$4)</f>
        <v>0</v>
      </c>
      <c r="AH23" s="268">
        <f>+SUMIFS(Resultado!25:25,Resultado!$1:$1,ClasificaciónPorra!AH$4)</f>
        <v>0</v>
      </c>
      <c r="AI23" s="268">
        <f>+SUMIFS(Resultado!25:25,Resultado!$1:$1,ClasificaciónPorra!AI$4)</f>
        <v>0</v>
      </c>
      <c r="AJ23" s="268">
        <f>+SUMIFS(Resultado!25:25,Resultado!$1:$1,ClasificaciónPorra!AJ$4)</f>
        <v>0</v>
      </c>
      <c r="AK23" s="270">
        <f t="shared" si="7"/>
        <v>0</v>
      </c>
      <c r="AL23" s="269">
        <f t="shared" si="8"/>
        <v>2.3E-3</v>
      </c>
    </row>
    <row r="24" spans="3:38" x14ac:dyDescent="0.25">
      <c r="V24" s="266"/>
      <c r="W24" s="268"/>
      <c r="X24" s="268"/>
      <c r="Y24" s="268"/>
      <c r="Z24" s="268"/>
      <c r="AA24" s="268"/>
      <c r="AB24" s="268"/>
      <c r="AC24" s="268"/>
      <c r="AD24" s="268"/>
      <c r="AE24" s="268"/>
      <c r="AF24" s="268"/>
      <c r="AG24" s="269"/>
      <c r="AH24" s="269"/>
      <c r="AI24" s="269"/>
      <c r="AJ24" s="270"/>
      <c r="AK24" s="270"/>
      <c r="AL24" s="269"/>
    </row>
    <row r="25" spans="3:38" x14ac:dyDescent="0.25">
      <c r="O25" s="81"/>
    </row>
    <row r="27" spans="3:38" ht="15.75" thickBot="1" x14ac:dyDescent="0.3">
      <c r="V27"/>
    </row>
    <row r="28" spans="3:38" ht="14.25" customHeight="1" x14ac:dyDescent="0.25">
      <c r="V28" s="294" t="s">
        <v>134</v>
      </c>
    </row>
    <row r="29" spans="3:38" ht="14.25" customHeight="1" thickBot="1" x14ac:dyDescent="0.3">
      <c r="V29" s="295"/>
    </row>
    <row r="30" spans="3:38" x14ac:dyDescent="0.25">
      <c r="V30" s="296" t="s">
        <v>135</v>
      </c>
      <c r="W30" s="48"/>
    </row>
    <row r="31" spans="3:38" ht="15.75" thickBot="1" x14ac:dyDescent="0.3">
      <c r="V31" s="297"/>
    </row>
    <row r="32" spans="3:38" x14ac:dyDescent="0.25">
      <c r="V32"/>
    </row>
  </sheetData>
  <mergeCells count="4">
    <mergeCell ref="V28:V29"/>
    <mergeCell ref="E3:P3"/>
    <mergeCell ref="A1:T1"/>
    <mergeCell ref="V30:V31"/>
  </mergeCells>
  <conditionalFormatting sqref="E5:M23 R5:S23">
    <cfRule type="expression" dxfId="31" priority="320">
      <formula>AND(E5=MAX(E$5:E$23),E5&lt;&gt;0)</formula>
    </cfRule>
  </conditionalFormatting>
  <conditionalFormatting sqref="M5:M23 R5:S23">
    <cfRule type="expression" dxfId="30" priority="326">
      <formula>AND(M5=_xlfn.MINIFS(M$5:M$23,M$5:M$23,"&gt;0"),M5&lt;&gt;0)</formula>
    </cfRule>
  </conditionalFormatting>
  <conditionalFormatting sqref="V28:V31">
    <cfRule type="expression" dxfId="29" priority="1">
      <formula>$L31&lt;&gt;""</formula>
    </cfRule>
    <cfRule type="expression" dxfId="28" priority="2">
      <formula>AND($L31&lt;&gt;"",$L32="")</formula>
    </cfRule>
  </conditionalFormatting>
  <hyperlinks>
    <hyperlink ref="V30:V31" r:id="rId1" display="Vídeo YouTube" xr:uid="{CB9549D2-C66A-4ADD-95A3-09C9FEF56454}"/>
    <hyperlink ref="V30" r:id="rId2" display="Aprendiz de Excel" xr:uid="{59D1BD55-EF81-4DAF-A8D7-1FBD037C43D4}"/>
    <hyperlink ref="V28" r:id="rId3" display="Aprendiz de Excel" xr:uid="{2B22E189-3004-4D00-9F39-F32A360954A2}"/>
  </hyperlinks>
  <pageMargins left="0.7" right="0.7" top="0.75" bottom="0.75" header="0.3" footer="0.3"/>
  <pageSetup paperSize="9" orientation="portrait" r:id="rId4"/>
  <drawing r:id="rId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332C9-1E43-4D20-B8E8-89E7F565F63E}">
  <sheetPr codeName="Hoja15"/>
  <dimension ref="A1:BK150"/>
  <sheetViews>
    <sheetView showGridLines="0" zoomScale="85" zoomScaleNormal="85" workbookViewId="0">
      <selection activeCell="A3" sqref="A3"/>
    </sheetView>
  </sheetViews>
  <sheetFormatPr baseColWidth="10" defaultRowHeight="15" x14ac:dyDescent="0.25"/>
  <cols>
    <col min="1" max="1" width="3.5703125" customWidth="1"/>
    <col min="2" max="2" width="2.5703125" customWidth="1"/>
    <col min="3" max="3" width="15.5703125" customWidth="1"/>
    <col min="4" max="4" width="0.85546875" customWidth="1"/>
    <col min="5" max="5" width="3" customWidth="1"/>
    <col min="6" max="6" width="10.5703125" customWidth="1"/>
    <col min="7" max="7" width="4" customWidth="1"/>
    <col min="8" max="8" width="0.85546875" customWidth="1"/>
    <col min="9" max="9" width="7.5703125" customWidth="1"/>
    <col min="10" max="10" width="0.85546875" customWidth="1"/>
    <col min="11" max="11" width="4" customWidth="1"/>
    <col min="12" max="12" width="10.5703125" customWidth="1"/>
    <col min="13" max="13" width="3" customWidth="1"/>
    <col min="14" max="15" width="0.85546875" customWidth="1"/>
    <col min="16" max="16" width="3" customWidth="1"/>
    <col min="17" max="17" width="10.5703125" customWidth="1"/>
    <col min="18" max="18" width="4" customWidth="1"/>
    <col min="19" max="19" width="0.85546875" customWidth="1"/>
    <col min="20" max="20" width="7.5703125" customWidth="1"/>
    <col min="21" max="21" width="0.85546875" customWidth="1"/>
    <col min="22" max="22" width="4" customWidth="1"/>
    <col min="23" max="23" width="10.5703125" customWidth="1"/>
    <col min="24" max="24" width="3" customWidth="1"/>
    <col min="25" max="26" width="0.85546875" customWidth="1"/>
    <col min="27" max="27" width="3" customWidth="1"/>
    <col min="28" max="28" width="10.5703125" customWidth="1"/>
    <col min="29" max="29" width="4" customWidth="1"/>
    <col min="30" max="30" width="0.85546875" customWidth="1"/>
    <col min="31" max="31" width="7.5703125" customWidth="1"/>
    <col min="32" max="32" width="0.85546875" customWidth="1"/>
    <col min="33" max="33" width="4" customWidth="1"/>
    <col min="34" max="34" width="10.5703125" customWidth="1"/>
    <col min="35" max="35" width="3" customWidth="1"/>
    <col min="36" max="37" width="0.85546875" customWidth="1"/>
    <col min="38" max="38" width="3" customWidth="1"/>
    <col min="39" max="39" width="10.5703125" customWidth="1"/>
    <col min="40" max="40" width="4" customWidth="1"/>
    <col min="41" max="41" width="1.5703125" customWidth="1"/>
    <col min="42" max="42" width="7.5703125" customWidth="1"/>
    <col min="43" max="43" width="0.85546875" customWidth="1"/>
    <col min="44" max="44" width="4" customWidth="1"/>
    <col min="45" max="45" width="10.5703125" customWidth="1"/>
    <col min="46" max="46" width="3" customWidth="1"/>
    <col min="47" max="47" width="0.85546875" customWidth="1"/>
    <col min="48" max="48" width="2.5703125" customWidth="1"/>
    <col min="50" max="50" width="2.5703125" customWidth="1"/>
    <col min="51" max="51" width="14" customWidth="1"/>
    <col min="52" max="59" width="19.7109375" customWidth="1"/>
    <col min="60" max="60" width="2.5703125" customWidth="1"/>
    <col min="62" max="62" width="18.85546875" style="127" bestFit="1" customWidth="1"/>
    <col min="63" max="63" width="10.7109375" style="127"/>
  </cols>
  <sheetData>
    <row r="1" spans="1:63" s="153" customFormat="1" ht="27.75" customHeight="1" x14ac:dyDescent="0.25">
      <c r="A1" s="210" t="s">
        <v>314</v>
      </c>
      <c r="B1" s="211"/>
      <c r="C1" s="211"/>
      <c r="D1" s="211"/>
      <c r="E1" s="211"/>
      <c r="F1" s="211"/>
      <c r="G1" s="211"/>
      <c r="H1" s="211"/>
      <c r="I1" s="211"/>
      <c r="J1" s="211"/>
      <c r="K1" s="211"/>
      <c r="L1" s="211"/>
      <c r="M1" s="211"/>
      <c r="N1" s="211"/>
      <c r="O1" s="211"/>
      <c r="P1" s="211"/>
      <c r="Q1" s="211"/>
      <c r="R1" s="211"/>
      <c r="S1" s="211"/>
      <c r="T1" s="211"/>
      <c r="U1" s="211"/>
      <c r="V1" s="211"/>
      <c r="W1" s="211"/>
      <c r="X1" s="211"/>
      <c r="Y1" s="211"/>
      <c r="Z1" s="211"/>
      <c r="AA1" s="211"/>
      <c r="AB1" s="211"/>
      <c r="AC1" s="211"/>
      <c r="AD1" s="211"/>
      <c r="AE1" s="211"/>
      <c r="AF1" s="211"/>
      <c r="AG1" s="211"/>
      <c r="AH1" s="211"/>
      <c r="AI1" s="211"/>
      <c r="AJ1" s="211"/>
      <c r="AK1" s="211"/>
      <c r="AL1" s="211"/>
      <c r="AM1" s="211"/>
      <c r="AN1" s="211"/>
      <c r="AO1" s="211"/>
      <c r="AP1" s="211"/>
      <c r="AQ1" s="211"/>
      <c r="AR1" s="211"/>
      <c r="AS1" s="211"/>
      <c r="AT1" s="211"/>
      <c r="AU1" s="211"/>
      <c r="AV1" s="211"/>
      <c r="AW1" s="211"/>
    </row>
    <row r="2" spans="1:63" ht="15" customHeight="1" x14ac:dyDescent="0.25">
      <c r="A2" s="105">
        <v>1</v>
      </c>
      <c r="C2" s="127"/>
      <c r="D2" s="127"/>
      <c r="E2" s="127"/>
      <c r="G2" s="127"/>
      <c r="H2" s="127"/>
      <c r="I2" s="127">
        <f>+A2</f>
        <v>1</v>
      </c>
      <c r="J2" s="127"/>
      <c r="K2" s="127"/>
      <c r="L2" s="127"/>
      <c r="M2" s="127"/>
      <c r="N2" s="127"/>
      <c r="O2" s="127"/>
      <c r="P2" s="127"/>
      <c r="Q2" s="127"/>
      <c r="R2" s="127"/>
      <c r="T2" s="127">
        <f>+I2+1</f>
        <v>2</v>
      </c>
      <c r="U2" s="127"/>
      <c r="V2" s="127"/>
      <c r="W2" s="127"/>
      <c r="X2" s="127"/>
      <c r="Y2" s="127"/>
      <c r="Z2" s="127"/>
      <c r="AA2" s="127"/>
      <c r="AB2" s="127"/>
      <c r="AC2" s="127"/>
      <c r="AE2" s="127">
        <f>+T2+1</f>
        <v>3</v>
      </c>
      <c r="AF2" s="127"/>
      <c r="AG2" s="127"/>
      <c r="AH2" s="127"/>
      <c r="AI2" s="127"/>
      <c r="AJ2" s="127"/>
      <c r="AK2" s="127"/>
      <c r="AL2" s="127"/>
      <c r="AM2" s="127"/>
      <c r="AN2" s="127"/>
      <c r="AP2" s="127">
        <f>+AE2+1</f>
        <v>4</v>
      </c>
      <c r="AQ2" s="127"/>
      <c r="AR2" s="127"/>
      <c r="AS2" s="127"/>
      <c r="AT2" s="127"/>
      <c r="AU2" s="127"/>
      <c r="AY2" s="106" t="s">
        <v>61</v>
      </c>
      <c r="AZ2" s="128"/>
      <c r="BA2" s="128"/>
      <c r="BB2" s="128"/>
      <c r="BC2" s="128"/>
      <c r="BD2" s="128"/>
      <c r="BE2" s="128"/>
      <c r="BF2" s="128"/>
      <c r="BG2" s="128"/>
      <c r="BJ2" s="127" t="s">
        <v>117</v>
      </c>
      <c r="BK2" s="127">
        <v>8</v>
      </c>
    </row>
    <row r="3" spans="1:63" ht="15" customHeight="1" thickBot="1" x14ac:dyDescent="0.3">
      <c r="C3" s="127"/>
      <c r="D3" s="127"/>
      <c r="E3" s="127"/>
      <c r="F3" s="127"/>
      <c r="G3" s="127"/>
      <c r="H3" s="127"/>
      <c r="I3" s="127"/>
      <c r="J3" s="127"/>
      <c r="K3" s="127"/>
      <c r="L3" s="127"/>
      <c r="M3" s="127"/>
      <c r="N3" s="127"/>
      <c r="O3" s="127"/>
      <c r="P3" s="127"/>
      <c r="Q3" s="127"/>
      <c r="R3" s="127"/>
      <c r="S3" s="127"/>
      <c r="T3" s="127"/>
      <c r="U3" s="127"/>
      <c r="V3" s="127"/>
      <c r="W3" s="127"/>
      <c r="X3" s="127"/>
      <c r="Y3" s="127"/>
      <c r="Z3" s="127"/>
      <c r="AA3" s="127"/>
      <c r="AB3" s="127"/>
      <c r="AC3" s="127"/>
      <c r="AD3" s="127"/>
      <c r="AE3" s="127"/>
      <c r="AF3" s="127"/>
      <c r="AG3" s="127"/>
      <c r="AH3" s="127"/>
      <c r="AI3" s="127"/>
      <c r="AJ3" s="127"/>
      <c r="AK3" s="127"/>
      <c r="AL3" s="127"/>
      <c r="AM3" s="127"/>
      <c r="AN3" s="127"/>
      <c r="AO3" s="127"/>
      <c r="AP3" s="127"/>
      <c r="AQ3" s="127"/>
      <c r="AR3" s="127"/>
      <c r="AS3" s="127"/>
      <c r="AT3" s="127"/>
      <c r="AU3" s="127"/>
      <c r="BJ3" s="127" t="s">
        <v>313</v>
      </c>
      <c r="BK3" s="127">
        <v>16</v>
      </c>
    </row>
    <row r="4" spans="1:63" ht="15" customHeight="1" thickBot="1" x14ac:dyDescent="0.3">
      <c r="B4" s="129"/>
      <c r="C4" s="130"/>
      <c r="D4" s="130"/>
      <c r="E4" s="130"/>
      <c r="F4" s="130"/>
      <c r="G4" s="130"/>
      <c r="H4" s="130"/>
      <c r="I4" s="130"/>
      <c r="J4" s="130"/>
      <c r="K4" s="130"/>
      <c r="L4" s="130"/>
      <c r="M4" s="130"/>
      <c r="N4" s="130"/>
      <c r="O4" s="130"/>
      <c r="P4" s="130"/>
      <c r="Q4" s="130"/>
      <c r="R4" s="130"/>
      <c r="S4" s="130"/>
      <c r="T4" s="130"/>
      <c r="U4" s="130"/>
      <c r="V4" s="130"/>
      <c r="W4" s="130"/>
      <c r="X4" s="130"/>
      <c r="Y4" s="130"/>
      <c r="Z4" s="130"/>
      <c r="AA4" s="130"/>
      <c r="AB4" s="130"/>
      <c r="AC4" s="130"/>
      <c r="AD4" s="130"/>
      <c r="AE4" s="130"/>
      <c r="AF4" s="130"/>
      <c r="AG4" s="130"/>
      <c r="AH4" s="130"/>
      <c r="AI4" s="130"/>
      <c r="AJ4" s="130"/>
      <c r="AK4" s="130"/>
      <c r="AL4" s="130"/>
      <c r="AM4" s="130"/>
      <c r="AN4" s="130"/>
      <c r="AO4" s="130"/>
      <c r="AP4" s="130"/>
      <c r="AQ4" s="130"/>
      <c r="AR4" s="130"/>
      <c r="AS4" s="130"/>
      <c r="AT4" s="130"/>
      <c r="AU4" s="130"/>
      <c r="AV4" s="131"/>
      <c r="AX4" s="129"/>
      <c r="AY4" s="132"/>
      <c r="AZ4" s="133"/>
      <c r="BA4" s="133"/>
      <c r="BB4" s="133"/>
      <c r="BC4" s="133"/>
      <c r="BD4" s="133"/>
      <c r="BE4" s="133"/>
      <c r="BF4" s="133"/>
      <c r="BG4" s="133"/>
      <c r="BH4" s="131"/>
      <c r="BJ4" s="127" t="s">
        <v>59</v>
      </c>
      <c r="BK4" s="127">
        <v>8</v>
      </c>
    </row>
    <row r="5" spans="1:63" ht="38.65" customHeight="1" x14ac:dyDescent="0.25">
      <c r="B5" s="134"/>
      <c r="C5" s="246"/>
      <c r="D5" s="327" t="s">
        <v>318</v>
      </c>
      <c r="E5" s="327"/>
      <c r="F5" s="327"/>
      <c r="G5" s="327"/>
      <c r="H5" s="327"/>
      <c r="I5" s="327"/>
      <c r="J5" s="327"/>
      <c r="K5" s="327"/>
      <c r="L5" s="327"/>
      <c r="M5" s="327"/>
      <c r="N5" s="327"/>
      <c r="O5" s="327"/>
      <c r="P5" s="327"/>
      <c r="Q5" s="327"/>
      <c r="R5" s="327"/>
      <c r="S5" s="327"/>
      <c r="T5" s="327"/>
      <c r="U5" s="327"/>
      <c r="V5" s="327"/>
      <c r="W5" s="327"/>
      <c r="X5" s="327"/>
      <c r="Y5" s="327"/>
      <c r="Z5" s="327"/>
      <c r="AA5" s="327"/>
      <c r="AB5" s="327"/>
      <c r="AC5" s="327"/>
      <c r="AD5" s="327"/>
      <c r="AE5" s="327"/>
      <c r="AF5" s="327"/>
      <c r="AG5" s="327"/>
      <c r="AH5" s="327"/>
      <c r="AI5" s="327"/>
      <c r="AJ5" s="327"/>
      <c r="AK5" s="327"/>
      <c r="AL5" s="327"/>
      <c r="AM5" s="327"/>
      <c r="AN5" s="327"/>
      <c r="AO5" s="327"/>
      <c r="AP5" s="327"/>
      <c r="AQ5" s="327"/>
      <c r="AR5" s="327"/>
      <c r="AS5" s="327"/>
      <c r="AT5" s="327"/>
      <c r="AU5" s="327"/>
      <c r="AV5" s="80"/>
      <c r="AX5" s="134"/>
      <c r="AY5" s="339" t="s">
        <v>118</v>
      </c>
      <c r="AZ5" s="340"/>
      <c r="BA5" s="340"/>
      <c r="BB5" s="340"/>
      <c r="BC5" s="340"/>
      <c r="BD5" s="340"/>
      <c r="BE5" s="340"/>
      <c r="BF5" s="340"/>
      <c r="BG5" s="341"/>
      <c r="BH5" s="80"/>
      <c r="BJ5" s="127" t="s">
        <v>61</v>
      </c>
      <c r="BK5" s="127">
        <v>4</v>
      </c>
    </row>
    <row r="6" spans="1:63" ht="20.100000000000001" customHeight="1" x14ac:dyDescent="0.25">
      <c r="B6" s="134"/>
      <c r="C6" s="223"/>
      <c r="D6" s="328" t="str">
        <f>"Grupo "&amp;VLOOKUP(I2,Aux!$M:$AZ,8,0)</f>
        <v>Grupo A</v>
      </c>
      <c r="E6" s="329"/>
      <c r="F6" s="329"/>
      <c r="G6" s="329"/>
      <c r="H6" s="329"/>
      <c r="I6" s="329"/>
      <c r="J6" s="329"/>
      <c r="K6" s="329"/>
      <c r="L6" s="329"/>
      <c r="M6" s="329"/>
      <c r="N6" s="330"/>
      <c r="O6" s="328" t="str">
        <f>"Grupo "&amp;VLOOKUP(T2,Aux!$M:$AZ,8,0)</f>
        <v>Grupo C</v>
      </c>
      <c r="P6" s="329"/>
      <c r="Q6" s="329"/>
      <c r="R6" s="329"/>
      <c r="S6" s="329"/>
      <c r="T6" s="329"/>
      <c r="U6" s="329"/>
      <c r="V6" s="329"/>
      <c r="W6" s="329"/>
      <c r="X6" s="329"/>
      <c r="Y6" s="330"/>
      <c r="Z6" s="328" t="str">
        <f>"Grupo "&amp;VLOOKUP(AE2,Aux!$M:$AZ,8,0)</f>
        <v>Grupo B</v>
      </c>
      <c r="AA6" s="329"/>
      <c r="AB6" s="329"/>
      <c r="AC6" s="329"/>
      <c r="AD6" s="329"/>
      <c r="AE6" s="329"/>
      <c r="AF6" s="329"/>
      <c r="AG6" s="329"/>
      <c r="AH6" s="329"/>
      <c r="AI6" s="329"/>
      <c r="AJ6" s="330"/>
      <c r="AK6" s="328" t="str">
        <f>"Grupo "&amp;VLOOKUP(AP2,Aux!$M:$AZ,8,0)</f>
        <v>Grupo A</v>
      </c>
      <c r="AL6" s="329"/>
      <c r="AM6" s="329"/>
      <c r="AN6" s="329"/>
      <c r="AO6" s="329"/>
      <c r="AP6" s="329"/>
      <c r="AQ6" s="329"/>
      <c r="AR6" s="329"/>
      <c r="AS6" s="329"/>
      <c r="AT6" s="329"/>
      <c r="AU6" s="330"/>
      <c r="AV6" s="80"/>
      <c r="AX6" s="134"/>
      <c r="AY6" s="235"/>
      <c r="AZ6" s="233" t="str" cm="1">
        <f t="array" ref="AZ6:BC6">AY2&amp;_xlfn.SEQUENCE(1,VLOOKUP(AY2,$BJ$2:$BK$6,2,0))</f>
        <v>Semis1</v>
      </c>
      <c r="BA6" s="233" t="str">
        <v>Semis2</v>
      </c>
      <c r="BB6" s="233" t="str">
        <v>Semis3</v>
      </c>
      <c r="BC6" s="233" t="str">
        <v>Semis4</v>
      </c>
      <c r="BD6" s="233"/>
      <c r="BE6" s="233"/>
      <c r="BF6" s="233"/>
      <c r="BG6" s="233"/>
      <c r="BH6" s="80"/>
      <c r="BJ6" s="127" t="s">
        <v>10</v>
      </c>
      <c r="BK6" s="127">
        <v>3</v>
      </c>
    </row>
    <row r="7" spans="1:63" ht="20.100000000000001" customHeight="1" x14ac:dyDescent="0.25">
      <c r="B7" s="134"/>
      <c r="C7" s="223"/>
      <c r="D7" s="337"/>
      <c r="E7" s="335" t="e" vm="5">
        <f>IFERROR(VLOOKUP(F7,Aux!$A:$X,8,0),"")</f>
        <v>#VALUE!</v>
      </c>
      <c r="F7" s="335" t="str">
        <f>VLOOKUP(I2,Aux!$M:$AZ,5,0)</f>
        <v>Al-Ahly</v>
      </c>
      <c r="G7" s="335" t="e" vm="6">
        <f>IFERROR(VLOOKUP(F7,Aux!$A:$C,3,0),"")</f>
        <v>#VALUE!</v>
      </c>
      <c r="H7" s="238"/>
      <c r="I7" s="237">
        <f>VLOOKUP(I2,Aux!$M:$AZ,3,0)</f>
        <v>45822.833333333336</v>
      </c>
      <c r="J7" s="333"/>
      <c r="K7" s="331" t="e" vm="7">
        <f>IFERROR(VLOOKUP(L7,Aux!$A:$C,3,0),"")</f>
        <v>#VALUE!</v>
      </c>
      <c r="L7" s="331" t="str">
        <f>VLOOKUP(I2,Aux!$M:$AZ,6,0)</f>
        <v>Inter Miami</v>
      </c>
      <c r="M7" s="331" t="e" vm="1">
        <f>IFERROR(VLOOKUP(L7,Aux!$A:$X,8,0),"")</f>
        <v>#VALUE!</v>
      </c>
      <c r="N7" s="334"/>
      <c r="O7" s="337"/>
      <c r="P7" s="335" t="e" vm="18">
        <f>IFERROR(VLOOKUP(Q7,Aux!$A:$X,8,0),"")</f>
        <v>#VALUE!</v>
      </c>
      <c r="Q7" s="335" t="str">
        <f>VLOOKUP(T2,Aux!$M:$AZ,5,0)</f>
        <v>Bayern Múnich</v>
      </c>
      <c r="R7" s="335" t="e" vm="19">
        <f>IFERROR(VLOOKUP(Q7,Aux!$A:$C,3,0),"")</f>
        <v>#VALUE!</v>
      </c>
      <c r="S7" s="238"/>
      <c r="T7" s="237">
        <f>VLOOKUP(T2,Aux!$M:$AZ,3,0)</f>
        <v>45823.5</v>
      </c>
      <c r="U7" s="333"/>
      <c r="V7" s="331" t="e" vm="20">
        <f>IFERROR(VLOOKUP(W7,Aux!$A:$C,3,0),"")</f>
        <v>#VALUE!</v>
      </c>
      <c r="W7" s="331" t="str">
        <f>VLOOKUP(T2,Aux!$M:$AZ,6,0)</f>
        <v>Auckland City</v>
      </c>
      <c r="X7" s="331" t="e" vm="21">
        <f>IFERROR(VLOOKUP(W7,Aux!$A:$X,8,0),"")</f>
        <v>#VALUE!</v>
      </c>
      <c r="Y7" s="334"/>
      <c r="Z7" s="337"/>
      <c r="AA7" s="335" t="e" vm="12">
        <f>IFERROR(VLOOKUP(AB7,Aux!$A:$X,8,0),"")</f>
        <v>#VALUE!</v>
      </c>
      <c r="AB7" s="335" t="str">
        <f>VLOOKUP(AE2,Aux!$M:$AZ,5,0)</f>
        <v>Paris Saint-Germain</v>
      </c>
      <c r="AC7" s="335" t="e" vm="13">
        <f>IFERROR(VLOOKUP(AB7,Aux!$A:$C,3,0),"")</f>
        <v>#VALUE!</v>
      </c>
      <c r="AD7" s="238"/>
      <c r="AE7" s="237">
        <f>VLOOKUP(AE2,Aux!$M:$AZ,3,0)</f>
        <v>45823.5</v>
      </c>
      <c r="AF7" s="333"/>
      <c r="AG7" s="331" t="e" vm="14">
        <f>IFERROR(VLOOKUP(AH7,Aux!$A:$C,3,0),"")</f>
        <v>#VALUE!</v>
      </c>
      <c r="AH7" s="331" t="str">
        <f>VLOOKUP(AE2,Aux!$M:$AZ,6,0)</f>
        <v>Atlético de Madrid</v>
      </c>
      <c r="AI7" s="331" t="e" vm="15">
        <f>IFERROR(VLOOKUP(AH7,Aux!$A:$X,8,0),"")</f>
        <v>#VALUE!</v>
      </c>
      <c r="AJ7" s="334"/>
      <c r="AK7" s="337"/>
      <c r="AL7" s="335" t="e" vm="9">
        <f>IFERROR(VLOOKUP(AM7,Aux!$A:$X,8,0),"")</f>
        <v>#VALUE!</v>
      </c>
      <c r="AM7" s="335" t="str">
        <f>VLOOKUP(AP2,Aux!$M:$AZ,5,0)</f>
        <v>Palmeiras</v>
      </c>
      <c r="AN7" s="335" t="e" vm="8">
        <f>IFERROR(VLOOKUP(AM7,Aux!$A:$C,3,0),"")</f>
        <v>#VALUE!</v>
      </c>
      <c r="AO7" s="238"/>
      <c r="AP7" s="237">
        <f>VLOOKUP(AP2,Aux!$M:$AZ,3,0)</f>
        <v>45823.75</v>
      </c>
      <c r="AQ7" s="333"/>
      <c r="AR7" s="331" t="e" vm="10">
        <f>IFERROR(VLOOKUP(AS7,Aux!$A:$C,3,0),"")</f>
        <v>#VALUE!</v>
      </c>
      <c r="AS7" s="331" t="str">
        <f>VLOOKUP(AP2,Aux!$M:$AZ,6,0)</f>
        <v>Porto</v>
      </c>
      <c r="AT7" s="331" t="e" vm="11">
        <f>IFERROR(VLOOKUP(AS7,Aux!$A:$X,8,0),"")</f>
        <v>#VALUE!</v>
      </c>
      <c r="AU7" s="334"/>
      <c r="AV7" s="80"/>
      <c r="AX7" s="134"/>
      <c r="AY7" s="234" t="str">
        <f>IF(ClasificaciónPorra!D5=0,"",ClasificaciónPorra!D5)</f>
        <v/>
      </c>
      <c r="AZ7" s="147" t="str" cm="1">
        <f t="array" ref="AZ7">IF(OR(AZ$6="",$AY7=""),"",IFERROR(INDEX(TotalApuestas!$A$1:$GL$50007,MATCH(Seguimiento!$AY7,TotalApuestas!$B$1:$B$50007,0),MATCH("Equipos"&amp;Seguimiento!$AY$2,Resultado!$4:$4,0)+COLUMNS($AZ$2:AZ$2)-1),0))</f>
        <v/>
      </c>
      <c r="BA7" s="147" t="str" cm="1">
        <f t="array" ref="BA7">IF(OR(BA$6="",$AY7=""),"",IFERROR(INDEX(TotalApuestas!$A$1:$GL$50007,MATCH(Seguimiento!$AY7,TotalApuestas!$B$1:$B$50007,0),MATCH("Equipos"&amp;Seguimiento!$AY$2,Resultado!$4:$4,0)+COLUMNS($AZ$2:BA$2)-1),0))</f>
        <v/>
      </c>
      <c r="BB7" s="147" t="str" cm="1">
        <f t="array" ref="BB7">IF(OR(BB$6="",$AY7=""),"",IFERROR(INDEX(TotalApuestas!$A$1:$GL$50007,MATCH(Seguimiento!$AY7,TotalApuestas!$B$1:$B$50007,0),MATCH("Equipos"&amp;Seguimiento!$AY$2,Resultado!$4:$4,0)+COLUMNS($AZ$2:BB$2)-1),0))</f>
        <v/>
      </c>
      <c r="BC7" s="147" t="str" cm="1">
        <f t="array" ref="BC7">IF(OR(BC$6="",$AY7=""),"",IFERROR(INDEX(TotalApuestas!$A$1:$GL$50007,MATCH(Seguimiento!$AY7,TotalApuestas!$B$1:$B$50007,0),MATCH("Equipos"&amp;Seguimiento!$AY$2,Resultado!$4:$4,0)+COLUMNS($AZ$2:BC$2)-1),0))</f>
        <v/>
      </c>
      <c r="BD7" s="147" t="str" cm="1">
        <f t="array" ref="BD7">IF(OR(BD$6="",$AY7=""),"",IFERROR(INDEX(TotalApuestas!$A$1:$GL$50007,MATCH(Seguimiento!$AY7,TotalApuestas!$B$1:$B$50007,0),MATCH("Equipos"&amp;Seguimiento!$AY$2,Resultado!$4:$4,0)+COLUMNS($AZ$2:BD$2)-1),0))</f>
        <v/>
      </c>
      <c r="BE7" s="147" t="str" cm="1">
        <f t="array" ref="BE7">IF(OR(BE$6="",$AY7=""),"",IFERROR(INDEX(TotalApuestas!$A$1:$GL$50007,MATCH(Seguimiento!$AY7,TotalApuestas!$B$1:$B$50007,0),MATCH("Equipos"&amp;Seguimiento!$AY$2,Resultado!$4:$4,0)+COLUMNS($AZ$2:BE$2)-1),0))</f>
        <v/>
      </c>
      <c r="BF7" s="147" t="str" cm="1">
        <f t="array" ref="BF7">IF(OR(BF$6="",$AY7=""),"",IFERROR(INDEX(TotalApuestas!$A$1:$GL$50007,MATCH(Seguimiento!$AY7,TotalApuestas!$B$1:$B$50007,0),MATCH("Equipos"&amp;Seguimiento!$AY$2,Resultado!$4:$4,0)+COLUMNS($AZ$2:BF$2)-1),0))</f>
        <v/>
      </c>
      <c r="BG7" s="147" t="str" cm="1">
        <f t="array" ref="BG7">IF(OR(BG$6="",$AY7=""),"",IFERROR(INDEX(TotalApuestas!$A$1:$GL$50007,MATCH(Seguimiento!$AY7,TotalApuestas!$B$1:$B$50007,0),MATCH("Equipos"&amp;Seguimiento!$AY$2,Resultado!$4:$4,0)+COLUMNS($AZ$2:BG$2)-1),0))</f>
        <v/>
      </c>
      <c r="BH7" s="80"/>
      <c r="BJ7" s="127" t="s">
        <v>87</v>
      </c>
      <c r="BK7" s="127">
        <v>1</v>
      </c>
    </row>
    <row r="8" spans="1:63" ht="20.100000000000001" customHeight="1" x14ac:dyDescent="0.25">
      <c r="B8" s="134"/>
      <c r="C8" s="223"/>
      <c r="D8" s="338"/>
      <c r="E8" s="336"/>
      <c r="F8" s="336"/>
      <c r="G8" s="336"/>
      <c r="H8" s="239"/>
      <c r="I8" s="236">
        <f>+I7</f>
        <v>45822.833333333336</v>
      </c>
      <c r="J8" s="333"/>
      <c r="K8" s="331"/>
      <c r="L8" s="331"/>
      <c r="M8" s="331"/>
      <c r="N8" s="334"/>
      <c r="O8" s="338"/>
      <c r="P8" s="336"/>
      <c r="Q8" s="336"/>
      <c r="R8" s="336"/>
      <c r="S8" s="239"/>
      <c r="T8" s="236">
        <f>+T7</f>
        <v>45823.5</v>
      </c>
      <c r="U8" s="333"/>
      <c r="V8" s="331"/>
      <c r="W8" s="331"/>
      <c r="X8" s="331"/>
      <c r="Y8" s="334"/>
      <c r="Z8" s="338"/>
      <c r="AA8" s="336"/>
      <c r="AB8" s="336"/>
      <c r="AC8" s="336"/>
      <c r="AD8" s="239"/>
      <c r="AE8" s="236">
        <f>+AE7</f>
        <v>45823.5</v>
      </c>
      <c r="AF8" s="333"/>
      <c r="AG8" s="331"/>
      <c r="AH8" s="331"/>
      <c r="AI8" s="331"/>
      <c r="AJ8" s="334"/>
      <c r="AK8" s="338"/>
      <c r="AL8" s="336"/>
      <c r="AM8" s="336"/>
      <c r="AN8" s="336"/>
      <c r="AO8" s="239"/>
      <c r="AP8" s="236">
        <f>+AP7</f>
        <v>45823.75</v>
      </c>
      <c r="AQ8" s="333"/>
      <c r="AR8" s="331"/>
      <c r="AS8" s="331"/>
      <c r="AT8" s="331"/>
      <c r="AU8" s="334"/>
      <c r="AV8" s="80"/>
      <c r="AX8" s="134"/>
      <c r="AY8" s="234" t="str">
        <f>IF(ClasificaciónPorra!D6=0,"",ClasificaciónPorra!D6)</f>
        <v/>
      </c>
      <c r="AZ8" s="147" t="str" cm="1">
        <f t="array" ref="AZ8">IF(OR(AZ$6="",$AY8=""),"",IFERROR(INDEX(TotalApuestas!$A$1:$GL$50007,MATCH(Seguimiento!$AY8,TotalApuestas!$B$1:$B$50007,0),MATCH("Equipos"&amp;Seguimiento!$AY$2,Resultado!$4:$4,0)+COLUMNS($AZ$2:AZ$2)-1),0))</f>
        <v/>
      </c>
      <c r="BA8" s="147" t="str" cm="1">
        <f t="array" ref="BA8">IF(OR(BA$6="",$AY8=""),"",IFERROR(INDEX(TotalApuestas!$A$1:$GL$50007,MATCH(Seguimiento!$AY8,TotalApuestas!$B$1:$B$50007,0),MATCH("Equipos"&amp;Seguimiento!$AY$2,Resultado!$4:$4,0)+COLUMNS($AZ$2:BA$2)-1),0))</f>
        <v/>
      </c>
      <c r="BB8" s="147" t="str" cm="1">
        <f t="array" ref="BB8">IF(OR(BB$6="",$AY8=""),"",IFERROR(INDEX(TotalApuestas!$A$1:$GL$50007,MATCH(Seguimiento!$AY8,TotalApuestas!$B$1:$B$50007,0),MATCH("Equipos"&amp;Seguimiento!$AY$2,Resultado!$4:$4,0)+COLUMNS($AZ$2:BB$2)-1),0))</f>
        <v/>
      </c>
      <c r="BC8" s="147" t="str" cm="1">
        <f t="array" ref="BC8">IF(OR(BC$6="",$AY8=""),"",IFERROR(INDEX(TotalApuestas!$A$1:$GL$50007,MATCH(Seguimiento!$AY8,TotalApuestas!$B$1:$B$50007,0),MATCH("Equipos"&amp;Seguimiento!$AY$2,Resultado!$4:$4,0)+COLUMNS($AZ$2:BC$2)-1),0))</f>
        <v/>
      </c>
      <c r="BD8" s="147" t="str" cm="1">
        <f t="array" ref="BD8">IF(OR(BD$6="",$AY8=""),"",IFERROR(INDEX(TotalApuestas!$A$1:$GL$50007,MATCH(Seguimiento!$AY8,TotalApuestas!$B$1:$B$50007,0),MATCH("Equipos"&amp;Seguimiento!$AY$2,Resultado!$4:$4,0)+COLUMNS($AZ$2:BD$2)-1),0))</f>
        <v/>
      </c>
      <c r="BE8" s="147" t="str" cm="1">
        <f t="array" ref="BE8">IF(OR(BE$6="",$AY8=""),"",IFERROR(INDEX(TotalApuestas!$A$1:$GL$50007,MATCH(Seguimiento!$AY8,TotalApuestas!$B$1:$B$50007,0),MATCH("Equipos"&amp;Seguimiento!$AY$2,Resultado!$4:$4,0)+COLUMNS($AZ$2:BE$2)-1),0))</f>
        <v/>
      </c>
      <c r="BF8" s="147" t="str" cm="1">
        <f t="array" ref="BF8">IF(OR(BF$6="",$AY8=""),"",IFERROR(INDEX(TotalApuestas!$A$1:$GL$50007,MATCH(Seguimiento!$AY8,TotalApuestas!$B$1:$B$50007,0),MATCH("Equipos"&amp;Seguimiento!$AY$2,Resultado!$4:$4,0)+COLUMNS($AZ$2:BF$2)-1),0))</f>
        <v/>
      </c>
      <c r="BG8" s="147" t="str" cm="1">
        <f t="array" ref="BG8">IF(OR(BG$6="",$AY8=""),"",IFERROR(INDEX(TotalApuestas!$A$1:$GL$50007,MATCH(Seguimiento!$AY8,TotalApuestas!$B$1:$B$50007,0),MATCH("Equipos"&amp;Seguimiento!$AY$2,Resultado!$4:$4,0)+COLUMNS($AZ$2:BG$2)-1),0))</f>
        <v/>
      </c>
      <c r="BH8" s="80"/>
      <c r="BJ8"/>
      <c r="BK8"/>
    </row>
    <row r="9" spans="1:63" ht="20.100000000000001" customHeight="1" thickBot="1" x14ac:dyDescent="0.3">
      <c r="B9" s="134"/>
      <c r="C9" s="215" t="s">
        <v>92</v>
      </c>
      <c r="D9" s="332">
        <f ca="1">VLOOKUP(I2,Aux!$M:$AZ,9,0)</f>
        <v>0</v>
      </c>
      <c r="E9" s="332"/>
      <c r="F9" s="332"/>
      <c r="G9" s="332"/>
      <c r="H9" s="332"/>
      <c r="I9" s="232">
        <f ca="1">+IF(D9="","",IF(D9&gt;J9,1,IF(D9=J9,"X",2)))</f>
        <v>2</v>
      </c>
      <c r="J9" s="332">
        <f ca="1">VLOOKUP(I2,Aux!$M:$AZ,10,0)</f>
        <v>2</v>
      </c>
      <c r="K9" s="332"/>
      <c r="L9" s="332"/>
      <c r="M9" s="332"/>
      <c r="N9" s="332"/>
      <c r="O9" s="332">
        <f ca="1">VLOOKUP(T2,Aux!$M:$AZ,9,0)</f>
        <v>5</v>
      </c>
      <c r="P9" s="332"/>
      <c r="Q9" s="332"/>
      <c r="R9" s="332"/>
      <c r="S9" s="332"/>
      <c r="T9" s="232">
        <f ca="1">+IF(O9="","",IF(O9&gt;U9,1,IF(O9=U9,"X",2)))</f>
        <v>1</v>
      </c>
      <c r="U9" s="332">
        <f ca="1">VLOOKUP(T2,Aux!$M:$AZ,10,0)</f>
        <v>0</v>
      </c>
      <c r="V9" s="332"/>
      <c r="W9" s="332"/>
      <c r="X9" s="332"/>
      <c r="Y9" s="332"/>
      <c r="Z9" s="332">
        <f ca="1">VLOOKUP(AE2,Aux!$M:$AZ,9,0)</f>
        <v>1</v>
      </c>
      <c r="AA9" s="332"/>
      <c r="AB9" s="332"/>
      <c r="AC9" s="332"/>
      <c r="AD9" s="332"/>
      <c r="AE9" s="232" t="str">
        <f ca="1">+IF(Z9="","",IF(Z9&gt;AF9,1,IF(Z9=AF9,"X",2)))</f>
        <v>X</v>
      </c>
      <c r="AF9" s="332">
        <f ca="1">VLOOKUP(AE2,Aux!$M:$AZ,10,0)</f>
        <v>1</v>
      </c>
      <c r="AG9" s="332"/>
      <c r="AH9" s="332"/>
      <c r="AI9" s="332"/>
      <c r="AJ9" s="332"/>
      <c r="AK9" s="332">
        <f ca="1">VLOOKUP(AP2,Aux!$M:$AZ,9,0)</f>
        <v>1</v>
      </c>
      <c r="AL9" s="332"/>
      <c r="AM9" s="332"/>
      <c r="AN9" s="332"/>
      <c r="AO9" s="332"/>
      <c r="AP9" s="232" t="str">
        <f ca="1">+IF(AK9="","",IF(AK9&gt;AQ9,1,IF(AK9=AQ9,"X",2)))</f>
        <v>X</v>
      </c>
      <c r="AQ9" s="332">
        <f ca="1">VLOOKUP(AP2,Aux!$M:$AZ,10,0)</f>
        <v>1</v>
      </c>
      <c r="AR9" s="332"/>
      <c r="AS9" s="332"/>
      <c r="AT9" s="332"/>
      <c r="AU9" s="332"/>
      <c r="AV9" s="80"/>
      <c r="AX9" s="134"/>
      <c r="AY9" s="234" t="str">
        <f>IF(ClasificaciónPorra!D7=0,"",ClasificaciónPorra!D7)</f>
        <v/>
      </c>
      <c r="AZ9" s="147" t="str" cm="1">
        <f t="array" ref="AZ9">IF(OR(AZ$6="",$AY9=""),"",IFERROR(INDEX(TotalApuestas!$A$1:$GL$50007,MATCH(Seguimiento!$AY9,TotalApuestas!$B$1:$B$50007,0),MATCH("Equipos"&amp;Seguimiento!$AY$2,Resultado!$4:$4,0)+COLUMNS($AZ$2:AZ$2)-1),0))</f>
        <v/>
      </c>
      <c r="BA9" s="147" t="str" cm="1">
        <f t="array" ref="BA9">IF(OR(BA$6="",$AY9=""),"",IFERROR(INDEX(TotalApuestas!$A$1:$GL$50007,MATCH(Seguimiento!$AY9,TotalApuestas!$B$1:$B$50007,0),MATCH("Equipos"&amp;Seguimiento!$AY$2,Resultado!$4:$4,0)+COLUMNS($AZ$2:BA$2)-1),0))</f>
        <v/>
      </c>
      <c r="BB9" s="147" t="str" cm="1">
        <f t="array" ref="BB9">IF(OR(BB$6="",$AY9=""),"",IFERROR(INDEX(TotalApuestas!$A$1:$GL$50007,MATCH(Seguimiento!$AY9,TotalApuestas!$B$1:$B$50007,0),MATCH("Equipos"&amp;Seguimiento!$AY$2,Resultado!$4:$4,0)+COLUMNS($AZ$2:BB$2)-1),0))</f>
        <v/>
      </c>
      <c r="BC9" s="147" t="str" cm="1">
        <f t="array" ref="BC9">IF(OR(BC$6="",$AY9=""),"",IFERROR(INDEX(TotalApuestas!$A$1:$GL$50007,MATCH(Seguimiento!$AY9,TotalApuestas!$B$1:$B$50007,0),MATCH("Equipos"&amp;Seguimiento!$AY$2,Resultado!$4:$4,0)+COLUMNS($AZ$2:BC$2)-1),0))</f>
        <v/>
      </c>
      <c r="BD9" s="147" t="str" cm="1">
        <f t="array" ref="BD9">IF(OR(BD$6="",$AY9=""),"",IFERROR(INDEX(TotalApuestas!$A$1:$GL$50007,MATCH(Seguimiento!$AY9,TotalApuestas!$B$1:$B$50007,0),MATCH("Equipos"&amp;Seguimiento!$AY$2,Resultado!$4:$4,0)+COLUMNS($AZ$2:BD$2)-1),0))</f>
        <v/>
      </c>
      <c r="BE9" s="147" t="str" cm="1">
        <f t="array" ref="BE9">IF(OR(BE$6="",$AY9=""),"",IFERROR(INDEX(TotalApuestas!$A$1:$GL$50007,MATCH(Seguimiento!$AY9,TotalApuestas!$B$1:$B$50007,0),MATCH("Equipos"&amp;Seguimiento!$AY$2,Resultado!$4:$4,0)+COLUMNS($AZ$2:BE$2)-1),0))</f>
        <v/>
      </c>
      <c r="BF9" s="147" t="str" cm="1">
        <f t="array" ref="BF9">IF(OR(BF$6="",$AY9=""),"",IFERROR(INDEX(TotalApuestas!$A$1:$GL$50007,MATCH(Seguimiento!$AY9,TotalApuestas!$B$1:$B$50007,0),MATCH("Equipos"&amp;Seguimiento!$AY$2,Resultado!$4:$4,0)+COLUMNS($AZ$2:BF$2)-1),0))</f>
        <v/>
      </c>
      <c r="BG9" s="147" t="str" cm="1">
        <f t="array" ref="BG9">IF(OR(BG$6="",$AY9=""),"",IFERROR(INDEX(TotalApuestas!$A$1:$GL$50007,MATCH(Seguimiento!$AY9,TotalApuestas!$B$1:$B$50007,0),MATCH("Equipos"&amp;Seguimiento!$AY$2,Resultado!$4:$4,0)+COLUMNS($AZ$2:BG$2)-1),0))</f>
        <v/>
      </c>
      <c r="BH9" s="80"/>
      <c r="BJ9"/>
      <c r="BK9"/>
    </row>
    <row r="10" spans="1:63" ht="20.100000000000001" customHeight="1" x14ac:dyDescent="0.25">
      <c r="B10" s="134"/>
      <c r="AV10" s="80"/>
      <c r="AX10" s="134"/>
      <c r="AY10" s="234" t="str">
        <f>IF(ClasificaciónPorra!D8=0,"",ClasificaciónPorra!D8)</f>
        <v/>
      </c>
      <c r="AZ10" s="147" t="str" cm="1">
        <f t="array" ref="AZ10">IF(OR(AZ$6="",$AY10=""),"",IFERROR(INDEX(TotalApuestas!$A$1:$GL$50007,MATCH(Seguimiento!$AY10,TotalApuestas!$B$1:$B$50007,0),MATCH("Equipos"&amp;Seguimiento!$AY$2,Resultado!$4:$4,0)+COLUMNS($AZ$2:AZ$2)-1),0))</f>
        <v/>
      </c>
      <c r="BA10" s="147" t="str" cm="1">
        <f t="array" ref="BA10">IF(OR(BA$6="",$AY10=""),"",IFERROR(INDEX(TotalApuestas!$A$1:$GL$50007,MATCH(Seguimiento!$AY10,TotalApuestas!$B$1:$B$50007,0),MATCH("Equipos"&amp;Seguimiento!$AY$2,Resultado!$4:$4,0)+COLUMNS($AZ$2:BA$2)-1),0))</f>
        <v/>
      </c>
      <c r="BB10" s="147" t="str" cm="1">
        <f t="array" ref="BB10">IF(OR(BB$6="",$AY10=""),"",IFERROR(INDEX(TotalApuestas!$A$1:$GL$50007,MATCH(Seguimiento!$AY10,TotalApuestas!$B$1:$B$50007,0),MATCH("Equipos"&amp;Seguimiento!$AY$2,Resultado!$4:$4,0)+COLUMNS($AZ$2:BB$2)-1),0))</f>
        <v/>
      </c>
      <c r="BC10" s="147" t="str" cm="1">
        <f t="array" ref="BC10">IF(OR(BC$6="",$AY10=""),"",IFERROR(INDEX(TotalApuestas!$A$1:$GL$50007,MATCH(Seguimiento!$AY10,TotalApuestas!$B$1:$B$50007,0),MATCH("Equipos"&amp;Seguimiento!$AY$2,Resultado!$4:$4,0)+COLUMNS($AZ$2:BC$2)-1),0))</f>
        <v/>
      </c>
      <c r="BD10" s="147" t="str" cm="1">
        <f t="array" ref="BD10">IF(OR(BD$6="",$AY10=""),"",IFERROR(INDEX(TotalApuestas!$A$1:$GL$50007,MATCH(Seguimiento!$AY10,TotalApuestas!$B$1:$B$50007,0),MATCH("Equipos"&amp;Seguimiento!$AY$2,Resultado!$4:$4,0)+COLUMNS($AZ$2:BD$2)-1),0))</f>
        <v/>
      </c>
      <c r="BE10" s="147" t="str" cm="1">
        <f t="array" ref="BE10">IF(OR(BE$6="",$AY10=""),"",IFERROR(INDEX(TotalApuestas!$A$1:$GL$50007,MATCH(Seguimiento!$AY10,TotalApuestas!$B$1:$B$50007,0),MATCH("Equipos"&amp;Seguimiento!$AY$2,Resultado!$4:$4,0)+COLUMNS($AZ$2:BE$2)-1),0))</f>
        <v/>
      </c>
      <c r="BF10" s="147" t="str" cm="1">
        <f t="array" ref="BF10">IF(OR(BF$6="",$AY10=""),"",IFERROR(INDEX(TotalApuestas!$A$1:$GL$50007,MATCH(Seguimiento!$AY10,TotalApuestas!$B$1:$B$50007,0),MATCH("Equipos"&amp;Seguimiento!$AY$2,Resultado!$4:$4,0)+COLUMNS($AZ$2:BF$2)-1),0))</f>
        <v/>
      </c>
      <c r="BG10" s="147" t="str" cm="1">
        <f t="array" ref="BG10">IF(OR(BG$6="",$AY10=""),"",IFERROR(INDEX(TotalApuestas!$A$1:$GL$50007,MATCH(Seguimiento!$AY10,TotalApuestas!$B$1:$B$50007,0),MATCH("Equipos"&amp;Seguimiento!$AY$2,Resultado!$4:$4,0)+COLUMNS($AZ$2:BG$2)-1),0))</f>
        <v/>
      </c>
      <c r="BH10" s="80"/>
      <c r="BJ10"/>
      <c r="BK10"/>
    </row>
    <row r="11" spans="1:63" ht="20.100000000000001" customHeight="1" x14ac:dyDescent="0.25">
      <c r="B11" s="134"/>
      <c r="C11" s="259" t="str">
        <f>IF(ClasificaciónPorra!D5=0,"",ClasificaciónPorra!D5)</f>
        <v/>
      </c>
      <c r="D11" s="324" t="str">
        <f>IF($C11="","",INDEX(TotalApuestas!$A$1:$GL$50007,MATCH(Seguimiento!$C11,TotalApuestas!$B$1:$B$50007,0),MATCH(Seguimiento!I$2,Resultado!$2:$2,0)))</f>
        <v/>
      </c>
      <c r="E11" s="325"/>
      <c r="F11" s="325"/>
      <c r="G11" s="325"/>
      <c r="H11" s="325"/>
      <c r="I11" s="256" t="str">
        <f t="shared" ref="I11:I25" si="0">+IF(D11="","",IF(D11&gt;J11,1,IF(D11=J11,"X",2)))</f>
        <v/>
      </c>
      <c r="J11" s="325" t="str" cm="1">
        <f t="array" ref="J11">IF($C11="","",INDEX(TotalApuestas!$A$1:$GL$50007,MATCH(Seguimiento!$C11,TotalApuestas!$B$1:$B$50007,0),MATCH(Seguimiento!I$2,Resultado!$2:$2,0)+1))</f>
        <v/>
      </c>
      <c r="K11" s="325"/>
      <c r="L11" s="325"/>
      <c r="M11" s="325"/>
      <c r="N11" s="326"/>
      <c r="O11" s="324" t="str">
        <f>IF($C11="","",INDEX(TotalApuestas!$A$1:$GL$50007,MATCH(Seguimiento!$C11,TotalApuestas!$B$1:$B$50007,0),MATCH(Seguimiento!T$2,Resultado!$2:$2,0)))</f>
        <v/>
      </c>
      <c r="P11" s="325"/>
      <c r="Q11" s="325"/>
      <c r="R11" s="325"/>
      <c r="S11" s="325"/>
      <c r="T11" s="256" t="str">
        <f t="shared" ref="T11:T25" si="1">+IF(O11="","",IF(O11&gt;U11,1,IF(O11=U11,"X",2)))</f>
        <v/>
      </c>
      <c r="U11" s="325" t="str" cm="1">
        <f t="array" ref="U11">IF($C11="","",INDEX(TotalApuestas!$A$1:$GL$50007,MATCH(Seguimiento!$C11,TotalApuestas!$B$1:$B$50007,0),MATCH(Seguimiento!T$2,Resultado!$2:$2,0)+1))</f>
        <v/>
      </c>
      <c r="V11" s="325"/>
      <c r="W11" s="325"/>
      <c r="X11" s="325"/>
      <c r="Y11" s="326"/>
      <c r="Z11" s="324" t="str">
        <f>IF($C11="","",INDEX(TotalApuestas!$A$1:$GL$50007,MATCH(Seguimiento!$C11,TotalApuestas!$B$1:$B$50007,0),MATCH(Seguimiento!AE$2,Resultado!$2:$2,0)))</f>
        <v/>
      </c>
      <c r="AA11" s="325"/>
      <c r="AB11" s="325"/>
      <c r="AC11" s="325"/>
      <c r="AD11" s="325"/>
      <c r="AE11" s="256" t="str">
        <f t="shared" ref="AE11:AE25" si="2">+IF(Z11="","",IF(Z11&gt;AF11,1,IF(Z11=AF11,"X",2)))</f>
        <v/>
      </c>
      <c r="AF11" s="325" t="str" cm="1">
        <f t="array" ref="AF11">IF($C11="","",INDEX(TotalApuestas!$A$1:$GL$50007,MATCH(Seguimiento!$C11,TotalApuestas!$B$1:$B$50007,0),MATCH(Seguimiento!AE$2,Resultado!$2:$2,0)+1))</f>
        <v/>
      </c>
      <c r="AG11" s="325"/>
      <c r="AH11" s="325"/>
      <c r="AI11" s="325"/>
      <c r="AJ11" s="326"/>
      <c r="AK11" s="324" t="str">
        <f>IF($C11="","",INDEX(TotalApuestas!$A$1:$GL$50007,MATCH(Seguimiento!$C11,TotalApuestas!$B$1:$B$50007,0),MATCH(Seguimiento!AP$2,Resultado!$2:$2,0)))</f>
        <v/>
      </c>
      <c r="AL11" s="325"/>
      <c r="AM11" s="325"/>
      <c r="AN11" s="325"/>
      <c r="AO11" s="325"/>
      <c r="AP11" s="256" t="str">
        <f t="shared" ref="AP11:AP25" si="3">+IF(AK11="","",IF(AK11&gt;AQ11,1,IF(AK11=AQ11,"X",2)))</f>
        <v/>
      </c>
      <c r="AQ11" s="324" t="str" cm="1">
        <f t="array" ref="AQ11">IF($C11="","",INDEX(TotalApuestas!$A$1:$GL$50007,MATCH(Seguimiento!$C11,TotalApuestas!$B$1:$B$50007,0),MATCH(Seguimiento!AP$2,Resultado!$2:$2,0)+1))</f>
        <v/>
      </c>
      <c r="AR11" s="325"/>
      <c r="AS11" s="325"/>
      <c r="AT11" s="325"/>
      <c r="AU11" s="326"/>
      <c r="AV11" s="80"/>
      <c r="AX11" s="134"/>
      <c r="AY11" s="234" t="str">
        <f>IF(ClasificaciónPorra!D9=0,"",ClasificaciónPorra!D9)</f>
        <v/>
      </c>
      <c r="AZ11" s="147" t="str" cm="1">
        <f t="array" ref="AZ11">IF(OR(AZ$6="",$AY11=""),"",IFERROR(INDEX(TotalApuestas!$A$1:$GL$50007,MATCH(Seguimiento!$AY11,TotalApuestas!$B$1:$B$50007,0),MATCH("Equipos"&amp;Seguimiento!$AY$2,Resultado!$4:$4,0)+COLUMNS($AZ$2:AZ$2)-1),0))</f>
        <v/>
      </c>
      <c r="BA11" s="147" t="str" cm="1">
        <f t="array" ref="BA11">IF(OR(BA$6="",$AY11=""),"",IFERROR(INDEX(TotalApuestas!$A$1:$GL$50007,MATCH(Seguimiento!$AY11,TotalApuestas!$B$1:$B$50007,0),MATCH("Equipos"&amp;Seguimiento!$AY$2,Resultado!$4:$4,0)+COLUMNS($AZ$2:BA$2)-1),0))</f>
        <v/>
      </c>
      <c r="BB11" s="147" t="str" cm="1">
        <f t="array" ref="BB11">IF(OR(BB$6="",$AY11=""),"",IFERROR(INDEX(TotalApuestas!$A$1:$GL$50007,MATCH(Seguimiento!$AY11,TotalApuestas!$B$1:$B$50007,0),MATCH("Equipos"&amp;Seguimiento!$AY$2,Resultado!$4:$4,0)+COLUMNS($AZ$2:BB$2)-1),0))</f>
        <v/>
      </c>
      <c r="BC11" s="147" t="str" cm="1">
        <f t="array" ref="BC11">IF(OR(BC$6="",$AY11=""),"",IFERROR(INDEX(TotalApuestas!$A$1:$GL$50007,MATCH(Seguimiento!$AY11,TotalApuestas!$B$1:$B$50007,0),MATCH("Equipos"&amp;Seguimiento!$AY$2,Resultado!$4:$4,0)+COLUMNS($AZ$2:BC$2)-1),0))</f>
        <v/>
      </c>
      <c r="BD11" s="147" t="str" cm="1">
        <f t="array" ref="BD11">IF(OR(BD$6="",$AY11=""),"",IFERROR(INDEX(TotalApuestas!$A$1:$GL$50007,MATCH(Seguimiento!$AY11,TotalApuestas!$B$1:$B$50007,0),MATCH("Equipos"&amp;Seguimiento!$AY$2,Resultado!$4:$4,0)+COLUMNS($AZ$2:BD$2)-1),0))</f>
        <v/>
      </c>
      <c r="BE11" s="147" t="str" cm="1">
        <f t="array" ref="BE11">IF(OR(BE$6="",$AY11=""),"",IFERROR(INDEX(TotalApuestas!$A$1:$GL$50007,MATCH(Seguimiento!$AY11,TotalApuestas!$B$1:$B$50007,0),MATCH("Equipos"&amp;Seguimiento!$AY$2,Resultado!$4:$4,0)+COLUMNS($AZ$2:BE$2)-1),0))</f>
        <v/>
      </c>
      <c r="BF11" s="147" t="str" cm="1">
        <f t="array" ref="BF11">IF(OR(BF$6="",$AY11=""),"",IFERROR(INDEX(TotalApuestas!$A$1:$GL$50007,MATCH(Seguimiento!$AY11,TotalApuestas!$B$1:$B$50007,0),MATCH("Equipos"&amp;Seguimiento!$AY$2,Resultado!$4:$4,0)+COLUMNS($AZ$2:BF$2)-1),0))</f>
        <v/>
      </c>
      <c r="BG11" s="147" t="str" cm="1">
        <f t="array" ref="BG11">IF(OR(BG$6="",$AY11=""),"",IFERROR(INDEX(TotalApuestas!$A$1:$GL$50007,MATCH(Seguimiento!$AY11,TotalApuestas!$B$1:$B$50007,0),MATCH("Equipos"&amp;Seguimiento!$AY$2,Resultado!$4:$4,0)+COLUMNS($AZ$2:BG$2)-1),0))</f>
        <v/>
      </c>
      <c r="BH11" s="80"/>
      <c r="BJ11"/>
      <c r="BK11"/>
    </row>
    <row r="12" spans="1:63" ht="20.100000000000001" customHeight="1" x14ac:dyDescent="0.25">
      <c r="B12" s="134"/>
      <c r="C12" s="260" t="str">
        <f>IF(ClasificaciónPorra!D6=0,"",ClasificaciónPorra!D6)</f>
        <v/>
      </c>
      <c r="D12" s="318" t="str">
        <f>IF($C12="","",INDEX(TotalApuestas!$A$1:$GL$50007,MATCH(Seguimiento!$C12,TotalApuestas!$B$1:$B$50007,0),MATCH(Seguimiento!I$2,Resultado!$2:$2,0)))</f>
        <v/>
      </c>
      <c r="E12" s="319"/>
      <c r="F12" s="319"/>
      <c r="G12" s="319"/>
      <c r="H12" s="319"/>
      <c r="I12" s="257" t="str">
        <f t="shared" si="0"/>
        <v/>
      </c>
      <c r="J12" s="319" t="str" cm="1">
        <f t="array" ref="J12">IF($C12="","",INDEX(TotalApuestas!$A$1:$GL$50007,MATCH(Seguimiento!$C12,TotalApuestas!$B$1:$B$50007,0),MATCH(Seguimiento!I$2,Resultado!$2:$2,0)+1))</f>
        <v/>
      </c>
      <c r="K12" s="319"/>
      <c r="L12" s="319"/>
      <c r="M12" s="319"/>
      <c r="N12" s="320"/>
      <c r="O12" s="318" t="str">
        <f>IF($C12="","",INDEX(TotalApuestas!$A$1:$GL$50007,MATCH(Seguimiento!$C12,TotalApuestas!$B$1:$B$50007,0),MATCH(Seguimiento!T$2,Resultado!$2:$2,0)))</f>
        <v/>
      </c>
      <c r="P12" s="319"/>
      <c r="Q12" s="319"/>
      <c r="R12" s="319"/>
      <c r="S12" s="319"/>
      <c r="T12" s="257" t="str">
        <f t="shared" si="1"/>
        <v/>
      </c>
      <c r="U12" s="319" t="str" cm="1">
        <f t="array" ref="U12">IF($C12="","",INDEX(TotalApuestas!$A$1:$GL$50007,MATCH(Seguimiento!$C12,TotalApuestas!$B$1:$B$50007,0),MATCH(Seguimiento!T$2,Resultado!$2:$2,0)+1))</f>
        <v/>
      </c>
      <c r="V12" s="319"/>
      <c r="W12" s="319"/>
      <c r="X12" s="319"/>
      <c r="Y12" s="320"/>
      <c r="Z12" s="318" t="str">
        <f>IF($C12="","",INDEX(TotalApuestas!$A$1:$GL$50007,MATCH(Seguimiento!$C12,TotalApuestas!$B$1:$B$50007,0),MATCH(Seguimiento!AE$2,Resultado!$2:$2,0)))</f>
        <v/>
      </c>
      <c r="AA12" s="319"/>
      <c r="AB12" s="319"/>
      <c r="AC12" s="319"/>
      <c r="AD12" s="319"/>
      <c r="AE12" s="257" t="str">
        <f t="shared" si="2"/>
        <v/>
      </c>
      <c r="AF12" s="319" t="str" cm="1">
        <f t="array" ref="AF12">IF($C12="","",INDEX(TotalApuestas!$A$1:$GL$50007,MATCH(Seguimiento!$C12,TotalApuestas!$B$1:$B$50007,0),MATCH(Seguimiento!AE$2,Resultado!$2:$2,0)+1))</f>
        <v/>
      </c>
      <c r="AG12" s="319"/>
      <c r="AH12" s="319"/>
      <c r="AI12" s="319"/>
      <c r="AJ12" s="320"/>
      <c r="AK12" s="318" t="str">
        <f>IF($C12="","",INDEX(TotalApuestas!$A$1:$GL$50007,MATCH(Seguimiento!$C12,TotalApuestas!$B$1:$B$50007,0),MATCH(Seguimiento!AP$2,Resultado!$2:$2,0)))</f>
        <v/>
      </c>
      <c r="AL12" s="319"/>
      <c r="AM12" s="319"/>
      <c r="AN12" s="319"/>
      <c r="AO12" s="319"/>
      <c r="AP12" s="257" t="str">
        <f t="shared" si="3"/>
        <v/>
      </c>
      <c r="AQ12" s="318" t="str" cm="1">
        <f t="array" ref="AQ12">IF($C12="","",INDEX(TotalApuestas!$A$1:$GL$50007,MATCH(Seguimiento!$C12,TotalApuestas!$B$1:$B$50007,0),MATCH(Seguimiento!AP$2,Resultado!$2:$2,0)+1))</f>
        <v/>
      </c>
      <c r="AR12" s="319"/>
      <c r="AS12" s="319"/>
      <c r="AT12" s="319"/>
      <c r="AU12" s="320"/>
      <c r="AV12" s="80"/>
      <c r="AX12" s="134"/>
      <c r="AY12" s="234" t="str">
        <f>IF(ClasificaciónPorra!D10=0,"",ClasificaciónPorra!D10)</f>
        <v/>
      </c>
      <c r="AZ12" s="147" t="str" cm="1">
        <f t="array" ref="AZ12">IF(OR(AZ$6="",$AY12=""),"",IFERROR(INDEX(TotalApuestas!$A$1:$GL$50007,MATCH(Seguimiento!$AY12,TotalApuestas!$B$1:$B$50007,0),MATCH("Equipos"&amp;Seguimiento!$AY$2,Resultado!$4:$4,0)+COLUMNS($AZ$2:AZ$2)-1),0))</f>
        <v/>
      </c>
      <c r="BA12" s="147" t="str" cm="1">
        <f t="array" ref="BA12">IF(OR(BA$6="",$AY12=""),"",IFERROR(INDEX(TotalApuestas!$A$1:$GL$50007,MATCH(Seguimiento!$AY12,TotalApuestas!$B$1:$B$50007,0),MATCH("Equipos"&amp;Seguimiento!$AY$2,Resultado!$4:$4,0)+COLUMNS($AZ$2:BA$2)-1),0))</f>
        <v/>
      </c>
      <c r="BB12" s="147" t="str" cm="1">
        <f t="array" ref="BB12">IF(OR(BB$6="",$AY12=""),"",IFERROR(INDEX(TotalApuestas!$A$1:$GL$50007,MATCH(Seguimiento!$AY12,TotalApuestas!$B$1:$B$50007,0),MATCH("Equipos"&amp;Seguimiento!$AY$2,Resultado!$4:$4,0)+COLUMNS($AZ$2:BB$2)-1),0))</f>
        <v/>
      </c>
      <c r="BC12" s="147" t="str" cm="1">
        <f t="array" ref="BC12">IF(OR(BC$6="",$AY12=""),"",IFERROR(INDEX(TotalApuestas!$A$1:$GL$50007,MATCH(Seguimiento!$AY12,TotalApuestas!$B$1:$B$50007,0),MATCH("Equipos"&amp;Seguimiento!$AY$2,Resultado!$4:$4,0)+COLUMNS($AZ$2:BC$2)-1),0))</f>
        <v/>
      </c>
      <c r="BD12" s="147" t="str" cm="1">
        <f t="array" ref="BD12">IF(OR(BD$6="",$AY12=""),"",IFERROR(INDEX(TotalApuestas!$A$1:$GL$50007,MATCH(Seguimiento!$AY12,TotalApuestas!$B$1:$B$50007,0),MATCH("Equipos"&amp;Seguimiento!$AY$2,Resultado!$4:$4,0)+COLUMNS($AZ$2:BD$2)-1),0))</f>
        <v/>
      </c>
      <c r="BE12" s="147" t="str" cm="1">
        <f t="array" ref="BE12">IF(OR(BE$6="",$AY12=""),"",IFERROR(INDEX(TotalApuestas!$A$1:$GL$50007,MATCH(Seguimiento!$AY12,TotalApuestas!$B$1:$B$50007,0),MATCH("Equipos"&amp;Seguimiento!$AY$2,Resultado!$4:$4,0)+COLUMNS($AZ$2:BE$2)-1),0))</f>
        <v/>
      </c>
      <c r="BF12" s="147" t="str" cm="1">
        <f t="array" ref="BF12">IF(OR(BF$6="",$AY12=""),"",IFERROR(INDEX(TotalApuestas!$A$1:$GL$50007,MATCH(Seguimiento!$AY12,TotalApuestas!$B$1:$B$50007,0),MATCH("Equipos"&amp;Seguimiento!$AY$2,Resultado!$4:$4,0)+COLUMNS($AZ$2:BF$2)-1),0))</f>
        <v/>
      </c>
      <c r="BG12" s="147" t="str" cm="1">
        <f t="array" ref="BG12">IF(OR(BG$6="",$AY12=""),"",IFERROR(INDEX(TotalApuestas!$A$1:$GL$50007,MATCH(Seguimiento!$AY12,TotalApuestas!$B$1:$B$50007,0),MATCH("Equipos"&amp;Seguimiento!$AY$2,Resultado!$4:$4,0)+COLUMNS($AZ$2:BG$2)-1),0))</f>
        <v/>
      </c>
      <c r="BH12" s="80"/>
      <c r="BJ12"/>
      <c r="BK12"/>
    </row>
    <row r="13" spans="1:63" ht="20.100000000000001" customHeight="1" x14ac:dyDescent="0.25">
      <c r="B13" s="134"/>
      <c r="C13" s="260" t="str">
        <f>IF(ClasificaciónPorra!D7=0,"",ClasificaciónPorra!D7)</f>
        <v/>
      </c>
      <c r="D13" s="318" t="str">
        <f>IF($C13="","",INDEX(TotalApuestas!$A$1:$GL$50007,MATCH(Seguimiento!$C13,TotalApuestas!$B$1:$B$50007,0),MATCH(Seguimiento!I$2,Resultado!$2:$2,0)))</f>
        <v/>
      </c>
      <c r="E13" s="319"/>
      <c r="F13" s="319"/>
      <c r="G13" s="319"/>
      <c r="H13" s="319"/>
      <c r="I13" s="257" t="str">
        <f t="shared" si="0"/>
        <v/>
      </c>
      <c r="J13" s="319" t="str" cm="1">
        <f t="array" ref="J13">IF($C13="","",INDEX(TotalApuestas!$A$1:$GL$50007,MATCH(Seguimiento!$C13,TotalApuestas!$B$1:$B$50007,0),MATCH(Seguimiento!I$2,Resultado!$2:$2,0)+1))</f>
        <v/>
      </c>
      <c r="K13" s="319"/>
      <c r="L13" s="319"/>
      <c r="M13" s="319"/>
      <c r="N13" s="320"/>
      <c r="O13" s="318" t="str">
        <f>IF($C13="","",INDEX(TotalApuestas!$A$1:$GL$50007,MATCH(Seguimiento!$C13,TotalApuestas!$B$1:$B$50007,0),MATCH(Seguimiento!T$2,Resultado!$2:$2,0)))</f>
        <v/>
      </c>
      <c r="P13" s="319"/>
      <c r="Q13" s="319"/>
      <c r="R13" s="319"/>
      <c r="S13" s="319"/>
      <c r="T13" s="257" t="str">
        <f t="shared" si="1"/>
        <v/>
      </c>
      <c r="U13" s="319" t="str" cm="1">
        <f t="array" ref="U13">IF($C13="","",INDEX(TotalApuestas!$A$1:$GL$50007,MATCH(Seguimiento!$C13,TotalApuestas!$B$1:$B$50007,0),MATCH(Seguimiento!T$2,Resultado!$2:$2,0)+1))</f>
        <v/>
      </c>
      <c r="V13" s="319"/>
      <c r="W13" s="319"/>
      <c r="X13" s="319"/>
      <c r="Y13" s="320"/>
      <c r="Z13" s="318" t="str">
        <f>IF($C13="","",INDEX(TotalApuestas!$A$1:$GL$50007,MATCH(Seguimiento!$C13,TotalApuestas!$B$1:$B$50007,0),MATCH(Seguimiento!AE$2,Resultado!$2:$2,0)))</f>
        <v/>
      </c>
      <c r="AA13" s="319"/>
      <c r="AB13" s="319"/>
      <c r="AC13" s="319"/>
      <c r="AD13" s="319"/>
      <c r="AE13" s="257" t="str">
        <f t="shared" si="2"/>
        <v/>
      </c>
      <c r="AF13" s="319" t="str" cm="1">
        <f t="array" ref="AF13">IF($C13="","",INDEX(TotalApuestas!$A$1:$GL$50007,MATCH(Seguimiento!$C13,TotalApuestas!$B$1:$B$50007,0),MATCH(Seguimiento!AE$2,Resultado!$2:$2,0)+1))</f>
        <v/>
      </c>
      <c r="AG13" s="319"/>
      <c r="AH13" s="319"/>
      <c r="AI13" s="319"/>
      <c r="AJ13" s="320"/>
      <c r="AK13" s="318" t="str">
        <f>IF($C13="","",INDEX(TotalApuestas!$A$1:$GL$50007,MATCH(Seguimiento!$C13,TotalApuestas!$B$1:$B$50007,0),MATCH(Seguimiento!AP$2,Resultado!$2:$2,0)))</f>
        <v/>
      </c>
      <c r="AL13" s="319"/>
      <c r="AM13" s="319"/>
      <c r="AN13" s="319"/>
      <c r="AO13" s="319"/>
      <c r="AP13" s="257" t="str">
        <f t="shared" si="3"/>
        <v/>
      </c>
      <c r="AQ13" s="318" t="str" cm="1">
        <f t="array" ref="AQ13">IF($C13="","",INDEX(TotalApuestas!$A$1:$GL$50007,MATCH(Seguimiento!$C13,TotalApuestas!$B$1:$B$50007,0),MATCH(Seguimiento!AP$2,Resultado!$2:$2,0)+1))</f>
        <v/>
      </c>
      <c r="AR13" s="319"/>
      <c r="AS13" s="319"/>
      <c r="AT13" s="319"/>
      <c r="AU13" s="320"/>
      <c r="AV13" s="80"/>
      <c r="AX13" s="134"/>
      <c r="AY13" s="234" t="str">
        <f>IF(ClasificaciónPorra!D11=0,"",ClasificaciónPorra!D11)</f>
        <v/>
      </c>
      <c r="AZ13" s="147" t="str" cm="1">
        <f t="array" ref="AZ13">IF(OR(AZ$6="",$AY13=""),"",IFERROR(INDEX(TotalApuestas!$A$1:$GL$50007,MATCH(Seguimiento!$AY13,TotalApuestas!$B$1:$B$50007,0),MATCH("Equipos"&amp;Seguimiento!$AY$2,Resultado!$4:$4,0)+COLUMNS($AZ$2:AZ$2)-1),0))</f>
        <v/>
      </c>
      <c r="BA13" s="147" t="str" cm="1">
        <f t="array" ref="BA13">IF(OR(BA$6="",$AY13=""),"",IFERROR(INDEX(TotalApuestas!$A$1:$GL$50007,MATCH(Seguimiento!$AY13,TotalApuestas!$B$1:$B$50007,0),MATCH("Equipos"&amp;Seguimiento!$AY$2,Resultado!$4:$4,0)+COLUMNS($AZ$2:BA$2)-1),0))</f>
        <v/>
      </c>
      <c r="BB13" s="147" t="str" cm="1">
        <f t="array" ref="BB13">IF(OR(BB$6="",$AY13=""),"",IFERROR(INDEX(TotalApuestas!$A$1:$GL$50007,MATCH(Seguimiento!$AY13,TotalApuestas!$B$1:$B$50007,0),MATCH("Equipos"&amp;Seguimiento!$AY$2,Resultado!$4:$4,0)+COLUMNS($AZ$2:BB$2)-1),0))</f>
        <v/>
      </c>
      <c r="BC13" s="147" t="str" cm="1">
        <f t="array" ref="BC13">IF(OR(BC$6="",$AY13=""),"",IFERROR(INDEX(TotalApuestas!$A$1:$GL$50007,MATCH(Seguimiento!$AY13,TotalApuestas!$B$1:$B$50007,0),MATCH("Equipos"&amp;Seguimiento!$AY$2,Resultado!$4:$4,0)+COLUMNS($AZ$2:BC$2)-1),0))</f>
        <v/>
      </c>
      <c r="BD13" s="147" t="str" cm="1">
        <f t="array" ref="BD13">IF(OR(BD$6="",$AY13=""),"",IFERROR(INDEX(TotalApuestas!$A$1:$GL$50007,MATCH(Seguimiento!$AY13,TotalApuestas!$B$1:$B$50007,0),MATCH("Equipos"&amp;Seguimiento!$AY$2,Resultado!$4:$4,0)+COLUMNS($AZ$2:BD$2)-1),0))</f>
        <v/>
      </c>
      <c r="BE13" s="147" t="str" cm="1">
        <f t="array" ref="BE13">IF(OR(BE$6="",$AY13=""),"",IFERROR(INDEX(TotalApuestas!$A$1:$GL$50007,MATCH(Seguimiento!$AY13,TotalApuestas!$B$1:$B$50007,0),MATCH("Equipos"&amp;Seguimiento!$AY$2,Resultado!$4:$4,0)+COLUMNS($AZ$2:BE$2)-1),0))</f>
        <v/>
      </c>
      <c r="BF13" s="147" t="str" cm="1">
        <f t="array" ref="BF13">IF(OR(BF$6="",$AY13=""),"",IFERROR(INDEX(TotalApuestas!$A$1:$GL$50007,MATCH(Seguimiento!$AY13,TotalApuestas!$B$1:$B$50007,0),MATCH("Equipos"&amp;Seguimiento!$AY$2,Resultado!$4:$4,0)+COLUMNS($AZ$2:BF$2)-1),0))</f>
        <v/>
      </c>
      <c r="BG13" s="147" t="str" cm="1">
        <f t="array" ref="BG13">IF(OR(BG$6="",$AY13=""),"",IFERROR(INDEX(TotalApuestas!$A$1:$GL$50007,MATCH(Seguimiento!$AY13,TotalApuestas!$B$1:$B$50007,0),MATCH("Equipos"&amp;Seguimiento!$AY$2,Resultado!$4:$4,0)+COLUMNS($AZ$2:BG$2)-1),0))</f>
        <v/>
      </c>
      <c r="BH13" s="80"/>
      <c r="BJ13"/>
      <c r="BK13"/>
    </row>
    <row r="14" spans="1:63" ht="20.100000000000001" customHeight="1" x14ac:dyDescent="0.25">
      <c r="B14" s="134"/>
      <c r="C14" s="260" t="str">
        <f>IF(ClasificaciónPorra!D8=0,"",ClasificaciónPorra!D8)</f>
        <v/>
      </c>
      <c r="D14" s="318" t="str">
        <f>IF($C14="","",INDEX(TotalApuestas!$A$1:$GL$50007,MATCH(Seguimiento!$C14,TotalApuestas!$B$1:$B$50007,0),MATCH(Seguimiento!I$2,Resultado!$2:$2,0)))</f>
        <v/>
      </c>
      <c r="E14" s="319"/>
      <c r="F14" s="319"/>
      <c r="G14" s="319"/>
      <c r="H14" s="319"/>
      <c r="I14" s="257" t="str">
        <f t="shared" si="0"/>
        <v/>
      </c>
      <c r="J14" s="319" t="str" cm="1">
        <f t="array" ref="J14">IF($C14="","",INDEX(TotalApuestas!$A$1:$GL$50007,MATCH(Seguimiento!$C14,TotalApuestas!$B$1:$B$50007,0),MATCH(Seguimiento!I$2,Resultado!$2:$2,0)+1))</f>
        <v/>
      </c>
      <c r="K14" s="319"/>
      <c r="L14" s="319"/>
      <c r="M14" s="319"/>
      <c r="N14" s="320"/>
      <c r="O14" s="318" t="str">
        <f>IF($C14="","",INDEX(TotalApuestas!$A$1:$GL$50007,MATCH(Seguimiento!$C14,TotalApuestas!$B$1:$B$50007,0),MATCH(Seguimiento!T$2,Resultado!$2:$2,0)))</f>
        <v/>
      </c>
      <c r="P14" s="319"/>
      <c r="Q14" s="319"/>
      <c r="R14" s="319"/>
      <c r="S14" s="319"/>
      <c r="T14" s="257" t="str">
        <f t="shared" si="1"/>
        <v/>
      </c>
      <c r="U14" s="319" t="str" cm="1">
        <f t="array" ref="U14">IF($C14="","",INDEX(TotalApuestas!$A$1:$GL$50007,MATCH(Seguimiento!$C14,TotalApuestas!$B$1:$B$50007,0),MATCH(Seguimiento!T$2,Resultado!$2:$2,0)+1))</f>
        <v/>
      </c>
      <c r="V14" s="319"/>
      <c r="W14" s="319"/>
      <c r="X14" s="319"/>
      <c r="Y14" s="320"/>
      <c r="Z14" s="318" t="str">
        <f>IF($C14="","",INDEX(TotalApuestas!$A$1:$GL$50007,MATCH(Seguimiento!$C14,TotalApuestas!$B$1:$B$50007,0),MATCH(Seguimiento!AE$2,Resultado!$2:$2,0)))</f>
        <v/>
      </c>
      <c r="AA14" s="319"/>
      <c r="AB14" s="319"/>
      <c r="AC14" s="319"/>
      <c r="AD14" s="319"/>
      <c r="AE14" s="257" t="str">
        <f t="shared" si="2"/>
        <v/>
      </c>
      <c r="AF14" s="319" t="str" cm="1">
        <f t="array" ref="AF14">IF($C14="","",INDEX(TotalApuestas!$A$1:$GL$50007,MATCH(Seguimiento!$C14,TotalApuestas!$B$1:$B$50007,0),MATCH(Seguimiento!AE$2,Resultado!$2:$2,0)+1))</f>
        <v/>
      </c>
      <c r="AG14" s="319"/>
      <c r="AH14" s="319"/>
      <c r="AI14" s="319"/>
      <c r="AJ14" s="320"/>
      <c r="AK14" s="318" t="str">
        <f>IF($C14="","",INDEX(TotalApuestas!$A$1:$GL$50007,MATCH(Seguimiento!$C14,TotalApuestas!$B$1:$B$50007,0),MATCH(Seguimiento!AP$2,Resultado!$2:$2,0)))</f>
        <v/>
      </c>
      <c r="AL14" s="319"/>
      <c r="AM14" s="319"/>
      <c r="AN14" s="319"/>
      <c r="AO14" s="319"/>
      <c r="AP14" s="257" t="str">
        <f t="shared" si="3"/>
        <v/>
      </c>
      <c r="AQ14" s="318" t="str" cm="1">
        <f t="array" ref="AQ14">IF($C14="","",INDEX(TotalApuestas!$A$1:$GL$50007,MATCH(Seguimiento!$C14,TotalApuestas!$B$1:$B$50007,0),MATCH(Seguimiento!AP$2,Resultado!$2:$2,0)+1))</f>
        <v/>
      </c>
      <c r="AR14" s="319"/>
      <c r="AS14" s="319"/>
      <c r="AT14" s="319"/>
      <c r="AU14" s="320"/>
      <c r="AV14" s="80"/>
      <c r="AX14" s="134"/>
      <c r="AY14" s="234" t="str">
        <f>IF(ClasificaciónPorra!D12=0,"",ClasificaciónPorra!D12)</f>
        <v/>
      </c>
      <c r="AZ14" s="147" t="str" cm="1">
        <f t="array" ref="AZ14">IF(OR(AZ$6="",$AY14=""),"",IFERROR(INDEX(TotalApuestas!$A$1:$GL$50007,MATCH(Seguimiento!$AY14,TotalApuestas!$B$1:$B$50007,0),MATCH("Equipos"&amp;Seguimiento!$AY$2,Resultado!$4:$4,0)+COLUMNS($AZ$2:AZ$2)-1),0))</f>
        <v/>
      </c>
      <c r="BA14" s="147" t="str" cm="1">
        <f t="array" ref="BA14">IF(OR(BA$6="",$AY14=""),"",IFERROR(INDEX(TotalApuestas!$A$1:$GL$50007,MATCH(Seguimiento!$AY14,TotalApuestas!$B$1:$B$50007,0),MATCH("Equipos"&amp;Seguimiento!$AY$2,Resultado!$4:$4,0)+COLUMNS($AZ$2:BA$2)-1),0))</f>
        <v/>
      </c>
      <c r="BB14" s="147" t="str" cm="1">
        <f t="array" ref="BB14">IF(OR(BB$6="",$AY14=""),"",IFERROR(INDEX(TotalApuestas!$A$1:$GL$50007,MATCH(Seguimiento!$AY14,TotalApuestas!$B$1:$B$50007,0),MATCH("Equipos"&amp;Seguimiento!$AY$2,Resultado!$4:$4,0)+COLUMNS($AZ$2:BB$2)-1),0))</f>
        <v/>
      </c>
      <c r="BC14" s="147" t="str" cm="1">
        <f t="array" ref="BC14">IF(OR(BC$6="",$AY14=""),"",IFERROR(INDEX(TotalApuestas!$A$1:$GL$50007,MATCH(Seguimiento!$AY14,TotalApuestas!$B$1:$B$50007,0),MATCH("Equipos"&amp;Seguimiento!$AY$2,Resultado!$4:$4,0)+COLUMNS($AZ$2:BC$2)-1),0))</f>
        <v/>
      </c>
      <c r="BD14" s="147" t="str" cm="1">
        <f t="array" ref="BD14">IF(OR(BD$6="",$AY14=""),"",IFERROR(INDEX(TotalApuestas!$A$1:$GL$50007,MATCH(Seguimiento!$AY14,TotalApuestas!$B$1:$B$50007,0),MATCH("Equipos"&amp;Seguimiento!$AY$2,Resultado!$4:$4,0)+COLUMNS($AZ$2:BD$2)-1),0))</f>
        <v/>
      </c>
      <c r="BE14" s="147" t="str" cm="1">
        <f t="array" ref="BE14">IF(OR(BE$6="",$AY14=""),"",IFERROR(INDEX(TotalApuestas!$A$1:$GL$50007,MATCH(Seguimiento!$AY14,TotalApuestas!$B$1:$B$50007,0),MATCH("Equipos"&amp;Seguimiento!$AY$2,Resultado!$4:$4,0)+COLUMNS($AZ$2:BE$2)-1),0))</f>
        <v/>
      </c>
      <c r="BF14" s="147" t="str" cm="1">
        <f t="array" ref="BF14">IF(OR(BF$6="",$AY14=""),"",IFERROR(INDEX(TotalApuestas!$A$1:$GL$50007,MATCH(Seguimiento!$AY14,TotalApuestas!$B$1:$B$50007,0),MATCH("Equipos"&amp;Seguimiento!$AY$2,Resultado!$4:$4,0)+COLUMNS($AZ$2:BF$2)-1),0))</f>
        <v/>
      </c>
      <c r="BG14" s="147" t="str" cm="1">
        <f t="array" ref="BG14">IF(OR(BG$6="",$AY14=""),"",IFERROR(INDEX(TotalApuestas!$A$1:$GL$50007,MATCH(Seguimiento!$AY14,TotalApuestas!$B$1:$B$50007,0),MATCH("Equipos"&amp;Seguimiento!$AY$2,Resultado!$4:$4,0)+COLUMNS($AZ$2:BG$2)-1),0))</f>
        <v/>
      </c>
      <c r="BH14" s="80"/>
      <c r="BJ14"/>
      <c r="BK14"/>
    </row>
    <row r="15" spans="1:63" ht="20.100000000000001" customHeight="1" x14ac:dyDescent="0.25">
      <c r="B15" s="134"/>
      <c r="C15" s="260" t="str">
        <f>IF(ClasificaciónPorra!D9=0,"",ClasificaciónPorra!D9)</f>
        <v/>
      </c>
      <c r="D15" s="318" t="str">
        <f>IF($C15="","",INDEX(TotalApuestas!$A$1:$GL$50007,MATCH(Seguimiento!$C15,TotalApuestas!$B$1:$B$50007,0),MATCH(Seguimiento!I$2,Resultado!$2:$2,0)))</f>
        <v/>
      </c>
      <c r="E15" s="319"/>
      <c r="F15" s="319"/>
      <c r="G15" s="319"/>
      <c r="H15" s="319"/>
      <c r="I15" s="257" t="str">
        <f t="shared" ref="I15:I22" si="4">+IF(D15="","",IF(D15&gt;J15,1,IF(D15=J15,"X",2)))</f>
        <v/>
      </c>
      <c r="J15" s="319" t="str" cm="1">
        <f t="array" ref="J15">IF($C15="","",INDEX(TotalApuestas!$A$1:$GL$50007,MATCH(Seguimiento!$C15,TotalApuestas!$B$1:$B$50007,0),MATCH(Seguimiento!I$2,Resultado!$2:$2,0)+1))</f>
        <v/>
      </c>
      <c r="K15" s="319"/>
      <c r="L15" s="319"/>
      <c r="M15" s="319"/>
      <c r="N15" s="320"/>
      <c r="O15" s="318" t="str">
        <f>IF($C15="","",INDEX(TotalApuestas!$A$1:$GL$50007,MATCH(Seguimiento!$C15,TotalApuestas!$B$1:$B$50007,0),MATCH(Seguimiento!T$2,Resultado!$2:$2,0)))</f>
        <v/>
      </c>
      <c r="P15" s="319"/>
      <c r="Q15" s="319"/>
      <c r="R15" s="319"/>
      <c r="S15" s="319"/>
      <c r="T15" s="257" t="str">
        <f t="shared" ref="T15:T22" si="5">+IF(O15="","",IF(O15&gt;U15,1,IF(O15=U15,"X",2)))</f>
        <v/>
      </c>
      <c r="U15" s="319" t="str" cm="1">
        <f t="array" ref="U15">IF($C15="","",INDEX(TotalApuestas!$A$1:$GL$50007,MATCH(Seguimiento!$C15,TotalApuestas!$B$1:$B$50007,0),MATCH(Seguimiento!T$2,Resultado!$2:$2,0)+1))</f>
        <v/>
      </c>
      <c r="V15" s="319"/>
      <c r="W15" s="319"/>
      <c r="X15" s="319"/>
      <c r="Y15" s="320"/>
      <c r="Z15" s="318" t="str">
        <f>IF($C15="","",INDEX(TotalApuestas!$A$1:$GL$50007,MATCH(Seguimiento!$C15,TotalApuestas!$B$1:$B$50007,0),MATCH(Seguimiento!AE$2,Resultado!$2:$2,0)))</f>
        <v/>
      </c>
      <c r="AA15" s="319"/>
      <c r="AB15" s="319"/>
      <c r="AC15" s="319"/>
      <c r="AD15" s="319"/>
      <c r="AE15" s="257" t="str">
        <f t="shared" ref="AE15:AE22" si="6">+IF(Z15="","",IF(Z15&gt;AF15,1,IF(Z15=AF15,"X",2)))</f>
        <v/>
      </c>
      <c r="AF15" s="319" t="str" cm="1">
        <f t="array" ref="AF15">IF($C15="","",INDEX(TotalApuestas!$A$1:$GL$50007,MATCH(Seguimiento!$C15,TotalApuestas!$B$1:$B$50007,0),MATCH(Seguimiento!AE$2,Resultado!$2:$2,0)+1))</f>
        <v/>
      </c>
      <c r="AG15" s="319"/>
      <c r="AH15" s="319"/>
      <c r="AI15" s="319"/>
      <c r="AJ15" s="320"/>
      <c r="AK15" s="318" t="str">
        <f>IF($C15="","",INDEX(TotalApuestas!$A$1:$GL$50007,MATCH(Seguimiento!$C15,TotalApuestas!$B$1:$B$50007,0),MATCH(Seguimiento!AP$2,Resultado!$2:$2,0)))</f>
        <v/>
      </c>
      <c r="AL15" s="319"/>
      <c r="AM15" s="319"/>
      <c r="AN15" s="319"/>
      <c r="AO15" s="319"/>
      <c r="AP15" s="257" t="str">
        <f t="shared" ref="AP15:AP22" si="7">+IF(AK15="","",IF(AK15&gt;AQ15,1,IF(AK15=AQ15,"X",2)))</f>
        <v/>
      </c>
      <c r="AQ15" s="318" t="str" cm="1">
        <f t="array" ref="AQ15">IF($C15="","",INDEX(TotalApuestas!$A$1:$GL$50007,MATCH(Seguimiento!$C15,TotalApuestas!$B$1:$B$50007,0),MATCH(Seguimiento!AP$2,Resultado!$2:$2,0)+1))</f>
        <v/>
      </c>
      <c r="AR15" s="319"/>
      <c r="AS15" s="319"/>
      <c r="AT15" s="319"/>
      <c r="AU15" s="320"/>
      <c r="AV15" s="80"/>
      <c r="AX15" s="134"/>
      <c r="AY15" s="234" t="str">
        <f>IF(ClasificaciónPorra!D13=0,"",ClasificaciónPorra!D13)</f>
        <v/>
      </c>
      <c r="AZ15" s="147" t="str" cm="1">
        <f t="array" ref="AZ15">IF(OR(AZ$6="",$AY15=""),"",IFERROR(INDEX(TotalApuestas!$A$1:$GL$50007,MATCH(Seguimiento!$AY15,TotalApuestas!$B$1:$B$50007,0),MATCH("Equipos"&amp;Seguimiento!$AY$2,Resultado!$4:$4,0)+COLUMNS($AZ$2:AZ$2)-1),0))</f>
        <v/>
      </c>
      <c r="BA15" s="147" t="str" cm="1">
        <f t="array" ref="BA15">IF(OR(BA$6="",$AY15=""),"",IFERROR(INDEX(TotalApuestas!$A$1:$GL$50007,MATCH(Seguimiento!$AY15,TotalApuestas!$B$1:$B$50007,0),MATCH("Equipos"&amp;Seguimiento!$AY$2,Resultado!$4:$4,0)+COLUMNS($AZ$2:BA$2)-1),0))</f>
        <v/>
      </c>
      <c r="BB15" s="147" t="str" cm="1">
        <f t="array" ref="BB15">IF(OR(BB$6="",$AY15=""),"",IFERROR(INDEX(TotalApuestas!$A$1:$GL$50007,MATCH(Seguimiento!$AY15,TotalApuestas!$B$1:$B$50007,0),MATCH("Equipos"&amp;Seguimiento!$AY$2,Resultado!$4:$4,0)+COLUMNS($AZ$2:BB$2)-1),0))</f>
        <v/>
      </c>
      <c r="BC15" s="147" t="str" cm="1">
        <f t="array" ref="BC15">IF(OR(BC$6="",$AY15=""),"",IFERROR(INDEX(TotalApuestas!$A$1:$GL$50007,MATCH(Seguimiento!$AY15,TotalApuestas!$B$1:$B$50007,0),MATCH("Equipos"&amp;Seguimiento!$AY$2,Resultado!$4:$4,0)+COLUMNS($AZ$2:BC$2)-1),0))</f>
        <v/>
      </c>
      <c r="BD15" s="147" t="str" cm="1">
        <f t="array" ref="BD15">IF(OR(BD$6="",$AY15=""),"",IFERROR(INDEX(TotalApuestas!$A$1:$GL$50007,MATCH(Seguimiento!$AY15,TotalApuestas!$B$1:$B$50007,0),MATCH("Equipos"&amp;Seguimiento!$AY$2,Resultado!$4:$4,0)+COLUMNS($AZ$2:BD$2)-1),0))</f>
        <v/>
      </c>
      <c r="BE15" s="147" t="str" cm="1">
        <f t="array" ref="BE15">IF(OR(BE$6="",$AY15=""),"",IFERROR(INDEX(TotalApuestas!$A$1:$GL$50007,MATCH(Seguimiento!$AY15,TotalApuestas!$B$1:$B$50007,0),MATCH("Equipos"&amp;Seguimiento!$AY$2,Resultado!$4:$4,0)+COLUMNS($AZ$2:BE$2)-1),0))</f>
        <v/>
      </c>
      <c r="BF15" s="147" t="str" cm="1">
        <f t="array" ref="BF15">IF(OR(BF$6="",$AY15=""),"",IFERROR(INDEX(TotalApuestas!$A$1:$GL$50007,MATCH(Seguimiento!$AY15,TotalApuestas!$B$1:$B$50007,0),MATCH("Equipos"&amp;Seguimiento!$AY$2,Resultado!$4:$4,0)+COLUMNS($AZ$2:BF$2)-1),0))</f>
        <v/>
      </c>
      <c r="BG15" s="147" t="str" cm="1">
        <f t="array" ref="BG15">IF(OR(BG$6="",$AY15=""),"",IFERROR(INDEX(TotalApuestas!$A$1:$GL$50007,MATCH(Seguimiento!$AY15,TotalApuestas!$B$1:$B$50007,0),MATCH("Equipos"&amp;Seguimiento!$AY$2,Resultado!$4:$4,0)+COLUMNS($AZ$2:BG$2)-1),0))</f>
        <v/>
      </c>
      <c r="BH15" s="80"/>
      <c r="BJ15"/>
      <c r="BK15"/>
    </row>
    <row r="16" spans="1:63" ht="20.100000000000001" customHeight="1" x14ac:dyDescent="0.25">
      <c r="B16" s="134"/>
      <c r="C16" s="260" t="str">
        <f>IF(ClasificaciónPorra!D10=0,"",ClasificaciónPorra!D10)</f>
        <v/>
      </c>
      <c r="D16" s="318" t="str">
        <f>IF($C16="","",INDEX(TotalApuestas!$A$1:$GL$50007,MATCH(Seguimiento!$C16,TotalApuestas!$B$1:$B$50007,0),MATCH(Seguimiento!I$2,Resultado!$2:$2,0)))</f>
        <v/>
      </c>
      <c r="E16" s="319"/>
      <c r="F16" s="319"/>
      <c r="G16" s="319"/>
      <c r="H16" s="319"/>
      <c r="I16" s="257" t="str">
        <f t="shared" si="4"/>
        <v/>
      </c>
      <c r="J16" s="319" t="str" cm="1">
        <f t="array" ref="J16">IF($C16="","",INDEX(TotalApuestas!$A$1:$GL$50007,MATCH(Seguimiento!$C16,TotalApuestas!$B$1:$B$50007,0),MATCH(Seguimiento!I$2,Resultado!$2:$2,0)+1))</f>
        <v/>
      </c>
      <c r="K16" s="319"/>
      <c r="L16" s="319"/>
      <c r="M16" s="319"/>
      <c r="N16" s="320"/>
      <c r="O16" s="318" t="str">
        <f>IF($C16="","",INDEX(TotalApuestas!$A$1:$GL$50007,MATCH(Seguimiento!$C16,TotalApuestas!$B$1:$B$50007,0),MATCH(Seguimiento!T$2,Resultado!$2:$2,0)))</f>
        <v/>
      </c>
      <c r="P16" s="319"/>
      <c r="Q16" s="319"/>
      <c r="R16" s="319"/>
      <c r="S16" s="319"/>
      <c r="T16" s="257" t="str">
        <f t="shared" si="5"/>
        <v/>
      </c>
      <c r="U16" s="319" t="str" cm="1">
        <f t="array" ref="U16">IF($C16="","",INDEX(TotalApuestas!$A$1:$GL$50007,MATCH(Seguimiento!$C16,TotalApuestas!$B$1:$B$50007,0),MATCH(Seguimiento!T$2,Resultado!$2:$2,0)+1))</f>
        <v/>
      </c>
      <c r="V16" s="319"/>
      <c r="W16" s="319"/>
      <c r="X16" s="319"/>
      <c r="Y16" s="320"/>
      <c r="Z16" s="318" t="str">
        <f>IF($C16="","",INDEX(TotalApuestas!$A$1:$GL$50007,MATCH(Seguimiento!$C16,TotalApuestas!$B$1:$B$50007,0),MATCH(Seguimiento!AE$2,Resultado!$2:$2,0)))</f>
        <v/>
      </c>
      <c r="AA16" s="319"/>
      <c r="AB16" s="319"/>
      <c r="AC16" s="319"/>
      <c r="AD16" s="319"/>
      <c r="AE16" s="257" t="str">
        <f t="shared" si="6"/>
        <v/>
      </c>
      <c r="AF16" s="319" t="str" cm="1">
        <f t="array" ref="AF16">IF($C16="","",INDEX(TotalApuestas!$A$1:$GL$50007,MATCH(Seguimiento!$C16,TotalApuestas!$B$1:$B$50007,0),MATCH(Seguimiento!AE$2,Resultado!$2:$2,0)+1))</f>
        <v/>
      </c>
      <c r="AG16" s="319"/>
      <c r="AH16" s="319"/>
      <c r="AI16" s="319"/>
      <c r="AJ16" s="320"/>
      <c r="AK16" s="318" t="str">
        <f>IF($C16="","",INDEX(TotalApuestas!$A$1:$GL$50007,MATCH(Seguimiento!$C16,TotalApuestas!$B$1:$B$50007,0),MATCH(Seguimiento!AP$2,Resultado!$2:$2,0)))</f>
        <v/>
      </c>
      <c r="AL16" s="319"/>
      <c r="AM16" s="319"/>
      <c r="AN16" s="319"/>
      <c r="AO16" s="319"/>
      <c r="AP16" s="257" t="str">
        <f t="shared" si="7"/>
        <v/>
      </c>
      <c r="AQ16" s="318" t="str" cm="1">
        <f t="array" ref="AQ16">IF($C16="","",INDEX(TotalApuestas!$A$1:$GL$50007,MATCH(Seguimiento!$C16,TotalApuestas!$B$1:$B$50007,0),MATCH(Seguimiento!AP$2,Resultado!$2:$2,0)+1))</f>
        <v/>
      </c>
      <c r="AR16" s="319"/>
      <c r="AS16" s="319"/>
      <c r="AT16" s="319"/>
      <c r="AU16" s="320"/>
      <c r="AV16" s="80"/>
      <c r="AX16" s="134"/>
      <c r="AY16" s="234" t="str">
        <f>IF(ClasificaciónPorra!D14=0,"",ClasificaciónPorra!D14)</f>
        <v/>
      </c>
      <c r="AZ16" s="147" t="str" cm="1">
        <f t="array" ref="AZ16">IF(OR(AZ$6="",$AY16=""),"",IFERROR(INDEX(TotalApuestas!$A$1:$GL$50007,MATCH(Seguimiento!$AY16,TotalApuestas!$B$1:$B$50007,0),MATCH("Equipos"&amp;Seguimiento!$AY$2,Resultado!$4:$4,0)+COLUMNS($AZ$2:AZ$2)-1),0))</f>
        <v/>
      </c>
      <c r="BA16" s="147" t="str" cm="1">
        <f t="array" ref="BA16">IF(OR(BA$6="",$AY16=""),"",IFERROR(INDEX(TotalApuestas!$A$1:$GL$50007,MATCH(Seguimiento!$AY16,TotalApuestas!$B$1:$B$50007,0),MATCH("Equipos"&amp;Seguimiento!$AY$2,Resultado!$4:$4,0)+COLUMNS($AZ$2:BA$2)-1),0))</f>
        <v/>
      </c>
      <c r="BB16" s="147" t="str" cm="1">
        <f t="array" ref="BB16">IF(OR(BB$6="",$AY16=""),"",IFERROR(INDEX(TotalApuestas!$A$1:$GL$50007,MATCH(Seguimiento!$AY16,TotalApuestas!$B$1:$B$50007,0),MATCH("Equipos"&amp;Seguimiento!$AY$2,Resultado!$4:$4,0)+COLUMNS($AZ$2:BB$2)-1),0))</f>
        <v/>
      </c>
      <c r="BC16" s="147" t="str" cm="1">
        <f t="array" ref="BC16">IF(OR(BC$6="",$AY16=""),"",IFERROR(INDEX(TotalApuestas!$A$1:$GL$50007,MATCH(Seguimiento!$AY16,TotalApuestas!$B$1:$B$50007,0),MATCH("Equipos"&amp;Seguimiento!$AY$2,Resultado!$4:$4,0)+COLUMNS($AZ$2:BC$2)-1),0))</f>
        <v/>
      </c>
      <c r="BD16" s="147" t="str" cm="1">
        <f t="array" ref="BD16">IF(OR(BD$6="",$AY16=""),"",IFERROR(INDEX(TotalApuestas!$A$1:$GL$50007,MATCH(Seguimiento!$AY16,TotalApuestas!$B$1:$B$50007,0),MATCH("Equipos"&amp;Seguimiento!$AY$2,Resultado!$4:$4,0)+COLUMNS($AZ$2:BD$2)-1),0))</f>
        <v/>
      </c>
      <c r="BE16" s="147" t="str" cm="1">
        <f t="array" ref="BE16">IF(OR(BE$6="",$AY16=""),"",IFERROR(INDEX(TotalApuestas!$A$1:$GL$50007,MATCH(Seguimiento!$AY16,TotalApuestas!$B$1:$B$50007,0),MATCH("Equipos"&amp;Seguimiento!$AY$2,Resultado!$4:$4,0)+COLUMNS($AZ$2:BE$2)-1),0))</f>
        <v/>
      </c>
      <c r="BF16" s="147" t="str" cm="1">
        <f t="array" ref="BF16">IF(OR(BF$6="",$AY16=""),"",IFERROR(INDEX(TotalApuestas!$A$1:$GL$50007,MATCH(Seguimiento!$AY16,TotalApuestas!$B$1:$B$50007,0),MATCH("Equipos"&amp;Seguimiento!$AY$2,Resultado!$4:$4,0)+COLUMNS($AZ$2:BF$2)-1),0))</f>
        <v/>
      </c>
      <c r="BG16" s="147" t="str" cm="1">
        <f t="array" ref="BG16">IF(OR(BG$6="",$AY16=""),"",IFERROR(INDEX(TotalApuestas!$A$1:$GL$50007,MATCH(Seguimiento!$AY16,TotalApuestas!$B$1:$B$50007,0),MATCH("Equipos"&amp;Seguimiento!$AY$2,Resultado!$4:$4,0)+COLUMNS($AZ$2:BG$2)-1),0))</f>
        <v/>
      </c>
      <c r="BH16" s="80"/>
      <c r="BJ16"/>
      <c r="BK16"/>
    </row>
    <row r="17" spans="2:63" ht="20.100000000000001" customHeight="1" x14ac:dyDescent="0.25">
      <c r="B17" s="134"/>
      <c r="C17" s="260" t="str">
        <f>IF(ClasificaciónPorra!D11=0,"",ClasificaciónPorra!D11)</f>
        <v/>
      </c>
      <c r="D17" s="318" t="str">
        <f>IF($C17="","",INDEX(TotalApuestas!$A$1:$GL$50007,MATCH(Seguimiento!$C17,TotalApuestas!$B$1:$B$50007,0),MATCH(Seguimiento!I$2,Resultado!$2:$2,0)))</f>
        <v/>
      </c>
      <c r="E17" s="319"/>
      <c r="F17" s="319"/>
      <c r="G17" s="319"/>
      <c r="H17" s="319"/>
      <c r="I17" s="257" t="str">
        <f t="shared" si="4"/>
        <v/>
      </c>
      <c r="J17" s="319" t="str" cm="1">
        <f t="array" ref="J17">IF($C17="","",INDEX(TotalApuestas!$A$1:$GL$50007,MATCH(Seguimiento!$C17,TotalApuestas!$B$1:$B$50007,0),MATCH(Seguimiento!I$2,Resultado!$2:$2,0)+1))</f>
        <v/>
      </c>
      <c r="K17" s="319"/>
      <c r="L17" s="319"/>
      <c r="M17" s="319"/>
      <c r="N17" s="320"/>
      <c r="O17" s="318" t="str">
        <f>IF($C17="","",INDEX(TotalApuestas!$A$1:$GL$50007,MATCH(Seguimiento!$C17,TotalApuestas!$B$1:$B$50007,0),MATCH(Seguimiento!T$2,Resultado!$2:$2,0)))</f>
        <v/>
      </c>
      <c r="P17" s="319"/>
      <c r="Q17" s="319"/>
      <c r="R17" s="319"/>
      <c r="S17" s="319"/>
      <c r="T17" s="257" t="str">
        <f t="shared" si="5"/>
        <v/>
      </c>
      <c r="U17" s="319" t="str" cm="1">
        <f t="array" ref="U17">IF($C17="","",INDEX(TotalApuestas!$A$1:$GL$50007,MATCH(Seguimiento!$C17,TotalApuestas!$B$1:$B$50007,0),MATCH(Seguimiento!T$2,Resultado!$2:$2,0)+1))</f>
        <v/>
      </c>
      <c r="V17" s="319"/>
      <c r="W17" s="319"/>
      <c r="X17" s="319"/>
      <c r="Y17" s="320"/>
      <c r="Z17" s="318" t="str">
        <f>IF($C17="","",INDEX(TotalApuestas!$A$1:$GL$50007,MATCH(Seguimiento!$C17,TotalApuestas!$B$1:$B$50007,0),MATCH(Seguimiento!AE$2,Resultado!$2:$2,0)))</f>
        <v/>
      </c>
      <c r="AA17" s="319"/>
      <c r="AB17" s="319"/>
      <c r="AC17" s="319"/>
      <c r="AD17" s="319"/>
      <c r="AE17" s="257" t="str">
        <f t="shared" si="6"/>
        <v/>
      </c>
      <c r="AF17" s="319" t="str" cm="1">
        <f t="array" ref="AF17">IF($C17="","",INDEX(TotalApuestas!$A$1:$GL$50007,MATCH(Seguimiento!$C17,TotalApuestas!$B$1:$B$50007,0),MATCH(Seguimiento!AE$2,Resultado!$2:$2,0)+1))</f>
        <v/>
      </c>
      <c r="AG17" s="319"/>
      <c r="AH17" s="319"/>
      <c r="AI17" s="319"/>
      <c r="AJ17" s="320"/>
      <c r="AK17" s="318" t="str">
        <f>IF($C17="","",INDEX(TotalApuestas!$A$1:$GL$50007,MATCH(Seguimiento!$C17,TotalApuestas!$B$1:$B$50007,0),MATCH(Seguimiento!AP$2,Resultado!$2:$2,0)))</f>
        <v/>
      </c>
      <c r="AL17" s="319"/>
      <c r="AM17" s="319"/>
      <c r="AN17" s="319"/>
      <c r="AO17" s="319"/>
      <c r="AP17" s="257" t="str">
        <f t="shared" si="7"/>
        <v/>
      </c>
      <c r="AQ17" s="318" t="str" cm="1">
        <f t="array" ref="AQ17">IF($C17="","",INDEX(TotalApuestas!$A$1:$GL$50007,MATCH(Seguimiento!$C17,TotalApuestas!$B$1:$B$50007,0),MATCH(Seguimiento!AP$2,Resultado!$2:$2,0)+1))</f>
        <v/>
      </c>
      <c r="AR17" s="319"/>
      <c r="AS17" s="319"/>
      <c r="AT17" s="319"/>
      <c r="AU17" s="320"/>
      <c r="AV17" s="80"/>
      <c r="AX17" s="134"/>
      <c r="AY17" s="234" t="str">
        <f>IF(ClasificaciónPorra!D15=0,"",ClasificaciónPorra!D15)</f>
        <v/>
      </c>
      <c r="AZ17" s="147" t="str" cm="1">
        <f t="array" ref="AZ17">IF(OR(AZ$6="",$AY17=""),"",IFERROR(INDEX(TotalApuestas!$A$1:$GL$50007,MATCH(Seguimiento!$AY17,TotalApuestas!$B$1:$B$50007,0),MATCH("Equipos"&amp;Seguimiento!$AY$2,Resultado!$4:$4,0)+COLUMNS($AZ$2:AZ$2)-1),0))</f>
        <v/>
      </c>
      <c r="BA17" s="147" t="str" cm="1">
        <f t="array" ref="BA17">IF(OR(BA$6="",$AY17=""),"",IFERROR(INDEX(TotalApuestas!$A$1:$GL$50007,MATCH(Seguimiento!$AY17,TotalApuestas!$B$1:$B$50007,0),MATCH("Equipos"&amp;Seguimiento!$AY$2,Resultado!$4:$4,0)+COLUMNS($AZ$2:BA$2)-1),0))</f>
        <v/>
      </c>
      <c r="BB17" s="147" t="str" cm="1">
        <f t="array" ref="BB17">IF(OR(BB$6="",$AY17=""),"",IFERROR(INDEX(TotalApuestas!$A$1:$GL$50007,MATCH(Seguimiento!$AY17,TotalApuestas!$B$1:$B$50007,0),MATCH("Equipos"&amp;Seguimiento!$AY$2,Resultado!$4:$4,0)+COLUMNS($AZ$2:BB$2)-1),0))</f>
        <v/>
      </c>
      <c r="BC17" s="147" t="str" cm="1">
        <f t="array" ref="BC17">IF(OR(BC$6="",$AY17=""),"",IFERROR(INDEX(TotalApuestas!$A$1:$GL$50007,MATCH(Seguimiento!$AY17,TotalApuestas!$B$1:$B$50007,0),MATCH("Equipos"&amp;Seguimiento!$AY$2,Resultado!$4:$4,0)+COLUMNS($AZ$2:BC$2)-1),0))</f>
        <v/>
      </c>
      <c r="BD17" s="147" t="str" cm="1">
        <f t="array" ref="BD17">IF(OR(BD$6="",$AY17=""),"",IFERROR(INDEX(TotalApuestas!$A$1:$GL$50007,MATCH(Seguimiento!$AY17,TotalApuestas!$B$1:$B$50007,0),MATCH("Equipos"&amp;Seguimiento!$AY$2,Resultado!$4:$4,0)+COLUMNS($AZ$2:BD$2)-1),0))</f>
        <v/>
      </c>
      <c r="BE17" s="147" t="str" cm="1">
        <f t="array" ref="BE17">IF(OR(BE$6="",$AY17=""),"",IFERROR(INDEX(TotalApuestas!$A$1:$GL$50007,MATCH(Seguimiento!$AY17,TotalApuestas!$B$1:$B$50007,0),MATCH("Equipos"&amp;Seguimiento!$AY$2,Resultado!$4:$4,0)+COLUMNS($AZ$2:BE$2)-1),0))</f>
        <v/>
      </c>
      <c r="BF17" s="147" t="str" cm="1">
        <f t="array" ref="BF17">IF(OR(BF$6="",$AY17=""),"",IFERROR(INDEX(TotalApuestas!$A$1:$GL$50007,MATCH(Seguimiento!$AY17,TotalApuestas!$B$1:$B$50007,0),MATCH("Equipos"&amp;Seguimiento!$AY$2,Resultado!$4:$4,0)+COLUMNS($AZ$2:BF$2)-1),0))</f>
        <v/>
      </c>
      <c r="BG17" s="147" t="str" cm="1">
        <f t="array" ref="BG17">IF(OR(BG$6="",$AY17=""),"",IFERROR(INDEX(TotalApuestas!$A$1:$GL$50007,MATCH(Seguimiento!$AY17,TotalApuestas!$B$1:$B$50007,0),MATCH("Equipos"&amp;Seguimiento!$AY$2,Resultado!$4:$4,0)+COLUMNS($AZ$2:BG$2)-1),0))</f>
        <v/>
      </c>
      <c r="BH17" s="80"/>
      <c r="BJ17"/>
      <c r="BK17"/>
    </row>
    <row r="18" spans="2:63" ht="20.100000000000001" customHeight="1" x14ac:dyDescent="0.25">
      <c r="B18" s="134"/>
      <c r="C18" s="260" t="str">
        <f>IF(ClasificaciónPorra!D12=0,"",ClasificaciónPorra!D12)</f>
        <v/>
      </c>
      <c r="D18" s="318" t="str">
        <f>IF($C18="","",INDEX(TotalApuestas!$A$1:$GL$50007,MATCH(Seguimiento!$C18,TotalApuestas!$B$1:$B$50007,0),MATCH(Seguimiento!I$2,Resultado!$2:$2,0)))</f>
        <v/>
      </c>
      <c r="E18" s="319"/>
      <c r="F18" s="319"/>
      <c r="G18" s="319"/>
      <c r="H18" s="319"/>
      <c r="I18" s="257" t="str">
        <f t="shared" si="4"/>
        <v/>
      </c>
      <c r="J18" s="319" t="str" cm="1">
        <f t="array" ref="J18">IF($C18="","",INDEX(TotalApuestas!$A$1:$GL$50007,MATCH(Seguimiento!$C18,TotalApuestas!$B$1:$B$50007,0),MATCH(Seguimiento!I$2,Resultado!$2:$2,0)+1))</f>
        <v/>
      </c>
      <c r="K18" s="319"/>
      <c r="L18" s="319"/>
      <c r="M18" s="319"/>
      <c r="N18" s="320"/>
      <c r="O18" s="318" t="str">
        <f>IF($C18="","",INDEX(TotalApuestas!$A$1:$GL$50007,MATCH(Seguimiento!$C18,TotalApuestas!$B$1:$B$50007,0),MATCH(Seguimiento!T$2,Resultado!$2:$2,0)))</f>
        <v/>
      </c>
      <c r="P18" s="319"/>
      <c r="Q18" s="319"/>
      <c r="R18" s="319"/>
      <c r="S18" s="319"/>
      <c r="T18" s="257" t="str">
        <f t="shared" si="5"/>
        <v/>
      </c>
      <c r="U18" s="319" t="str" cm="1">
        <f t="array" ref="U18">IF($C18="","",INDEX(TotalApuestas!$A$1:$GL$50007,MATCH(Seguimiento!$C18,TotalApuestas!$B$1:$B$50007,0),MATCH(Seguimiento!T$2,Resultado!$2:$2,0)+1))</f>
        <v/>
      </c>
      <c r="V18" s="319"/>
      <c r="W18" s="319"/>
      <c r="X18" s="319"/>
      <c r="Y18" s="320"/>
      <c r="Z18" s="318" t="str">
        <f>IF($C18="","",INDEX(TotalApuestas!$A$1:$GL$50007,MATCH(Seguimiento!$C18,TotalApuestas!$B$1:$B$50007,0),MATCH(Seguimiento!AE$2,Resultado!$2:$2,0)))</f>
        <v/>
      </c>
      <c r="AA18" s="319"/>
      <c r="AB18" s="319"/>
      <c r="AC18" s="319"/>
      <c r="AD18" s="319"/>
      <c r="AE18" s="257" t="str">
        <f t="shared" si="6"/>
        <v/>
      </c>
      <c r="AF18" s="319" t="str" cm="1">
        <f t="array" ref="AF18">IF($C18="","",INDEX(TotalApuestas!$A$1:$GL$50007,MATCH(Seguimiento!$C18,TotalApuestas!$B$1:$B$50007,0),MATCH(Seguimiento!AE$2,Resultado!$2:$2,0)+1))</f>
        <v/>
      </c>
      <c r="AG18" s="319"/>
      <c r="AH18" s="319"/>
      <c r="AI18" s="319"/>
      <c r="AJ18" s="320"/>
      <c r="AK18" s="318" t="str">
        <f>IF($C18="","",INDEX(TotalApuestas!$A$1:$GL$50007,MATCH(Seguimiento!$C18,TotalApuestas!$B$1:$B$50007,0),MATCH(Seguimiento!AP$2,Resultado!$2:$2,0)))</f>
        <v/>
      </c>
      <c r="AL18" s="319"/>
      <c r="AM18" s="319"/>
      <c r="AN18" s="319"/>
      <c r="AO18" s="319"/>
      <c r="AP18" s="257" t="str">
        <f t="shared" si="7"/>
        <v/>
      </c>
      <c r="AQ18" s="318" t="str" cm="1">
        <f t="array" ref="AQ18">IF($C18="","",INDEX(TotalApuestas!$A$1:$GL$50007,MATCH(Seguimiento!$C18,TotalApuestas!$B$1:$B$50007,0),MATCH(Seguimiento!AP$2,Resultado!$2:$2,0)+1))</f>
        <v/>
      </c>
      <c r="AR18" s="319"/>
      <c r="AS18" s="319"/>
      <c r="AT18" s="319"/>
      <c r="AU18" s="320"/>
      <c r="AV18" s="80"/>
      <c r="AX18" s="134"/>
      <c r="AY18" s="234" t="str">
        <f>IF(ClasificaciónPorra!D16=0,"",ClasificaciónPorra!D16)</f>
        <v/>
      </c>
      <c r="AZ18" s="147" t="str" cm="1">
        <f t="array" ref="AZ18">IF(OR(AZ$6="",$AY18=""),"",IFERROR(INDEX(TotalApuestas!$A$1:$GL$50007,MATCH(Seguimiento!$AY18,TotalApuestas!$B$1:$B$50007,0),MATCH("Equipos"&amp;Seguimiento!$AY$2,Resultado!$4:$4,0)+COLUMNS($AZ$2:AZ$2)-1),0))</f>
        <v/>
      </c>
      <c r="BA18" s="147" t="str" cm="1">
        <f t="array" ref="BA18">IF(OR(BA$6="",$AY18=""),"",IFERROR(INDEX(TotalApuestas!$A$1:$GL$50007,MATCH(Seguimiento!$AY18,TotalApuestas!$B$1:$B$50007,0),MATCH("Equipos"&amp;Seguimiento!$AY$2,Resultado!$4:$4,0)+COLUMNS($AZ$2:BA$2)-1),0))</f>
        <v/>
      </c>
      <c r="BB18" s="147" t="str" cm="1">
        <f t="array" ref="BB18">IF(OR(BB$6="",$AY18=""),"",IFERROR(INDEX(TotalApuestas!$A$1:$GL$50007,MATCH(Seguimiento!$AY18,TotalApuestas!$B$1:$B$50007,0),MATCH("Equipos"&amp;Seguimiento!$AY$2,Resultado!$4:$4,0)+COLUMNS($AZ$2:BB$2)-1),0))</f>
        <v/>
      </c>
      <c r="BC18" s="147" t="str" cm="1">
        <f t="array" ref="BC18">IF(OR(BC$6="",$AY18=""),"",IFERROR(INDEX(TotalApuestas!$A$1:$GL$50007,MATCH(Seguimiento!$AY18,TotalApuestas!$B$1:$B$50007,0),MATCH("Equipos"&amp;Seguimiento!$AY$2,Resultado!$4:$4,0)+COLUMNS($AZ$2:BC$2)-1),0))</f>
        <v/>
      </c>
      <c r="BD18" s="147" t="str" cm="1">
        <f t="array" ref="BD18">IF(OR(BD$6="",$AY18=""),"",IFERROR(INDEX(TotalApuestas!$A$1:$GL$50007,MATCH(Seguimiento!$AY18,TotalApuestas!$B$1:$B$50007,0),MATCH("Equipos"&amp;Seguimiento!$AY$2,Resultado!$4:$4,0)+COLUMNS($AZ$2:BD$2)-1),0))</f>
        <v/>
      </c>
      <c r="BE18" s="147" t="str" cm="1">
        <f t="array" ref="BE18">IF(OR(BE$6="",$AY18=""),"",IFERROR(INDEX(TotalApuestas!$A$1:$GL$50007,MATCH(Seguimiento!$AY18,TotalApuestas!$B$1:$B$50007,0),MATCH("Equipos"&amp;Seguimiento!$AY$2,Resultado!$4:$4,0)+COLUMNS($AZ$2:BE$2)-1),0))</f>
        <v/>
      </c>
      <c r="BF18" s="147" t="str" cm="1">
        <f t="array" ref="BF18">IF(OR(BF$6="",$AY18=""),"",IFERROR(INDEX(TotalApuestas!$A$1:$GL$50007,MATCH(Seguimiento!$AY18,TotalApuestas!$B$1:$B$50007,0),MATCH("Equipos"&amp;Seguimiento!$AY$2,Resultado!$4:$4,0)+COLUMNS($AZ$2:BF$2)-1),0))</f>
        <v/>
      </c>
      <c r="BG18" s="147" t="str" cm="1">
        <f t="array" ref="BG18">IF(OR(BG$6="",$AY18=""),"",IFERROR(INDEX(TotalApuestas!$A$1:$GL$50007,MATCH(Seguimiento!$AY18,TotalApuestas!$B$1:$B$50007,0),MATCH("Equipos"&amp;Seguimiento!$AY$2,Resultado!$4:$4,0)+COLUMNS($AZ$2:BG$2)-1),0))</f>
        <v/>
      </c>
      <c r="BH18" s="80"/>
      <c r="BJ18"/>
      <c r="BK18"/>
    </row>
    <row r="19" spans="2:63" ht="20.100000000000001" customHeight="1" x14ac:dyDescent="0.25">
      <c r="B19" s="134"/>
      <c r="C19" s="260" t="str">
        <f>IF(ClasificaciónPorra!D13=0,"",ClasificaciónPorra!D13)</f>
        <v/>
      </c>
      <c r="D19" s="318" t="str">
        <f>IF($C19="","",INDEX(TotalApuestas!$A$1:$GL$50007,MATCH(Seguimiento!$C19,TotalApuestas!$B$1:$B$50007,0),MATCH(Seguimiento!I$2,Resultado!$2:$2,0)))</f>
        <v/>
      </c>
      <c r="E19" s="319"/>
      <c r="F19" s="319"/>
      <c r="G19" s="319"/>
      <c r="H19" s="319"/>
      <c r="I19" s="257" t="str">
        <f t="shared" si="4"/>
        <v/>
      </c>
      <c r="J19" s="319" t="str" cm="1">
        <f t="array" ref="J19">IF($C19="","",INDEX(TotalApuestas!$A$1:$GL$50007,MATCH(Seguimiento!$C19,TotalApuestas!$B$1:$B$50007,0),MATCH(Seguimiento!I$2,Resultado!$2:$2,0)+1))</f>
        <v/>
      </c>
      <c r="K19" s="319"/>
      <c r="L19" s="319"/>
      <c r="M19" s="319"/>
      <c r="N19" s="320"/>
      <c r="O19" s="318" t="str">
        <f>IF($C19="","",INDEX(TotalApuestas!$A$1:$GL$50007,MATCH(Seguimiento!$C19,TotalApuestas!$B$1:$B$50007,0),MATCH(Seguimiento!T$2,Resultado!$2:$2,0)))</f>
        <v/>
      </c>
      <c r="P19" s="319"/>
      <c r="Q19" s="319"/>
      <c r="R19" s="319"/>
      <c r="S19" s="319"/>
      <c r="T19" s="257" t="str">
        <f t="shared" si="5"/>
        <v/>
      </c>
      <c r="U19" s="319" t="str" cm="1">
        <f t="array" ref="U19">IF($C19="","",INDEX(TotalApuestas!$A$1:$GL$50007,MATCH(Seguimiento!$C19,TotalApuestas!$B$1:$B$50007,0),MATCH(Seguimiento!T$2,Resultado!$2:$2,0)+1))</f>
        <v/>
      </c>
      <c r="V19" s="319"/>
      <c r="W19" s="319"/>
      <c r="X19" s="319"/>
      <c r="Y19" s="320"/>
      <c r="Z19" s="318" t="str">
        <f>IF($C19="","",INDEX(TotalApuestas!$A$1:$GL$50007,MATCH(Seguimiento!$C19,TotalApuestas!$B$1:$B$50007,0),MATCH(Seguimiento!AE$2,Resultado!$2:$2,0)))</f>
        <v/>
      </c>
      <c r="AA19" s="319"/>
      <c r="AB19" s="319"/>
      <c r="AC19" s="319"/>
      <c r="AD19" s="319"/>
      <c r="AE19" s="257" t="str">
        <f t="shared" si="6"/>
        <v/>
      </c>
      <c r="AF19" s="319" t="str" cm="1">
        <f t="array" ref="AF19">IF($C19="","",INDEX(TotalApuestas!$A$1:$GL$50007,MATCH(Seguimiento!$C19,TotalApuestas!$B$1:$B$50007,0),MATCH(Seguimiento!AE$2,Resultado!$2:$2,0)+1))</f>
        <v/>
      </c>
      <c r="AG19" s="319"/>
      <c r="AH19" s="319"/>
      <c r="AI19" s="319"/>
      <c r="AJ19" s="320"/>
      <c r="AK19" s="318" t="str">
        <f>IF($C19="","",INDEX(TotalApuestas!$A$1:$GL$50007,MATCH(Seguimiento!$C19,TotalApuestas!$B$1:$B$50007,0),MATCH(Seguimiento!AP$2,Resultado!$2:$2,0)))</f>
        <v/>
      </c>
      <c r="AL19" s="319"/>
      <c r="AM19" s="319"/>
      <c r="AN19" s="319"/>
      <c r="AO19" s="319"/>
      <c r="AP19" s="257" t="str">
        <f t="shared" si="7"/>
        <v/>
      </c>
      <c r="AQ19" s="318" t="str" cm="1">
        <f t="array" ref="AQ19">IF($C19="","",INDEX(TotalApuestas!$A$1:$GL$50007,MATCH(Seguimiento!$C19,TotalApuestas!$B$1:$B$50007,0),MATCH(Seguimiento!AP$2,Resultado!$2:$2,0)+1))</f>
        <v/>
      </c>
      <c r="AR19" s="319"/>
      <c r="AS19" s="319"/>
      <c r="AT19" s="319"/>
      <c r="AU19" s="320"/>
      <c r="AV19" s="80"/>
      <c r="AX19" s="134"/>
      <c r="AY19" s="234" t="str">
        <f>IF(ClasificaciónPorra!D17=0,"",ClasificaciónPorra!D17)</f>
        <v/>
      </c>
      <c r="AZ19" s="147" t="str" cm="1">
        <f t="array" ref="AZ19">IF(OR(AZ$6="",$AY19=""),"",IFERROR(INDEX(TotalApuestas!$A$1:$GL$50007,MATCH(Seguimiento!$AY19,TotalApuestas!$B$1:$B$50007,0),MATCH("Equipos"&amp;Seguimiento!$AY$2,Resultado!$4:$4,0)+COLUMNS($AZ$2:AZ$2)-1),0))</f>
        <v/>
      </c>
      <c r="BA19" s="147" t="str" cm="1">
        <f t="array" ref="BA19">IF(OR(BA$6="",$AY19=""),"",IFERROR(INDEX(TotalApuestas!$A$1:$GL$50007,MATCH(Seguimiento!$AY19,TotalApuestas!$B$1:$B$50007,0),MATCH("Equipos"&amp;Seguimiento!$AY$2,Resultado!$4:$4,0)+COLUMNS($AZ$2:BA$2)-1),0))</f>
        <v/>
      </c>
      <c r="BB19" s="147" t="str" cm="1">
        <f t="array" ref="BB19">IF(OR(BB$6="",$AY19=""),"",IFERROR(INDEX(TotalApuestas!$A$1:$GL$50007,MATCH(Seguimiento!$AY19,TotalApuestas!$B$1:$B$50007,0),MATCH("Equipos"&amp;Seguimiento!$AY$2,Resultado!$4:$4,0)+COLUMNS($AZ$2:BB$2)-1),0))</f>
        <v/>
      </c>
      <c r="BC19" s="147" t="str" cm="1">
        <f t="array" ref="BC19">IF(OR(BC$6="",$AY19=""),"",IFERROR(INDEX(TotalApuestas!$A$1:$GL$50007,MATCH(Seguimiento!$AY19,TotalApuestas!$B$1:$B$50007,0),MATCH("Equipos"&amp;Seguimiento!$AY$2,Resultado!$4:$4,0)+COLUMNS($AZ$2:BC$2)-1),0))</f>
        <v/>
      </c>
      <c r="BD19" s="147" t="str" cm="1">
        <f t="array" ref="BD19">IF(OR(BD$6="",$AY19=""),"",IFERROR(INDEX(TotalApuestas!$A$1:$GL$50007,MATCH(Seguimiento!$AY19,TotalApuestas!$B$1:$B$50007,0),MATCH("Equipos"&amp;Seguimiento!$AY$2,Resultado!$4:$4,0)+COLUMNS($AZ$2:BD$2)-1),0))</f>
        <v/>
      </c>
      <c r="BE19" s="147" t="str" cm="1">
        <f t="array" ref="BE19">IF(OR(BE$6="",$AY19=""),"",IFERROR(INDEX(TotalApuestas!$A$1:$GL$50007,MATCH(Seguimiento!$AY19,TotalApuestas!$B$1:$B$50007,0),MATCH("Equipos"&amp;Seguimiento!$AY$2,Resultado!$4:$4,0)+COLUMNS($AZ$2:BE$2)-1),0))</f>
        <v/>
      </c>
      <c r="BF19" s="147" t="str" cm="1">
        <f t="array" ref="BF19">IF(OR(BF$6="",$AY19=""),"",IFERROR(INDEX(TotalApuestas!$A$1:$GL$50007,MATCH(Seguimiento!$AY19,TotalApuestas!$B$1:$B$50007,0),MATCH("Equipos"&amp;Seguimiento!$AY$2,Resultado!$4:$4,0)+COLUMNS($AZ$2:BF$2)-1),0))</f>
        <v/>
      </c>
      <c r="BG19" s="147" t="str" cm="1">
        <f t="array" ref="BG19">IF(OR(BG$6="",$AY19=""),"",IFERROR(INDEX(TotalApuestas!$A$1:$GL$50007,MATCH(Seguimiento!$AY19,TotalApuestas!$B$1:$B$50007,0),MATCH("Equipos"&amp;Seguimiento!$AY$2,Resultado!$4:$4,0)+COLUMNS($AZ$2:BG$2)-1),0))</f>
        <v/>
      </c>
      <c r="BH19" s="80"/>
      <c r="BJ19"/>
      <c r="BK19"/>
    </row>
    <row r="20" spans="2:63" ht="20.100000000000001" customHeight="1" x14ac:dyDescent="0.25">
      <c r="B20" s="134"/>
      <c r="C20" s="260" t="str">
        <f>IF(ClasificaciónPorra!D14=0,"",ClasificaciónPorra!D14)</f>
        <v/>
      </c>
      <c r="D20" s="318" t="str">
        <f>IF($C20="","",INDEX(TotalApuestas!$A$1:$GL$50007,MATCH(Seguimiento!$C20,TotalApuestas!$B$1:$B$50007,0),MATCH(Seguimiento!I$2,Resultado!$2:$2,0)))</f>
        <v/>
      </c>
      <c r="E20" s="319"/>
      <c r="F20" s="319"/>
      <c r="G20" s="319"/>
      <c r="H20" s="319"/>
      <c r="I20" s="257" t="str">
        <f t="shared" si="4"/>
        <v/>
      </c>
      <c r="J20" s="319" t="str" cm="1">
        <f t="array" ref="J20">IF($C20="","",INDEX(TotalApuestas!$A$1:$GL$50007,MATCH(Seguimiento!$C20,TotalApuestas!$B$1:$B$50007,0),MATCH(Seguimiento!I$2,Resultado!$2:$2,0)+1))</f>
        <v/>
      </c>
      <c r="K20" s="319"/>
      <c r="L20" s="319"/>
      <c r="M20" s="319"/>
      <c r="N20" s="320"/>
      <c r="O20" s="318" t="str">
        <f>IF($C20="","",INDEX(TotalApuestas!$A$1:$GL$50007,MATCH(Seguimiento!$C20,TotalApuestas!$B$1:$B$50007,0),MATCH(Seguimiento!T$2,Resultado!$2:$2,0)))</f>
        <v/>
      </c>
      <c r="P20" s="319"/>
      <c r="Q20" s="319"/>
      <c r="R20" s="319"/>
      <c r="S20" s="319"/>
      <c r="T20" s="257" t="str">
        <f t="shared" si="5"/>
        <v/>
      </c>
      <c r="U20" s="319" t="str" cm="1">
        <f t="array" ref="U20">IF($C20="","",INDEX(TotalApuestas!$A$1:$GL$50007,MATCH(Seguimiento!$C20,TotalApuestas!$B$1:$B$50007,0),MATCH(Seguimiento!T$2,Resultado!$2:$2,0)+1))</f>
        <v/>
      </c>
      <c r="V20" s="319"/>
      <c r="W20" s="319"/>
      <c r="X20" s="319"/>
      <c r="Y20" s="320"/>
      <c r="Z20" s="318" t="str">
        <f>IF($C20="","",INDEX(TotalApuestas!$A$1:$GL$50007,MATCH(Seguimiento!$C20,TotalApuestas!$B$1:$B$50007,0),MATCH(Seguimiento!AE$2,Resultado!$2:$2,0)))</f>
        <v/>
      </c>
      <c r="AA20" s="319"/>
      <c r="AB20" s="319"/>
      <c r="AC20" s="319"/>
      <c r="AD20" s="319"/>
      <c r="AE20" s="257" t="str">
        <f t="shared" si="6"/>
        <v/>
      </c>
      <c r="AF20" s="319" t="str" cm="1">
        <f t="array" ref="AF20">IF($C20="","",INDEX(TotalApuestas!$A$1:$GL$50007,MATCH(Seguimiento!$C20,TotalApuestas!$B$1:$B$50007,0),MATCH(Seguimiento!AE$2,Resultado!$2:$2,0)+1))</f>
        <v/>
      </c>
      <c r="AG20" s="319"/>
      <c r="AH20" s="319"/>
      <c r="AI20" s="319"/>
      <c r="AJ20" s="320"/>
      <c r="AK20" s="318" t="str">
        <f>IF($C20="","",INDEX(TotalApuestas!$A$1:$GL$50007,MATCH(Seguimiento!$C20,TotalApuestas!$B$1:$B$50007,0),MATCH(Seguimiento!AP$2,Resultado!$2:$2,0)))</f>
        <v/>
      </c>
      <c r="AL20" s="319"/>
      <c r="AM20" s="319"/>
      <c r="AN20" s="319"/>
      <c r="AO20" s="319"/>
      <c r="AP20" s="257" t="str">
        <f t="shared" si="7"/>
        <v/>
      </c>
      <c r="AQ20" s="318" t="str" cm="1">
        <f t="array" ref="AQ20">IF($C20="","",INDEX(TotalApuestas!$A$1:$GL$50007,MATCH(Seguimiento!$C20,TotalApuestas!$B$1:$B$50007,0),MATCH(Seguimiento!AP$2,Resultado!$2:$2,0)+1))</f>
        <v/>
      </c>
      <c r="AR20" s="319"/>
      <c r="AS20" s="319"/>
      <c r="AT20" s="319"/>
      <c r="AU20" s="320"/>
      <c r="AV20" s="80"/>
      <c r="AX20" s="134"/>
      <c r="AY20" s="234" t="str">
        <f>IF(ClasificaciónPorra!D18=0,"",ClasificaciónPorra!D18)</f>
        <v/>
      </c>
      <c r="AZ20" s="147" t="str" cm="1">
        <f t="array" ref="AZ20">IF(OR(AZ$6="",$AY20=""),"",IFERROR(INDEX(TotalApuestas!$A$1:$GL$50007,MATCH(Seguimiento!$AY20,TotalApuestas!$B$1:$B$50007,0),MATCH("Equipos"&amp;Seguimiento!$AY$2,Resultado!$4:$4,0)+COLUMNS($AZ$2:AZ$2)-1),0))</f>
        <v/>
      </c>
      <c r="BA20" s="147" t="str" cm="1">
        <f t="array" ref="BA20">IF(OR(BA$6="",$AY20=""),"",IFERROR(INDEX(TotalApuestas!$A$1:$GL$50007,MATCH(Seguimiento!$AY20,TotalApuestas!$B$1:$B$50007,0),MATCH("Equipos"&amp;Seguimiento!$AY$2,Resultado!$4:$4,0)+COLUMNS($AZ$2:BA$2)-1),0))</f>
        <v/>
      </c>
      <c r="BB20" s="147" t="str" cm="1">
        <f t="array" ref="BB20">IF(OR(BB$6="",$AY20=""),"",IFERROR(INDEX(TotalApuestas!$A$1:$GL$50007,MATCH(Seguimiento!$AY20,TotalApuestas!$B$1:$B$50007,0),MATCH("Equipos"&amp;Seguimiento!$AY$2,Resultado!$4:$4,0)+COLUMNS($AZ$2:BB$2)-1),0))</f>
        <v/>
      </c>
      <c r="BC20" s="147" t="str" cm="1">
        <f t="array" ref="BC20">IF(OR(BC$6="",$AY20=""),"",IFERROR(INDEX(TotalApuestas!$A$1:$GL$50007,MATCH(Seguimiento!$AY20,TotalApuestas!$B$1:$B$50007,0),MATCH("Equipos"&amp;Seguimiento!$AY$2,Resultado!$4:$4,0)+COLUMNS($AZ$2:BC$2)-1),0))</f>
        <v/>
      </c>
      <c r="BD20" s="147" t="str" cm="1">
        <f t="array" ref="BD20">IF(OR(BD$6="",$AY20=""),"",IFERROR(INDEX(TotalApuestas!$A$1:$GL$50007,MATCH(Seguimiento!$AY20,TotalApuestas!$B$1:$B$50007,0),MATCH("Equipos"&amp;Seguimiento!$AY$2,Resultado!$4:$4,0)+COLUMNS($AZ$2:BD$2)-1),0))</f>
        <v/>
      </c>
      <c r="BE20" s="147" t="str" cm="1">
        <f t="array" ref="BE20">IF(OR(BE$6="",$AY20=""),"",IFERROR(INDEX(TotalApuestas!$A$1:$GL$50007,MATCH(Seguimiento!$AY20,TotalApuestas!$B$1:$B$50007,0),MATCH("Equipos"&amp;Seguimiento!$AY$2,Resultado!$4:$4,0)+COLUMNS($AZ$2:BE$2)-1),0))</f>
        <v/>
      </c>
      <c r="BF20" s="147" t="str" cm="1">
        <f t="array" ref="BF20">IF(OR(BF$6="",$AY20=""),"",IFERROR(INDEX(TotalApuestas!$A$1:$GL$50007,MATCH(Seguimiento!$AY20,TotalApuestas!$B$1:$B$50007,0),MATCH("Equipos"&amp;Seguimiento!$AY$2,Resultado!$4:$4,0)+COLUMNS($AZ$2:BF$2)-1),0))</f>
        <v/>
      </c>
      <c r="BG20" s="147" t="str" cm="1">
        <f t="array" ref="BG20">IF(OR(BG$6="",$AY20=""),"",IFERROR(INDEX(TotalApuestas!$A$1:$GL$50007,MATCH(Seguimiento!$AY20,TotalApuestas!$B$1:$B$50007,0),MATCH("Equipos"&amp;Seguimiento!$AY$2,Resultado!$4:$4,0)+COLUMNS($AZ$2:BG$2)-1),0))</f>
        <v/>
      </c>
      <c r="BH20" s="80"/>
      <c r="BJ20"/>
      <c r="BK20"/>
    </row>
    <row r="21" spans="2:63" ht="20.100000000000001" customHeight="1" x14ac:dyDescent="0.25">
      <c r="B21" s="134"/>
      <c r="C21" s="260" t="str">
        <f>IF(ClasificaciónPorra!D15=0,"",ClasificaciónPorra!D15)</f>
        <v/>
      </c>
      <c r="D21" s="318" t="str">
        <f>IF($C21="","",INDEX(TotalApuestas!$A$1:$GL$50007,MATCH(Seguimiento!$C21,TotalApuestas!$B$1:$B$50007,0),MATCH(Seguimiento!I$2,Resultado!$2:$2,0)))</f>
        <v/>
      </c>
      <c r="E21" s="319"/>
      <c r="F21" s="319"/>
      <c r="G21" s="319"/>
      <c r="H21" s="319"/>
      <c r="I21" s="257" t="str">
        <f t="shared" si="4"/>
        <v/>
      </c>
      <c r="J21" s="319" t="str" cm="1">
        <f t="array" ref="J21">IF($C21="","",INDEX(TotalApuestas!$A$1:$GL$50007,MATCH(Seguimiento!$C21,TotalApuestas!$B$1:$B$50007,0),MATCH(Seguimiento!I$2,Resultado!$2:$2,0)+1))</f>
        <v/>
      </c>
      <c r="K21" s="319"/>
      <c r="L21" s="319"/>
      <c r="M21" s="319"/>
      <c r="N21" s="320"/>
      <c r="O21" s="318" t="str">
        <f>IF($C21="","",INDEX(TotalApuestas!$A$1:$GL$50007,MATCH(Seguimiento!$C21,TotalApuestas!$B$1:$B$50007,0),MATCH(Seguimiento!T$2,Resultado!$2:$2,0)))</f>
        <v/>
      </c>
      <c r="P21" s="319"/>
      <c r="Q21" s="319"/>
      <c r="R21" s="319"/>
      <c r="S21" s="319"/>
      <c r="T21" s="257" t="str">
        <f t="shared" si="5"/>
        <v/>
      </c>
      <c r="U21" s="319" t="str" cm="1">
        <f t="array" ref="U21">IF($C21="","",INDEX(TotalApuestas!$A$1:$GL$50007,MATCH(Seguimiento!$C21,TotalApuestas!$B$1:$B$50007,0),MATCH(Seguimiento!T$2,Resultado!$2:$2,0)+1))</f>
        <v/>
      </c>
      <c r="V21" s="319"/>
      <c r="W21" s="319"/>
      <c r="X21" s="319"/>
      <c r="Y21" s="320"/>
      <c r="Z21" s="318" t="str">
        <f>IF($C21="","",INDEX(TotalApuestas!$A$1:$GL$50007,MATCH(Seguimiento!$C21,TotalApuestas!$B$1:$B$50007,0),MATCH(Seguimiento!AE$2,Resultado!$2:$2,0)))</f>
        <v/>
      </c>
      <c r="AA21" s="319"/>
      <c r="AB21" s="319"/>
      <c r="AC21" s="319"/>
      <c r="AD21" s="319"/>
      <c r="AE21" s="257" t="str">
        <f t="shared" si="6"/>
        <v/>
      </c>
      <c r="AF21" s="319" t="str" cm="1">
        <f t="array" ref="AF21">IF($C21="","",INDEX(TotalApuestas!$A$1:$GL$50007,MATCH(Seguimiento!$C21,TotalApuestas!$B$1:$B$50007,0),MATCH(Seguimiento!AE$2,Resultado!$2:$2,0)+1))</f>
        <v/>
      </c>
      <c r="AG21" s="319"/>
      <c r="AH21" s="319"/>
      <c r="AI21" s="319"/>
      <c r="AJ21" s="320"/>
      <c r="AK21" s="318" t="str">
        <f>IF($C21="","",INDEX(TotalApuestas!$A$1:$GL$50007,MATCH(Seguimiento!$C21,TotalApuestas!$B$1:$B$50007,0),MATCH(Seguimiento!AP$2,Resultado!$2:$2,0)))</f>
        <v/>
      </c>
      <c r="AL21" s="319"/>
      <c r="AM21" s="319"/>
      <c r="AN21" s="319"/>
      <c r="AO21" s="319"/>
      <c r="AP21" s="257" t="str">
        <f t="shared" si="7"/>
        <v/>
      </c>
      <c r="AQ21" s="318" t="str" cm="1">
        <f t="array" ref="AQ21">IF($C21="","",INDEX(TotalApuestas!$A$1:$GL$50007,MATCH(Seguimiento!$C21,TotalApuestas!$B$1:$B$50007,0),MATCH(Seguimiento!AP$2,Resultado!$2:$2,0)+1))</f>
        <v/>
      </c>
      <c r="AR21" s="319"/>
      <c r="AS21" s="319"/>
      <c r="AT21" s="319"/>
      <c r="AU21" s="320"/>
      <c r="AV21" s="80"/>
      <c r="AX21" s="134"/>
      <c r="AY21" s="234" t="str">
        <f>IF(ClasificaciónPorra!D19=0,"",ClasificaciónPorra!D19)</f>
        <v/>
      </c>
      <c r="AZ21" s="147" t="str" cm="1">
        <f t="array" ref="AZ21">IF(OR(AZ$6="",$AY21=""),"",IFERROR(INDEX(TotalApuestas!$A$1:$GL$50007,MATCH(Seguimiento!$AY21,TotalApuestas!$B$1:$B$50007,0),MATCH("Equipos"&amp;Seguimiento!$AY$2,Resultado!$4:$4,0)+COLUMNS($AZ$2:AZ$2)-1),0))</f>
        <v/>
      </c>
      <c r="BA21" s="147" t="str" cm="1">
        <f t="array" ref="BA21">IF(OR(BA$6="",$AY21=""),"",IFERROR(INDEX(TotalApuestas!$A$1:$GL$50007,MATCH(Seguimiento!$AY21,TotalApuestas!$B$1:$B$50007,0),MATCH("Equipos"&amp;Seguimiento!$AY$2,Resultado!$4:$4,0)+COLUMNS($AZ$2:BA$2)-1),0))</f>
        <v/>
      </c>
      <c r="BB21" s="147" t="str" cm="1">
        <f t="array" ref="BB21">IF(OR(BB$6="",$AY21=""),"",IFERROR(INDEX(TotalApuestas!$A$1:$GL$50007,MATCH(Seguimiento!$AY21,TotalApuestas!$B$1:$B$50007,0),MATCH("Equipos"&amp;Seguimiento!$AY$2,Resultado!$4:$4,0)+COLUMNS($AZ$2:BB$2)-1),0))</f>
        <v/>
      </c>
      <c r="BC21" s="147" t="str" cm="1">
        <f t="array" ref="BC21">IF(OR(BC$6="",$AY21=""),"",IFERROR(INDEX(TotalApuestas!$A$1:$GL$50007,MATCH(Seguimiento!$AY21,TotalApuestas!$B$1:$B$50007,0),MATCH("Equipos"&amp;Seguimiento!$AY$2,Resultado!$4:$4,0)+COLUMNS($AZ$2:BC$2)-1),0))</f>
        <v/>
      </c>
      <c r="BD21" s="147" t="str" cm="1">
        <f t="array" ref="BD21">IF(OR(BD$6="",$AY21=""),"",IFERROR(INDEX(TotalApuestas!$A$1:$GL$50007,MATCH(Seguimiento!$AY21,TotalApuestas!$B$1:$B$50007,0),MATCH("Equipos"&amp;Seguimiento!$AY$2,Resultado!$4:$4,0)+COLUMNS($AZ$2:BD$2)-1),0))</f>
        <v/>
      </c>
      <c r="BE21" s="147" t="str" cm="1">
        <f t="array" ref="BE21">IF(OR(BE$6="",$AY21=""),"",IFERROR(INDEX(TotalApuestas!$A$1:$GL$50007,MATCH(Seguimiento!$AY21,TotalApuestas!$B$1:$B$50007,0),MATCH("Equipos"&amp;Seguimiento!$AY$2,Resultado!$4:$4,0)+COLUMNS($AZ$2:BE$2)-1),0))</f>
        <v/>
      </c>
      <c r="BF21" s="147" t="str" cm="1">
        <f t="array" ref="BF21">IF(OR(BF$6="",$AY21=""),"",IFERROR(INDEX(TotalApuestas!$A$1:$GL$50007,MATCH(Seguimiento!$AY21,TotalApuestas!$B$1:$B$50007,0),MATCH("Equipos"&amp;Seguimiento!$AY$2,Resultado!$4:$4,0)+COLUMNS($AZ$2:BF$2)-1),0))</f>
        <v/>
      </c>
      <c r="BG21" s="147" t="str" cm="1">
        <f t="array" ref="BG21">IF(OR(BG$6="",$AY21=""),"",IFERROR(INDEX(TotalApuestas!$A$1:$GL$50007,MATCH(Seguimiento!$AY21,TotalApuestas!$B$1:$B$50007,0),MATCH("Equipos"&amp;Seguimiento!$AY$2,Resultado!$4:$4,0)+COLUMNS($AZ$2:BG$2)-1),0))</f>
        <v/>
      </c>
      <c r="BH21" s="80"/>
      <c r="BJ21"/>
      <c r="BK21"/>
    </row>
    <row r="22" spans="2:63" ht="20.100000000000001" customHeight="1" x14ac:dyDescent="0.25">
      <c r="B22" s="134"/>
      <c r="C22" s="260" t="str">
        <f>IF(ClasificaciónPorra!D16=0,"",ClasificaciónPorra!D16)</f>
        <v/>
      </c>
      <c r="D22" s="318" t="str">
        <f>IF($C22="","",INDEX(TotalApuestas!$A$1:$GL$50007,MATCH(Seguimiento!$C22,TotalApuestas!$B$1:$B$50007,0),MATCH(Seguimiento!I$2,Resultado!$2:$2,0)))</f>
        <v/>
      </c>
      <c r="E22" s="319"/>
      <c r="F22" s="319"/>
      <c r="G22" s="319"/>
      <c r="H22" s="319"/>
      <c r="I22" s="257" t="str">
        <f t="shared" si="4"/>
        <v/>
      </c>
      <c r="J22" s="319" t="str" cm="1">
        <f t="array" ref="J22">IF($C22="","",INDEX(TotalApuestas!$A$1:$GL$50007,MATCH(Seguimiento!$C22,TotalApuestas!$B$1:$B$50007,0),MATCH(Seguimiento!I$2,Resultado!$2:$2,0)+1))</f>
        <v/>
      </c>
      <c r="K22" s="319"/>
      <c r="L22" s="319"/>
      <c r="M22" s="319"/>
      <c r="N22" s="320"/>
      <c r="O22" s="318" t="str">
        <f>IF($C22="","",INDEX(TotalApuestas!$A$1:$GL$50007,MATCH(Seguimiento!$C22,TotalApuestas!$B$1:$B$50007,0),MATCH(Seguimiento!T$2,Resultado!$2:$2,0)))</f>
        <v/>
      </c>
      <c r="P22" s="319"/>
      <c r="Q22" s="319"/>
      <c r="R22" s="319"/>
      <c r="S22" s="319"/>
      <c r="T22" s="257" t="str">
        <f t="shared" si="5"/>
        <v/>
      </c>
      <c r="U22" s="319" t="str" cm="1">
        <f t="array" ref="U22">IF($C22="","",INDEX(TotalApuestas!$A$1:$GL$50007,MATCH(Seguimiento!$C22,TotalApuestas!$B$1:$B$50007,0),MATCH(Seguimiento!T$2,Resultado!$2:$2,0)+1))</f>
        <v/>
      </c>
      <c r="V22" s="319"/>
      <c r="W22" s="319"/>
      <c r="X22" s="319"/>
      <c r="Y22" s="320"/>
      <c r="Z22" s="318" t="str">
        <f>IF($C22="","",INDEX(TotalApuestas!$A$1:$GL$50007,MATCH(Seguimiento!$C22,TotalApuestas!$B$1:$B$50007,0),MATCH(Seguimiento!AE$2,Resultado!$2:$2,0)))</f>
        <v/>
      </c>
      <c r="AA22" s="319"/>
      <c r="AB22" s="319"/>
      <c r="AC22" s="319"/>
      <c r="AD22" s="319"/>
      <c r="AE22" s="257" t="str">
        <f t="shared" si="6"/>
        <v/>
      </c>
      <c r="AF22" s="319" t="str" cm="1">
        <f t="array" ref="AF22">IF($C22="","",INDEX(TotalApuestas!$A$1:$GL$50007,MATCH(Seguimiento!$C22,TotalApuestas!$B$1:$B$50007,0),MATCH(Seguimiento!AE$2,Resultado!$2:$2,0)+1))</f>
        <v/>
      </c>
      <c r="AG22" s="319"/>
      <c r="AH22" s="319"/>
      <c r="AI22" s="319"/>
      <c r="AJ22" s="320"/>
      <c r="AK22" s="318" t="str">
        <f>IF($C22="","",INDEX(TotalApuestas!$A$1:$GL$50007,MATCH(Seguimiento!$C22,TotalApuestas!$B$1:$B$50007,0),MATCH(Seguimiento!AP$2,Resultado!$2:$2,0)))</f>
        <v/>
      </c>
      <c r="AL22" s="319"/>
      <c r="AM22" s="319"/>
      <c r="AN22" s="319"/>
      <c r="AO22" s="319"/>
      <c r="AP22" s="257" t="str">
        <f t="shared" si="7"/>
        <v/>
      </c>
      <c r="AQ22" s="318" t="str" cm="1">
        <f t="array" ref="AQ22">IF($C22="","",INDEX(TotalApuestas!$A$1:$GL$50007,MATCH(Seguimiento!$C22,TotalApuestas!$B$1:$B$50007,0),MATCH(Seguimiento!AP$2,Resultado!$2:$2,0)+1))</f>
        <v/>
      </c>
      <c r="AR22" s="319"/>
      <c r="AS22" s="319"/>
      <c r="AT22" s="319"/>
      <c r="AU22" s="320"/>
      <c r="AV22" s="80"/>
      <c r="AX22" s="134"/>
      <c r="AY22" s="234" t="str">
        <f>IF(ClasificaciónPorra!D20=0,"",ClasificaciónPorra!D20)</f>
        <v/>
      </c>
      <c r="AZ22" s="147" t="str" cm="1">
        <f t="array" ref="AZ22">IF(OR(AZ$6="",$AY22=""),"",IFERROR(INDEX(TotalApuestas!$A$1:$GL$50007,MATCH(Seguimiento!$AY22,TotalApuestas!$B$1:$B$50007,0),MATCH("Equipos"&amp;Seguimiento!$AY$2,Resultado!$4:$4,0)+COLUMNS($AZ$2:AZ$2)-1),0))</f>
        <v/>
      </c>
      <c r="BA22" s="147" t="str" cm="1">
        <f t="array" ref="BA22">IF(OR(BA$6="",$AY22=""),"",IFERROR(INDEX(TotalApuestas!$A$1:$GL$50007,MATCH(Seguimiento!$AY22,TotalApuestas!$B$1:$B$50007,0),MATCH("Equipos"&amp;Seguimiento!$AY$2,Resultado!$4:$4,0)+COLUMNS($AZ$2:BA$2)-1),0))</f>
        <v/>
      </c>
      <c r="BB22" s="147" t="str" cm="1">
        <f t="array" ref="BB22">IF(OR(BB$6="",$AY22=""),"",IFERROR(INDEX(TotalApuestas!$A$1:$GL$50007,MATCH(Seguimiento!$AY22,TotalApuestas!$B$1:$B$50007,0),MATCH("Equipos"&amp;Seguimiento!$AY$2,Resultado!$4:$4,0)+COLUMNS($AZ$2:BB$2)-1),0))</f>
        <v/>
      </c>
      <c r="BC22" s="147" t="str" cm="1">
        <f t="array" ref="BC22">IF(OR(BC$6="",$AY22=""),"",IFERROR(INDEX(TotalApuestas!$A$1:$GL$50007,MATCH(Seguimiento!$AY22,TotalApuestas!$B$1:$B$50007,0),MATCH("Equipos"&amp;Seguimiento!$AY$2,Resultado!$4:$4,0)+COLUMNS($AZ$2:BC$2)-1),0))</f>
        <v/>
      </c>
      <c r="BD22" s="147" t="str" cm="1">
        <f t="array" ref="BD22">IF(OR(BD$6="",$AY22=""),"",IFERROR(INDEX(TotalApuestas!$A$1:$GL$50007,MATCH(Seguimiento!$AY22,TotalApuestas!$B$1:$B$50007,0),MATCH("Equipos"&amp;Seguimiento!$AY$2,Resultado!$4:$4,0)+COLUMNS($AZ$2:BD$2)-1),0))</f>
        <v/>
      </c>
      <c r="BE22" s="147" t="str" cm="1">
        <f t="array" ref="BE22">IF(OR(BE$6="",$AY22=""),"",IFERROR(INDEX(TotalApuestas!$A$1:$GL$50007,MATCH(Seguimiento!$AY22,TotalApuestas!$B$1:$B$50007,0),MATCH("Equipos"&amp;Seguimiento!$AY$2,Resultado!$4:$4,0)+COLUMNS($AZ$2:BE$2)-1),0))</f>
        <v/>
      </c>
      <c r="BF22" s="147" t="str" cm="1">
        <f t="array" ref="BF22">IF(OR(BF$6="",$AY22=""),"",IFERROR(INDEX(TotalApuestas!$A$1:$GL$50007,MATCH(Seguimiento!$AY22,TotalApuestas!$B$1:$B$50007,0),MATCH("Equipos"&amp;Seguimiento!$AY$2,Resultado!$4:$4,0)+COLUMNS($AZ$2:BF$2)-1),0))</f>
        <v/>
      </c>
      <c r="BG22" s="147" t="str" cm="1">
        <f t="array" ref="BG22">IF(OR(BG$6="",$AY22=""),"",IFERROR(INDEX(TotalApuestas!$A$1:$GL$50007,MATCH(Seguimiento!$AY22,TotalApuestas!$B$1:$B$50007,0),MATCH("Equipos"&amp;Seguimiento!$AY$2,Resultado!$4:$4,0)+COLUMNS($AZ$2:BG$2)-1),0))</f>
        <v/>
      </c>
      <c r="BH22" s="80"/>
      <c r="BJ22"/>
      <c r="BK22"/>
    </row>
    <row r="23" spans="2:63" ht="20.100000000000001" customHeight="1" x14ac:dyDescent="0.25">
      <c r="B23" s="134"/>
      <c r="C23" s="260" t="str">
        <f>IF(ClasificaciónPorra!D17=0,"",ClasificaciónPorra!D17)</f>
        <v/>
      </c>
      <c r="D23" s="318" t="str">
        <f>IF($C23="","",INDEX(TotalApuestas!$A$1:$GL$50007,MATCH(Seguimiento!$C23,TotalApuestas!$B$1:$B$50007,0),MATCH(Seguimiento!I$2,Resultado!$2:$2,0)))</f>
        <v/>
      </c>
      <c r="E23" s="319"/>
      <c r="F23" s="319"/>
      <c r="G23" s="319"/>
      <c r="H23" s="319"/>
      <c r="I23" s="257" t="str">
        <f t="shared" si="0"/>
        <v/>
      </c>
      <c r="J23" s="319" t="str" cm="1">
        <f t="array" ref="J23">IF($C23="","",INDEX(TotalApuestas!$A$1:$GL$50007,MATCH(Seguimiento!$C23,TotalApuestas!$B$1:$B$50007,0),MATCH(Seguimiento!I$2,Resultado!$2:$2,0)+1))</f>
        <v/>
      </c>
      <c r="K23" s="319"/>
      <c r="L23" s="319"/>
      <c r="M23" s="319"/>
      <c r="N23" s="320"/>
      <c r="O23" s="318" t="str">
        <f>IF($C23="","",INDEX(TotalApuestas!$A$1:$GL$50007,MATCH(Seguimiento!$C23,TotalApuestas!$B$1:$B$50007,0),MATCH(Seguimiento!T$2,Resultado!$2:$2,0)))</f>
        <v/>
      </c>
      <c r="P23" s="319"/>
      <c r="Q23" s="319"/>
      <c r="R23" s="319"/>
      <c r="S23" s="319"/>
      <c r="T23" s="257" t="str">
        <f t="shared" si="1"/>
        <v/>
      </c>
      <c r="U23" s="319" t="str" cm="1">
        <f t="array" ref="U23">IF($C23="","",INDEX(TotalApuestas!$A$1:$GL$50007,MATCH(Seguimiento!$C23,TotalApuestas!$B$1:$B$50007,0),MATCH(Seguimiento!T$2,Resultado!$2:$2,0)+1))</f>
        <v/>
      </c>
      <c r="V23" s="319"/>
      <c r="W23" s="319"/>
      <c r="X23" s="319"/>
      <c r="Y23" s="320"/>
      <c r="Z23" s="318" t="str">
        <f>IF($C23="","",INDEX(TotalApuestas!$A$1:$GL$50007,MATCH(Seguimiento!$C23,TotalApuestas!$B$1:$B$50007,0),MATCH(Seguimiento!AE$2,Resultado!$2:$2,0)))</f>
        <v/>
      </c>
      <c r="AA23" s="319"/>
      <c r="AB23" s="319"/>
      <c r="AC23" s="319"/>
      <c r="AD23" s="319"/>
      <c r="AE23" s="257" t="str">
        <f t="shared" si="2"/>
        <v/>
      </c>
      <c r="AF23" s="319" t="str" cm="1">
        <f t="array" ref="AF23">IF($C23="","",INDEX(TotalApuestas!$A$1:$GL$50007,MATCH(Seguimiento!$C23,TotalApuestas!$B$1:$B$50007,0),MATCH(Seguimiento!AE$2,Resultado!$2:$2,0)+1))</f>
        <v/>
      </c>
      <c r="AG23" s="319"/>
      <c r="AH23" s="319"/>
      <c r="AI23" s="319"/>
      <c r="AJ23" s="320"/>
      <c r="AK23" s="318" t="str">
        <f>IF($C23="","",INDEX(TotalApuestas!$A$1:$GL$50007,MATCH(Seguimiento!$C23,TotalApuestas!$B$1:$B$50007,0),MATCH(Seguimiento!AP$2,Resultado!$2:$2,0)))</f>
        <v/>
      </c>
      <c r="AL23" s="319"/>
      <c r="AM23" s="319"/>
      <c r="AN23" s="319"/>
      <c r="AO23" s="319"/>
      <c r="AP23" s="257" t="str">
        <f t="shared" si="3"/>
        <v/>
      </c>
      <c r="AQ23" s="318" t="str" cm="1">
        <f t="array" ref="AQ23">IF($C23="","",INDEX(TotalApuestas!$A$1:$GL$50007,MATCH(Seguimiento!$C23,TotalApuestas!$B$1:$B$50007,0),MATCH(Seguimiento!AP$2,Resultado!$2:$2,0)+1))</f>
        <v/>
      </c>
      <c r="AR23" s="319"/>
      <c r="AS23" s="319"/>
      <c r="AT23" s="319"/>
      <c r="AU23" s="320"/>
      <c r="AV23" s="80"/>
      <c r="AX23" s="134"/>
      <c r="AY23" s="234" t="str">
        <f>IF(ClasificaciónPorra!D21=0,"",ClasificaciónPorra!D21)</f>
        <v/>
      </c>
      <c r="AZ23" s="147" t="str" cm="1">
        <f t="array" ref="AZ23">IF(OR(AZ$6="",$AY23=""),"",IFERROR(INDEX(TotalApuestas!$A$1:$GL$50007,MATCH(Seguimiento!$AY23,TotalApuestas!$B$1:$B$50007,0),MATCH("Equipos"&amp;Seguimiento!$AY$2,Resultado!$4:$4,0)+COLUMNS($AZ$2:AZ$2)-1),0))</f>
        <v/>
      </c>
      <c r="BA23" s="147" t="str" cm="1">
        <f t="array" ref="BA23">IF(OR(BA$6="",$AY23=""),"",IFERROR(INDEX(TotalApuestas!$A$1:$GL$50007,MATCH(Seguimiento!$AY23,TotalApuestas!$B$1:$B$50007,0),MATCH("Equipos"&amp;Seguimiento!$AY$2,Resultado!$4:$4,0)+COLUMNS($AZ$2:BA$2)-1),0))</f>
        <v/>
      </c>
      <c r="BB23" s="147" t="str" cm="1">
        <f t="array" ref="BB23">IF(OR(BB$6="",$AY23=""),"",IFERROR(INDEX(TotalApuestas!$A$1:$GL$50007,MATCH(Seguimiento!$AY23,TotalApuestas!$B$1:$B$50007,0),MATCH("Equipos"&amp;Seguimiento!$AY$2,Resultado!$4:$4,0)+COLUMNS($AZ$2:BB$2)-1),0))</f>
        <v/>
      </c>
      <c r="BC23" s="147" t="str" cm="1">
        <f t="array" ref="BC23">IF(OR(BC$6="",$AY23=""),"",IFERROR(INDEX(TotalApuestas!$A$1:$GL$50007,MATCH(Seguimiento!$AY23,TotalApuestas!$B$1:$B$50007,0),MATCH("Equipos"&amp;Seguimiento!$AY$2,Resultado!$4:$4,0)+COLUMNS($AZ$2:BC$2)-1),0))</f>
        <v/>
      </c>
      <c r="BD23" s="147" t="str" cm="1">
        <f t="array" ref="BD23">IF(OR(BD$6="",$AY23=""),"",IFERROR(INDEX(TotalApuestas!$A$1:$GL$50007,MATCH(Seguimiento!$AY23,TotalApuestas!$B$1:$B$50007,0),MATCH("Equipos"&amp;Seguimiento!$AY$2,Resultado!$4:$4,0)+COLUMNS($AZ$2:BD$2)-1),0))</f>
        <v/>
      </c>
      <c r="BE23" s="147" t="str" cm="1">
        <f t="array" ref="BE23">IF(OR(BE$6="",$AY23=""),"",IFERROR(INDEX(TotalApuestas!$A$1:$GL$50007,MATCH(Seguimiento!$AY23,TotalApuestas!$B$1:$B$50007,0),MATCH("Equipos"&amp;Seguimiento!$AY$2,Resultado!$4:$4,0)+COLUMNS($AZ$2:BE$2)-1),0))</f>
        <v/>
      </c>
      <c r="BF23" s="147" t="str" cm="1">
        <f t="array" ref="BF23">IF(OR(BF$6="",$AY23=""),"",IFERROR(INDEX(TotalApuestas!$A$1:$GL$50007,MATCH(Seguimiento!$AY23,TotalApuestas!$B$1:$B$50007,0),MATCH("Equipos"&amp;Seguimiento!$AY$2,Resultado!$4:$4,0)+COLUMNS($AZ$2:BF$2)-1),0))</f>
        <v/>
      </c>
      <c r="BG23" s="147" t="str" cm="1">
        <f t="array" ref="BG23">IF(OR(BG$6="",$AY23=""),"",IFERROR(INDEX(TotalApuestas!$A$1:$GL$50007,MATCH(Seguimiento!$AY23,TotalApuestas!$B$1:$B$50007,0),MATCH("Equipos"&amp;Seguimiento!$AY$2,Resultado!$4:$4,0)+COLUMNS($AZ$2:BG$2)-1),0))</f>
        <v/>
      </c>
      <c r="BH23" s="80"/>
    </row>
    <row r="24" spans="2:63" ht="20.100000000000001" customHeight="1" x14ac:dyDescent="0.25">
      <c r="B24" s="134"/>
      <c r="C24" s="260" t="str">
        <f>IF(ClasificaciónPorra!D18=0,"",ClasificaciónPorra!D18)</f>
        <v/>
      </c>
      <c r="D24" s="318" t="str">
        <f>IF($C24="","",INDEX(TotalApuestas!$A$1:$GL$50007,MATCH(Seguimiento!$C24,TotalApuestas!$B$1:$B$50007,0),MATCH(Seguimiento!I$2,Resultado!$2:$2,0)))</f>
        <v/>
      </c>
      <c r="E24" s="319"/>
      <c r="F24" s="319"/>
      <c r="G24" s="319"/>
      <c r="H24" s="319"/>
      <c r="I24" s="257" t="str">
        <f t="shared" si="0"/>
        <v/>
      </c>
      <c r="J24" s="319" t="str" cm="1">
        <f t="array" ref="J24">IF($C24="","",INDEX(TotalApuestas!$A$1:$GL$50007,MATCH(Seguimiento!$C24,TotalApuestas!$B$1:$B$50007,0),MATCH(Seguimiento!I$2,Resultado!$2:$2,0)+1))</f>
        <v/>
      </c>
      <c r="K24" s="319"/>
      <c r="L24" s="319"/>
      <c r="M24" s="319"/>
      <c r="N24" s="320"/>
      <c r="O24" s="318" t="str">
        <f>IF($C24="","",INDEX(TotalApuestas!$A$1:$GL$50007,MATCH(Seguimiento!$C24,TotalApuestas!$B$1:$B$50007,0),MATCH(Seguimiento!T$2,Resultado!$2:$2,0)))</f>
        <v/>
      </c>
      <c r="P24" s="319"/>
      <c r="Q24" s="319"/>
      <c r="R24" s="319"/>
      <c r="S24" s="319"/>
      <c r="T24" s="257" t="str">
        <f t="shared" si="1"/>
        <v/>
      </c>
      <c r="U24" s="319" t="str" cm="1">
        <f t="array" ref="U24">IF($C24="","",INDEX(TotalApuestas!$A$1:$GL$50007,MATCH(Seguimiento!$C24,TotalApuestas!$B$1:$B$50007,0),MATCH(Seguimiento!T$2,Resultado!$2:$2,0)+1))</f>
        <v/>
      </c>
      <c r="V24" s="319"/>
      <c r="W24" s="319"/>
      <c r="X24" s="319"/>
      <c r="Y24" s="320"/>
      <c r="Z24" s="318" t="str">
        <f>IF($C24="","",INDEX(TotalApuestas!$A$1:$GL$50007,MATCH(Seguimiento!$C24,TotalApuestas!$B$1:$B$50007,0),MATCH(Seguimiento!AE$2,Resultado!$2:$2,0)))</f>
        <v/>
      </c>
      <c r="AA24" s="319"/>
      <c r="AB24" s="319"/>
      <c r="AC24" s="319"/>
      <c r="AD24" s="319"/>
      <c r="AE24" s="257" t="str">
        <f t="shared" si="2"/>
        <v/>
      </c>
      <c r="AF24" s="319" t="str" cm="1">
        <f t="array" ref="AF24">IF($C24="","",INDEX(TotalApuestas!$A$1:$GL$50007,MATCH(Seguimiento!$C24,TotalApuestas!$B$1:$B$50007,0),MATCH(Seguimiento!AE$2,Resultado!$2:$2,0)+1))</f>
        <v/>
      </c>
      <c r="AG24" s="319"/>
      <c r="AH24" s="319"/>
      <c r="AI24" s="319"/>
      <c r="AJ24" s="320"/>
      <c r="AK24" s="318" t="str">
        <f>IF($C24="","",INDEX(TotalApuestas!$A$1:$GL$50007,MATCH(Seguimiento!$C24,TotalApuestas!$B$1:$B$50007,0),MATCH(Seguimiento!AP$2,Resultado!$2:$2,0)))</f>
        <v/>
      </c>
      <c r="AL24" s="319"/>
      <c r="AM24" s="319"/>
      <c r="AN24" s="319"/>
      <c r="AO24" s="319"/>
      <c r="AP24" s="257" t="str">
        <f t="shared" si="3"/>
        <v/>
      </c>
      <c r="AQ24" s="318" t="str" cm="1">
        <f t="array" ref="AQ24">IF($C24="","",INDEX(TotalApuestas!$A$1:$GL$50007,MATCH(Seguimiento!$C24,TotalApuestas!$B$1:$B$50007,0),MATCH(Seguimiento!AP$2,Resultado!$2:$2,0)+1))</f>
        <v/>
      </c>
      <c r="AR24" s="319"/>
      <c r="AS24" s="319"/>
      <c r="AT24" s="319"/>
      <c r="AU24" s="320"/>
      <c r="AV24" s="80"/>
      <c r="AX24" s="134"/>
      <c r="AY24" s="234" t="str">
        <f>IF(ClasificaciónPorra!D22=0,"",ClasificaciónPorra!D22)</f>
        <v/>
      </c>
      <c r="AZ24" s="147" t="str" cm="1">
        <f t="array" ref="AZ24">IF(OR(AZ$6="",$AY24=""),"",IFERROR(INDEX(TotalApuestas!$A$1:$GL$50007,MATCH(Seguimiento!$AY24,TotalApuestas!$B$1:$B$50007,0),MATCH("Equipos"&amp;Seguimiento!$AY$2,Resultado!$4:$4,0)+COLUMNS($AZ$2:AZ$2)-1),0))</f>
        <v/>
      </c>
      <c r="BA24" s="147" t="str" cm="1">
        <f t="array" ref="BA24">IF(OR(BA$6="",$AY24=""),"",IFERROR(INDEX(TotalApuestas!$A$1:$GL$50007,MATCH(Seguimiento!$AY24,TotalApuestas!$B$1:$B$50007,0),MATCH("Equipos"&amp;Seguimiento!$AY$2,Resultado!$4:$4,0)+COLUMNS($AZ$2:BA$2)-1),0))</f>
        <v/>
      </c>
      <c r="BB24" s="147" t="str" cm="1">
        <f t="array" ref="BB24">IF(OR(BB$6="",$AY24=""),"",IFERROR(INDEX(TotalApuestas!$A$1:$GL$50007,MATCH(Seguimiento!$AY24,TotalApuestas!$B$1:$B$50007,0),MATCH("Equipos"&amp;Seguimiento!$AY$2,Resultado!$4:$4,0)+COLUMNS($AZ$2:BB$2)-1),0))</f>
        <v/>
      </c>
      <c r="BC24" s="147" t="str" cm="1">
        <f t="array" ref="BC24">IF(OR(BC$6="",$AY24=""),"",IFERROR(INDEX(TotalApuestas!$A$1:$GL$50007,MATCH(Seguimiento!$AY24,TotalApuestas!$B$1:$B$50007,0),MATCH("Equipos"&amp;Seguimiento!$AY$2,Resultado!$4:$4,0)+COLUMNS($AZ$2:BC$2)-1),0))</f>
        <v/>
      </c>
      <c r="BD24" s="147" t="str" cm="1">
        <f t="array" ref="BD24">IF(OR(BD$6="",$AY24=""),"",IFERROR(INDEX(TotalApuestas!$A$1:$GL$50007,MATCH(Seguimiento!$AY24,TotalApuestas!$B$1:$B$50007,0),MATCH("Equipos"&amp;Seguimiento!$AY$2,Resultado!$4:$4,0)+COLUMNS($AZ$2:BD$2)-1),0))</f>
        <v/>
      </c>
      <c r="BE24" s="147" t="str" cm="1">
        <f t="array" ref="BE24">IF(OR(BE$6="",$AY24=""),"",IFERROR(INDEX(TotalApuestas!$A$1:$GL$50007,MATCH(Seguimiento!$AY24,TotalApuestas!$B$1:$B$50007,0),MATCH("Equipos"&amp;Seguimiento!$AY$2,Resultado!$4:$4,0)+COLUMNS($AZ$2:BE$2)-1),0))</f>
        <v/>
      </c>
      <c r="BF24" s="147" t="str" cm="1">
        <f t="array" ref="BF24">IF(OR(BF$6="",$AY24=""),"",IFERROR(INDEX(TotalApuestas!$A$1:$GL$50007,MATCH(Seguimiento!$AY24,TotalApuestas!$B$1:$B$50007,0),MATCH("Equipos"&amp;Seguimiento!$AY$2,Resultado!$4:$4,0)+COLUMNS($AZ$2:BF$2)-1),0))</f>
        <v/>
      </c>
      <c r="BG24" s="147" t="str" cm="1">
        <f t="array" ref="BG24">IF(OR(BG$6="",$AY24=""),"",IFERROR(INDEX(TotalApuestas!$A$1:$GL$50007,MATCH(Seguimiento!$AY24,TotalApuestas!$B$1:$B$50007,0),MATCH("Equipos"&amp;Seguimiento!$AY$2,Resultado!$4:$4,0)+COLUMNS($AZ$2:BG$2)-1),0))</f>
        <v/>
      </c>
      <c r="BH24" s="80"/>
    </row>
    <row r="25" spans="2:63" ht="20.100000000000001" customHeight="1" x14ac:dyDescent="0.25">
      <c r="B25" s="134"/>
      <c r="C25" s="260" t="str">
        <f>IF(ClasificaciónPorra!D19=0,"",ClasificaciónPorra!D19)</f>
        <v/>
      </c>
      <c r="D25" s="318" t="str">
        <f>IF($C25="","",INDEX(TotalApuestas!$A$1:$GL$50007,MATCH(Seguimiento!$C25,TotalApuestas!$B$1:$B$50007,0),MATCH(Seguimiento!I$2,Resultado!$2:$2,0)))</f>
        <v/>
      </c>
      <c r="E25" s="319"/>
      <c r="F25" s="319"/>
      <c r="G25" s="319"/>
      <c r="H25" s="319"/>
      <c r="I25" s="257" t="str">
        <f t="shared" si="0"/>
        <v/>
      </c>
      <c r="J25" s="319" t="str" cm="1">
        <f t="array" ref="J25">IF($C25="","",INDEX(TotalApuestas!$A$1:$GL$50007,MATCH(Seguimiento!$C25,TotalApuestas!$B$1:$B$50007,0),MATCH(Seguimiento!I$2,Resultado!$2:$2,0)+1))</f>
        <v/>
      </c>
      <c r="K25" s="319"/>
      <c r="L25" s="319"/>
      <c r="M25" s="319"/>
      <c r="N25" s="320"/>
      <c r="O25" s="318" t="str">
        <f>IF($C25="","",INDEX(TotalApuestas!$A$1:$GL$50007,MATCH(Seguimiento!$C25,TotalApuestas!$B$1:$B$50007,0),MATCH(Seguimiento!T$2,Resultado!$2:$2,0)))</f>
        <v/>
      </c>
      <c r="P25" s="319"/>
      <c r="Q25" s="319"/>
      <c r="R25" s="319"/>
      <c r="S25" s="319"/>
      <c r="T25" s="257" t="str">
        <f t="shared" si="1"/>
        <v/>
      </c>
      <c r="U25" s="319" t="str" cm="1">
        <f t="array" ref="U25">IF($C25="","",INDEX(TotalApuestas!$A$1:$GL$50007,MATCH(Seguimiento!$C25,TotalApuestas!$B$1:$B$50007,0),MATCH(Seguimiento!T$2,Resultado!$2:$2,0)+1))</f>
        <v/>
      </c>
      <c r="V25" s="319"/>
      <c r="W25" s="319"/>
      <c r="X25" s="319"/>
      <c r="Y25" s="320"/>
      <c r="Z25" s="318" t="str">
        <f>IF($C25="","",INDEX(TotalApuestas!$A$1:$GL$50007,MATCH(Seguimiento!$C25,TotalApuestas!$B$1:$B$50007,0),MATCH(Seguimiento!AE$2,Resultado!$2:$2,0)))</f>
        <v/>
      </c>
      <c r="AA25" s="319"/>
      <c r="AB25" s="319"/>
      <c r="AC25" s="319"/>
      <c r="AD25" s="319"/>
      <c r="AE25" s="257" t="str">
        <f t="shared" si="2"/>
        <v/>
      </c>
      <c r="AF25" s="319" t="str" cm="1">
        <f t="array" ref="AF25">IF($C25="","",INDEX(TotalApuestas!$A$1:$GL$50007,MATCH(Seguimiento!$C25,TotalApuestas!$B$1:$B$50007,0),MATCH(Seguimiento!AE$2,Resultado!$2:$2,0)+1))</f>
        <v/>
      </c>
      <c r="AG25" s="319"/>
      <c r="AH25" s="319"/>
      <c r="AI25" s="319"/>
      <c r="AJ25" s="320"/>
      <c r="AK25" s="318" t="str">
        <f>IF($C25="","",INDEX(TotalApuestas!$A$1:$GL$50007,MATCH(Seguimiento!$C25,TotalApuestas!$B$1:$B$50007,0),MATCH(Seguimiento!AP$2,Resultado!$2:$2,0)))</f>
        <v/>
      </c>
      <c r="AL25" s="319"/>
      <c r="AM25" s="319"/>
      <c r="AN25" s="319"/>
      <c r="AO25" s="319"/>
      <c r="AP25" s="257" t="str">
        <f t="shared" si="3"/>
        <v/>
      </c>
      <c r="AQ25" s="318" t="str" cm="1">
        <f t="array" ref="AQ25">IF($C25="","",INDEX(TotalApuestas!$A$1:$GL$50007,MATCH(Seguimiento!$C25,TotalApuestas!$B$1:$B$50007,0),MATCH(Seguimiento!AP$2,Resultado!$2:$2,0)+1))</f>
        <v/>
      </c>
      <c r="AR25" s="319"/>
      <c r="AS25" s="319"/>
      <c r="AT25" s="319"/>
      <c r="AU25" s="320"/>
      <c r="AV25" s="80"/>
      <c r="AX25" s="134"/>
      <c r="AY25" s="234" t="str">
        <f>IF(ClasificaciónPorra!D23=0,"",ClasificaciónPorra!D23)</f>
        <v/>
      </c>
      <c r="AZ25" s="147" t="str" cm="1">
        <f t="array" ref="AZ25">IF(OR(AZ$6="",$AY25=""),"",IFERROR(INDEX(TotalApuestas!$A$1:$GL$50007,MATCH(Seguimiento!$AY25,TotalApuestas!$B$1:$B$50007,0),MATCH("Equipos"&amp;Seguimiento!$AY$2,Resultado!$4:$4,0)+COLUMNS($AZ$2:AZ$2)-1),0))</f>
        <v/>
      </c>
      <c r="BA25" s="147" t="str" cm="1">
        <f t="array" ref="BA25">IF(OR(BA$6="",$AY25=""),"",IFERROR(INDEX(TotalApuestas!$A$1:$GL$50007,MATCH(Seguimiento!$AY25,TotalApuestas!$B$1:$B$50007,0),MATCH("Equipos"&amp;Seguimiento!$AY$2,Resultado!$4:$4,0)+COLUMNS($AZ$2:BA$2)-1),0))</f>
        <v/>
      </c>
      <c r="BB25" s="147" t="str" cm="1">
        <f t="array" ref="BB25">IF(OR(BB$6="",$AY25=""),"",IFERROR(INDEX(TotalApuestas!$A$1:$GL$50007,MATCH(Seguimiento!$AY25,TotalApuestas!$B$1:$B$50007,0),MATCH("Equipos"&amp;Seguimiento!$AY$2,Resultado!$4:$4,0)+COLUMNS($AZ$2:BB$2)-1),0))</f>
        <v/>
      </c>
      <c r="BC25" s="147" t="str" cm="1">
        <f t="array" ref="BC25">IF(OR(BC$6="",$AY25=""),"",IFERROR(INDEX(TotalApuestas!$A$1:$GL$50007,MATCH(Seguimiento!$AY25,TotalApuestas!$B$1:$B$50007,0),MATCH("Equipos"&amp;Seguimiento!$AY$2,Resultado!$4:$4,0)+COLUMNS($AZ$2:BC$2)-1),0))</f>
        <v/>
      </c>
      <c r="BD25" s="147" t="str" cm="1">
        <f t="array" ref="BD25">IF(OR(BD$6="",$AY25=""),"",IFERROR(INDEX(TotalApuestas!$A$1:$GL$50007,MATCH(Seguimiento!$AY25,TotalApuestas!$B$1:$B$50007,0),MATCH("Equipos"&amp;Seguimiento!$AY$2,Resultado!$4:$4,0)+COLUMNS($AZ$2:BD$2)-1),0))</f>
        <v/>
      </c>
      <c r="BE25" s="147" t="str" cm="1">
        <f t="array" ref="BE25">IF(OR(BE$6="",$AY25=""),"",IFERROR(INDEX(TotalApuestas!$A$1:$GL$50007,MATCH(Seguimiento!$AY25,TotalApuestas!$B$1:$B$50007,0),MATCH("Equipos"&amp;Seguimiento!$AY$2,Resultado!$4:$4,0)+COLUMNS($AZ$2:BE$2)-1),0))</f>
        <v/>
      </c>
      <c r="BF25" s="147" t="str" cm="1">
        <f t="array" ref="BF25">IF(OR(BF$6="",$AY25=""),"",IFERROR(INDEX(TotalApuestas!$A$1:$GL$50007,MATCH(Seguimiento!$AY25,TotalApuestas!$B$1:$B$50007,0),MATCH("Equipos"&amp;Seguimiento!$AY$2,Resultado!$4:$4,0)+COLUMNS($AZ$2:BF$2)-1),0))</f>
        <v/>
      </c>
      <c r="BG25" s="147" t="str" cm="1">
        <f t="array" ref="BG25">IF(OR(BG$6="",$AY25=""),"",IFERROR(INDEX(TotalApuestas!$A$1:$GL$50007,MATCH(Seguimiento!$AY25,TotalApuestas!$B$1:$B$50007,0),MATCH("Equipos"&amp;Seguimiento!$AY$2,Resultado!$4:$4,0)+COLUMNS($AZ$2:BG$2)-1),0))</f>
        <v/>
      </c>
      <c r="BH25" s="80"/>
    </row>
    <row r="26" spans="2:63" ht="20.100000000000001" customHeight="1" x14ac:dyDescent="0.25">
      <c r="B26" s="134"/>
      <c r="C26" s="260" t="str">
        <f>IF(ClasificaciónPorra!D20=0,"",ClasificaciónPorra!D20)</f>
        <v/>
      </c>
      <c r="D26" s="318" t="str">
        <f>IF($C26="","",INDEX(TotalApuestas!$A$1:$GL$50007,MATCH(Seguimiento!$C26,TotalApuestas!$B$1:$B$50007,0),MATCH(Seguimiento!I$2,Resultado!$2:$2,0)))</f>
        <v/>
      </c>
      <c r="E26" s="319"/>
      <c r="F26" s="319"/>
      <c r="G26" s="319"/>
      <c r="H26" s="319"/>
      <c r="I26" s="257" t="str">
        <f t="shared" ref="I26:I27" si="8">+IF(D26="","",IF(D26&gt;J26,1,IF(D26=J26,"X",2)))</f>
        <v/>
      </c>
      <c r="J26" s="319" t="str" cm="1">
        <f t="array" ref="J26">IF($C26="","",INDEX(TotalApuestas!$A$1:$GL$50007,MATCH(Seguimiento!$C26,TotalApuestas!$B$1:$B$50007,0),MATCH(Seguimiento!I$2,Resultado!$2:$2,0)+1))</f>
        <v/>
      </c>
      <c r="K26" s="319"/>
      <c r="L26" s="319"/>
      <c r="M26" s="319"/>
      <c r="N26" s="320"/>
      <c r="O26" s="318" t="str">
        <f>IF($C26="","",INDEX(TotalApuestas!$A$1:$GL$50007,MATCH(Seguimiento!$C26,TotalApuestas!$B$1:$B$50007,0),MATCH(Seguimiento!T$2,Resultado!$2:$2,0)))</f>
        <v/>
      </c>
      <c r="P26" s="319"/>
      <c r="Q26" s="319"/>
      <c r="R26" s="319"/>
      <c r="S26" s="319"/>
      <c r="T26" s="257" t="str">
        <f t="shared" ref="T26:T27" si="9">+IF(O26="","",IF(O26&gt;U26,1,IF(O26=U26,"X",2)))</f>
        <v/>
      </c>
      <c r="U26" s="319" t="str" cm="1">
        <f t="array" ref="U26">IF($C26="","",INDEX(TotalApuestas!$A$1:$GL$50007,MATCH(Seguimiento!$C26,TotalApuestas!$B$1:$B$50007,0),MATCH(Seguimiento!T$2,Resultado!$2:$2,0)+1))</f>
        <v/>
      </c>
      <c r="V26" s="319"/>
      <c r="W26" s="319"/>
      <c r="X26" s="319"/>
      <c r="Y26" s="320"/>
      <c r="Z26" s="318" t="str">
        <f>IF($C26="","",INDEX(TotalApuestas!$A$1:$GL$50007,MATCH(Seguimiento!$C26,TotalApuestas!$B$1:$B$50007,0),MATCH(Seguimiento!AE$2,Resultado!$2:$2,0)))</f>
        <v/>
      </c>
      <c r="AA26" s="319"/>
      <c r="AB26" s="319"/>
      <c r="AC26" s="319"/>
      <c r="AD26" s="319"/>
      <c r="AE26" s="257" t="str">
        <f t="shared" ref="AE26:AE27" si="10">+IF(Z26="","",IF(Z26&gt;AF26,1,IF(Z26=AF26,"X",2)))</f>
        <v/>
      </c>
      <c r="AF26" s="319" t="str" cm="1">
        <f t="array" ref="AF26">IF($C26="","",INDEX(TotalApuestas!$A$1:$GL$50007,MATCH(Seguimiento!$C26,TotalApuestas!$B$1:$B$50007,0),MATCH(Seguimiento!AE$2,Resultado!$2:$2,0)+1))</f>
        <v/>
      </c>
      <c r="AG26" s="319"/>
      <c r="AH26" s="319"/>
      <c r="AI26" s="319"/>
      <c r="AJ26" s="320"/>
      <c r="AK26" s="318" t="str">
        <f>IF($C26="","",INDEX(TotalApuestas!$A$1:$GL$50007,MATCH(Seguimiento!$C26,TotalApuestas!$B$1:$B$50007,0),MATCH(Seguimiento!AP$2,Resultado!$2:$2,0)))</f>
        <v/>
      </c>
      <c r="AL26" s="319"/>
      <c r="AM26" s="319"/>
      <c r="AN26" s="319"/>
      <c r="AO26" s="319"/>
      <c r="AP26" s="257" t="str">
        <f t="shared" ref="AP26:AP27" si="11">+IF(AK26="","",IF(AK26&gt;AQ26,1,IF(AK26=AQ26,"X",2)))</f>
        <v/>
      </c>
      <c r="AQ26" s="318" t="str" cm="1">
        <f t="array" ref="AQ26">IF($C26="","",INDEX(TotalApuestas!$A$1:$GL$50007,MATCH(Seguimiento!$C26,TotalApuestas!$B$1:$B$50007,0),MATCH(Seguimiento!AP$2,Resultado!$2:$2,0)+1))</f>
        <v/>
      </c>
      <c r="AR26" s="319"/>
      <c r="AS26" s="319"/>
      <c r="AT26" s="319"/>
      <c r="AU26" s="320"/>
      <c r="AV26" s="80"/>
      <c r="AX26" s="134"/>
      <c r="AY26" s="234" t="str">
        <f>IF(ClasificaciónPorra!D24=0,"",ClasificaciónPorra!D24)</f>
        <v/>
      </c>
      <c r="AZ26" s="147" t="str" cm="1">
        <f t="array" ref="AZ26">IF(OR(AZ$6="",$AY26=""),"",IFERROR(INDEX(TotalApuestas!$A$1:$GL$50007,MATCH(Seguimiento!$AY26,TotalApuestas!$B$1:$B$50007,0),MATCH("Equipos"&amp;Seguimiento!$AY$2,Resultado!$4:$4,0)+COLUMNS($AZ$2:AZ$2)-1),0))</f>
        <v/>
      </c>
      <c r="BA26" s="147" t="str" cm="1">
        <f t="array" ref="BA26">IF(OR(BA$6="",$AY26=""),"",IFERROR(INDEX(TotalApuestas!$A$1:$GL$50007,MATCH(Seguimiento!$AY26,TotalApuestas!$B$1:$B$50007,0),MATCH("Equipos"&amp;Seguimiento!$AY$2,Resultado!$4:$4,0)+COLUMNS($AZ$2:BA$2)-1),0))</f>
        <v/>
      </c>
      <c r="BB26" s="147" t="str" cm="1">
        <f t="array" ref="BB26">IF(OR(BB$6="",$AY26=""),"",IFERROR(INDEX(TotalApuestas!$A$1:$GL$50007,MATCH(Seguimiento!$AY26,TotalApuestas!$B$1:$B$50007,0),MATCH("Equipos"&amp;Seguimiento!$AY$2,Resultado!$4:$4,0)+COLUMNS($AZ$2:BB$2)-1),0))</f>
        <v/>
      </c>
      <c r="BC26" s="147" t="str" cm="1">
        <f t="array" ref="BC26">IF(OR(BC$6="",$AY26=""),"",IFERROR(INDEX(TotalApuestas!$A$1:$GL$50007,MATCH(Seguimiento!$AY26,TotalApuestas!$B$1:$B$50007,0),MATCH("Equipos"&amp;Seguimiento!$AY$2,Resultado!$4:$4,0)+COLUMNS($AZ$2:BC$2)-1),0))</f>
        <v/>
      </c>
      <c r="BD26" s="147" t="str" cm="1">
        <f t="array" ref="BD26">IF(OR(BD$6="",$AY26=""),"",IFERROR(INDEX(TotalApuestas!$A$1:$GL$50007,MATCH(Seguimiento!$AY26,TotalApuestas!$B$1:$B$50007,0),MATCH("Equipos"&amp;Seguimiento!$AY$2,Resultado!$4:$4,0)+COLUMNS($AZ$2:BD$2)-1),0))</f>
        <v/>
      </c>
      <c r="BE26" s="147" t="str" cm="1">
        <f t="array" ref="BE26">IF(OR(BE$6="",$AY26=""),"",IFERROR(INDEX(TotalApuestas!$A$1:$GL$50007,MATCH(Seguimiento!$AY26,TotalApuestas!$B$1:$B$50007,0),MATCH("Equipos"&amp;Seguimiento!$AY$2,Resultado!$4:$4,0)+COLUMNS($AZ$2:BE$2)-1),0))</f>
        <v/>
      </c>
      <c r="BF26" s="147" t="str" cm="1">
        <f t="array" ref="BF26">IF(OR(BF$6="",$AY26=""),"",IFERROR(INDEX(TotalApuestas!$A$1:$GL$50007,MATCH(Seguimiento!$AY26,TotalApuestas!$B$1:$B$50007,0),MATCH("Equipos"&amp;Seguimiento!$AY$2,Resultado!$4:$4,0)+COLUMNS($AZ$2:BF$2)-1),0))</f>
        <v/>
      </c>
      <c r="BG26" s="147" t="str" cm="1">
        <f t="array" ref="BG26">IF(OR(BG$6="",$AY26=""),"",IFERROR(INDEX(TotalApuestas!$A$1:$GL$50007,MATCH(Seguimiento!$AY26,TotalApuestas!$B$1:$B$50007,0),MATCH("Equipos"&amp;Seguimiento!$AY$2,Resultado!$4:$4,0)+COLUMNS($AZ$2:BG$2)-1),0))</f>
        <v/>
      </c>
      <c r="BH26" s="80"/>
    </row>
    <row r="27" spans="2:63" ht="20.100000000000001" customHeight="1" thickBot="1" x14ac:dyDescent="0.3">
      <c r="B27" s="134"/>
      <c r="C27" s="260" t="str">
        <f>IF(ClasificaciónPorra!D21=0,"",ClasificaciónPorra!D21)</f>
        <v/>
      </c>
      <c r="D27" s="321" t="str">
        <f>IF($C27="","",INDEX(TotalApuestas!$A$1:$GL$50007,MATCH(Seguimiento!$C27,TotalApuestas!$B$1:$B$50007,0),MATCH(Seguimiento!I$2,Resultado!$2:$2,0)))</f>
        <v/>
      </c>
      <c r="E27" s="322"/>
      <c r="F27" s="322"/>
      <c r="G27" s="322"/>
      <c r="H27" s="322"/>
      <c r="I27" s="258" t="str">
        <f t="shared" si="8"/>
        <v/>
      </c>
      <c r="J27" s="322" t="str" cm="1">
        <f t="array" ref="J27">IF($C27="","",INDEX(TotalApuestas!$A$1:$GL$50007,MATCH(Seguimiento!$C27,TotalApuestas!$B$1:$B$50007,0),MATCH(Seguimiento!I$2,Resultado!$2:$2,0)+1))</f>
        <v/>
      </c>
      <c r="K27" s="322"/>
      <c r="L27" s="322"/>
      <c r="M27" s="322"/>
      <c r="N27" s="323"/>
      <c r="O27" s="321" t="str">
        <f>IF($C27="","",INDEX(TotalApuestas!$A$1:$GL$50007,MATCH(Seguimiento!$C27,TotalApuestas!$B$1:$B$50007,0),MATCH(Seguimiento!T$2,Resultado!$2:$2,0)))</f>
        <v/>
      </c>
      <c r="P27" s="322"/>
      <c r="Q27" s="322"/>
      <c r="R27" s="322"/>
      <c r="S27" s="322"/>
      <c r="T27" s="258" t="str">
        <f t="shared" si="9"/>
        <v/>
      </c>
      <c r="U27" s="322" t="str" cm="1">
        <f t="array" ref="U27">IF($C27="","",INDEX(TotalApuestas!$A$1:$GL$50007,MATCH(Seguimiento!$C27,TotalApuestas!$B$1:$B$50007,0),MATCH(Seguimiento!T$2,Resultado!$2:$2,0)+1))</f>
        <v/>
      </c>
      <c r="V27" s="322"/>
      <c r="W27" s="322"/>
      <c r="X27" s="322"/>
      <c r="Y27" s="323"/>
      <c r="Z27" s="321" t="str">
        <f>IF($C27="","",INDEX(TotalApuestas!$A$1:$GL$50007,MATCH(Seguimiento!$C27,TotalApuestas!$B$1:$B$50007,0),MATCH(Seguimiento!AE$2,Resultado!$2:$2,0)))</f>
        <v/>
      </c>
      <c r="AA27" s="322"/>
      <c r="AB27" s="322"/>
      <c r="AC27" s="322"/>
      <c r="AD27" s="322"/>
      <c r="AE27" s="258" t="str">
        <f t="shared" si="10"/>
        <v/>
      </c>
      <c r="AF27" s="322" t="str" cm="1">
        <f t="array" ref="AF27">IF($C27="","",INDEX(TotalApuestas!$A$1:$GL$50007,MATCH(Seguimiento!$C27,TotalApuestas!$B$1:$B$50007,0),MATCH(Seguimiento!AE$2,Resultado!$2:$2,0)+1))</f>
        <v/>
      </c>
      <c r="AG27" s="322"/>
      <c r="AH27" s="322"/>
      <c r="AI27" s="322"/>
      <c r="AJ27" s="323"/>
      <c r="AK27" s="321" t="str">
        <f>IF($C27="","",INDEX(TotalApuestas!$A$1:$GL$50007,MATCH(Seguimiento!$C27,TotalApuestas!$B$1:$B$50007,0),MATCH(Seguimiento!AP$2,Resultado!$2:$2,0)))</f>
        <v/>
      </c>
      <c r="AL27" s="322"/>
      <c r="AM27" s="322"/>
      <c r="AN27" s="322"/>
      <c r="AO27" s="322"/>
      <c r="AP27" s="258" t="str">
        <f t="shared" si="11"/>
        <v/>
      </c>
      <c r="AQ27" s="321" t="str" cm="1">
        <f t="array" ref="AQ27">IF($C27="","",INDEX(TotalApuestas!$A$1:$GL$50007,MATCH(Seguimiento!$C27,TotalApuestas!$B$1:$B$50007,0),MATCH(Seguimiento!AP$2,Resultado!$2:$2,0)+1))</f>
        <v/>
      </c>
      <c r="AR27" s="322"/>
      <c r="AS27" s="322"/>
      <c r="AT27" s="322"/>
      <c r="AU27" s="323"/>
      <c r="AV27" s="80"/>
      <c r="AX27" s="135"/>
      <c r="AY27" s="136"/>
      <c r="AZ27" s="136"/>
      <c r="BA27" s="136"/>
      <c r="BB27" s="136"/>
      <c r="BC27" s="136"/>
      <c r="BD27" s="136"/>
      <c r="BE27" s="136"/>
      <c r="BF27" s="136"/>
      <c r="BG27" s="136"/>
      <c r="BH27" s="63"/>
    </row>
    <row r="28" spans="2:63" ht="20.100000000000001" customHeight="1" thickBot="1" x14ac:dyDescent="0.3">
      <c r="B28" s="135"/>
      <c r="C28" s="136"/>
      <c r="D28" s="136"/>
      <c r="E28" s="136"/>
      <c r="F28" s="136"/>
      <c r="G28" s="136"/>
      <c r="H28" s="136"/>
      <c r="I28" s="136"/>
      <c r="J28" s="136"/>
      <c r="K28" s="136"/>
      <c r="L28" s="136"/>
      <c r="M28" s="136"/>
      <c r="N28" s="136"/>
      <c r="O28" s="136"/>
      <c r="P28" s="136"/>
      <c r="Q28" s="136"/>
      <c r="R28" s="136"/>
      <c r="S28" s="136"/>
      <c r="T28" s="136"/>
      <c r="U28" s="136"/>
      <c r="V28" s="136"/>
      <c r="W28" s="136"/>
      <c r="X28" s="136"/>
      <c r="Y28" s="136"/>
      <c r="Z28" s="136"/>
      <c r="AA28" s="136"/>
      <c r="AB28" s="136"/>
      <c r="AC28" s="136"/>
      <c r="AD28" s="136"/>
      <c r="AE28" s="136"/>
      <c r="AF28" s="136"/>
      <c r="AG28" s="136"/>
      <c r="AH28" s="136"/>
      <c r="AI28" s="136"/>
      <c r="AJ28" s="136"/>
      <c r="AK28" s="136"/>
      <c r="AL28" s="136"/>
      <c r="AM28" s="136"/>
      <c r="AN28" s="136"/>
      <c r="AO28" s="136"/>
      <c r="AP28" s="136"/>
      <c r="AQ28" s="136"/>
      <c r="AR28" s="136"/>
      <c r="AS28" s="136"/>
      <c r="AT28" s="136"/>
      <c r="AU28" s="136"/>
      <c r="AV28" s="63"/>
    </row>
    <row r="29" spans="2:63" ht="20.100000000000001" customHeight="1" x14ac:dyDescent="0.25"/>
    <row r="30" spans="2:63" ht="20.100000000000001" customHeight="1" thickBot="1" x14ac:dyDescent="0.3"/>
    <row r="31" spans="2:63" ht="20.100000000000001" customHeight="1" x14ac:dyDescent="0.25">
      <c r="AW31" s="294" t="s">
        <v>134</v>
      </c>
    </row>
    <row r="32" spans="2:63" ht="20.100000000000001" customHeight="1" thickBot="1" x14ac:dyDescent="0.3">
      <c r="AW32" s="295"/>
    </row>
    <row r="33" spans="49:49" ht="20.100000000000001" customHeight="1" x14ac:dyDescent="0.25">
      <c r="AW33" s="296" t="s">
        <v>135</v>
      </c>
    </row>
    <row r="34" spans="49:49" ht="20.100000000000001" customHeight="1" thickBot="1" x14ac:dyDescent="0.3">
      <c r="AW34" s="297"/>
    </row>
    <row r="35" spans="49:49" ht="20.100000000000001" customHeight="1" x14ac:dyDescent="0.25"/>
    <row r="36" spans="49:49" ht="20.100000000000001" customHeight="1" x14ac:dyDescent="0.25"/>
    <row r="37" spans="49:49" ht="20.100000000000001" customHeight="1" x14ac:dyDescent="0.25"/>
    <row r="38" spans="49:49" ht="20.100000000000001" customHeight="1" x14ac:dyDescent="0.25"/>
    <row r="39" spans="49:49" ht="20.100000000000001" customHeight="1" x14ac:dyDescent="0.25"/>
    <row r="40" spans="49:49" ht="20.100000000000001" customHeight="1" x14ac:dyDescent="0.25"/>
    <row r="41" spans="49:49" ht="20.100000000000001" customHeight="1" x14ac:dyDescent="0.25"/>
    <row r="42" spans="49:49" ht="20.100000000000001" customHeight="1" x14ac:dyDescent="0.25"/>
    <row r="43" spans="49:49" ht="20.100000000000001" customHeight="1" x14ac:dyDescent="0.25"/>
    <row r="44" spans="49:49" ht="20.100000000000001" customHeight="1" x14ac:dyDescent="0.25"/>
    <row r="45" spans="49:49" ht="20.100000000000001" customHeight="1" x14ac:dyDescent="0.25"/>
    <row r="46" spans="49:49" ht="20.100000000000001" customHeight="1" x14ac:dyDescent="0.25"/>
    <row r="47" spans="49:49" ht="20.100000000000001" customHeight="1" x14ac:dyDescent="0.25"/>
    <row r="48" spans="49:49" ht="20.100000000000001" customHeight="1" x14ac:dyDescent="0.25"/>
    <row r="49" ht="20.100000000000001" customHeight="1" x14ac:dyDescent="0.25"/>
    <row r="50" ht="20.100000000000001" customHeight="1" x14ac:dyDescent="0.25"/>
    <row r="51" ht="20.100000000000001" customHeight="1" x14ac:dyDescent="0.25"/>
    <row r="52" ht="20.100000000000001" customHeight="1" x14ac:dyDescent="0.25"/>
    <row r="53" ht="20.100000000000001" customHeight="1" x14ac:dyDescent="0.25"/>
    <row r="54" ht="20.100000000000001" customHeight="1" x14ac:dyDescent="0.25"/>
    <row r="55" ht="20.100000000000001" customHeight="1" x14ac:dyDescent="0.25"/>
    <row r="56" ht="20.100000000000001" customHeight="1" x14ac:dyDescent="0.25"/>
    <row r="57" ht="20.100000000000001" customHeight="1" x14ac:dyDescent="0.25"/>
    <row r="58" ht="20.100000000000001" customHeight="1" x14ac:dyDescent="0.25"/>
    <row r="59" ht="20.100000000000001" customHeight="1" x14ac:dyDescent="0.25"/>
    <row r="60" ht="20.100000000000001" customHeight="1" x14ac:dyDescent="0.25"/>
    <row r="61" ht="20.100000000000001" customHeight="1" x14ac:dyDescent="0.25"/>
    <row r="62" ht="20.100000000000001" customHeight="1" x14ac:dyDescent="0.25"/>
    <row r="63" ht="20.100000000000001" customHeight="1" x14ac:dyDescent="0.25"/>
    <row r="64" ht="20.100000000000001" customHeight="1" x14ac:dyDescent="0.25"/>
    <row r="65" ht="20.100000000000001" customHeight="1" x14ac:dyDescent="0.25"/>
    <row r="66" ht="20.100000000000001" customHeight="1" x14ac:dyDescent="0.25"/>
    <row r="67" ht="20.100000000000001" customHeight="1" x14ac:dyDescent="0.25"/>
    <row r="68" ht="20.100000000000001" customHeight="1" x14ac:dyDescent="0.25"/>
    <row r="69" ht="20.100000000000001" customHeight="1" x14ac:dyDescent="0.25"/>
    <row r="70" ht="20.100000000000001" customHeight="1" x14ac:dyDescent="0.25"/>
    <row r="71" ht="20.100000000000001" customHeight="1" x14ac:dyDescent="0.25"/>
    <row r="72" ht="20.100000000000001" customHeight="1" x14ac:dyDescent="0.25"/>
    <row r="73" ht="20.100000000000001" customHeight="1" x14ac:dyDescent="0.25"/>
    <row r="74" ht="20.100000000000001" customHeight="1" x14ac:dyDescent="0.25"/>
    <row r="75" ht="20.100000000000001" customHeight="1" x14ac:dyDescent="0.25"/>
    <row r="76" ht="20.100000000000001" customHeight="1" x14ac:dyDescent="0.25"/>
    <row r="77" ht="20.100000000000001" customHeight="1" x14ac:dyDescent="0.25"/>
    <row r="78" ht="20.100000000000001" customHeight="1" x14ac:dyDescent="0.25"/>
    <row r="79" ht="20.100000000000001" customHeight="1" x14ac:dyDescent="0.25"/>
    <row r="80" ht="20.100000000000001" customHeight="1" x14ac:dyDescent="0.25"/>
    <row r="81" ht="20.100000000000001" customHeight="1" x14ac:dyDescent="0.25"/>
    <row r="82" ht="20.100000000000001" customHeight="1" x14ac:dyDescent="0.25"/>
    <row r="83" ht="20.100000000000001" customHeight="1" x14ac:dyDescent="0.25"/>
    <row r="84" ht="20.100000000000001" customHeight="1" x14ac:dyDescent="0.25"/>
    <row r="85" ht="20.100000000000001" customHeight="1" x14ac:dyDescent="0.25"/>
    <row r="86" ht="20.100000000000001" customHeight="1" x14ac:dyDescent="0.25"/>
    <row r="87" ht="20.100000000000001" customHeight="1" x14ac:dyDescent="0.25"/>
    <row r="88" ht="20.100000000000001" customHeight="1" x14ac:dyDescent="0.25"/>
    <row r="89" ht="20.100000000000001" customHeight="1" x14ac:dyDescent="0.25"/>
    <row r="90" ht="20.100000000000001" customHeight="1" x14ac:dyDescent="0.25"/>
    <row r="91" ht="20.100000000000001" customHeight="1" x14ac:dyDescent="0.25"/>
    <row r="92" ht="20.100000000000001" customHeight="1" x14ac:dyDescent="0.25"/>
    <row r="93" ht="20.100000000000001" customHeight="1" x14ac:dyDescent="0.25"/>
    <row r="94" ht="20.100000000000001" customHeight="1" x14ac:dyDescent="0.25"/>
    <row r="95" ht="20.100000000000001" customHeight="1" x14ac:dyDescent="0.25"/>
    <row r="96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</sheetData>
  <mergeCells count="188">
    <mergeCell ref="D17:H17"/>
    <mergeCell ref="J17:N17"/>
    <mergeCell ref="O17:S17"/>
    <mergeCell ref="U17:Y17"/>
    <mergeCell ref="Z17:AD17"/>
    <mergeCell ref="AF17:AJ17"/>
    <mergeCell ref="AK17:AO17"/>
    <mergeCell ref="AQ17:AU17"/>
    <mergeCell ref="D18:H18"/>
    <mergeCell ref="J18:N18"/>
    <mergeCell ref="O18:S18"/>
    <mergeCell ref="U18:Y18"/>
    <mergeCell ref="Z18:AD18"/>
    <mergeCell ref="AF18:AJ18"/>
    <mergeCell ref="AK18:AO18"/>
    <mergeCell ref="AQ18:AU18"/>
    <mergeCell ref="J26:N26"/>
    <mergeCell ref="J27:N27"/>
    <mergeCell ref="O11:S11"/>
    <mergeCell ref="U11:Y11"/>
    <mergeCell ref="O12:S12"/>
    <mergeCell ref="U12:Y12"/>
    <mergeCell ref="O13:S13"/>
    <mergeCell ref="U13:Y13"/>
    <mergeCell ref="O14:S14"/>
    <mergeCell ref="U14:Y14"/>
    <mergeCell ref="O15:S15"/>
    <mergeCell ref="U15:Y15"/>
    <mergeCell ref="O16:S16"/>
    <mergeCell ref="U16:Y16"/>
    <mergeCell ref="O19:S19"/>
    <mergeCell ref="U19:Y19"/>
    <mergeCell ref="O20:S20"/>
    <mergeCell ref="U20:Y20"/>
    <mergeCell ref="O21:S21"/>
    <mergeCell ref="U21:Y21"/>
    <mergeCell ref="O22:S22"/>
    <mergeCell ref="J16:N16"/>
    <mergeCell ref="J19:N19"/>
    <mergeCell ref="J20:N20"/>
    <mergeCell ref="AW33:AW34"/>
    <mergeCell ref="AY5:BG5"/>
    <mergeCell ref="F7:F8"/>
    <mergeCell ref="L7:L8"/>
    <mergeCell ref="U7:U8"/>
    <mergeCell ref="Z7:Z8"/>
    <mergeCell ref="AB7:AB8"/>
    <mergeCell ref="G7:G8"/>
    <mergeCell ref="AI7:AI8"/>
    <mergeCell ref="AJ7:AJ8"/>
    <mergeCell ref="Z9:AD9"/>
    <mergeCell ref="AF9:AJ9"/>
    <mergeCell ref="O6:Y6"/>
    <mergeCell ref="O7:O8"/>
    <mergeCell ref="P7:P8"/>
    <mergeCell ref="N7:N8"/>
    <mergeCell ref="D11:H11"/>
    <mergeCell ref="D12:H12"/>
    <mergeCell ref="D13:H13"/>
    <mergeCell ref="D14:H14"/>
    <mergeCell ref="D15:H15"/>
    <mergeCell ref="D16:H16"/>
    <mergeCell ref="D19:H19"/>
    <mergeCell ref="D20:H20"/>
    <mergeCell ref="AW31:AW32"/>
    <mergeCell ref="E7:E8"/>
    <mergeCell ref="D9:H9"/>
    <mergeCell ref="D21:H21"/>
    <mergeCell ref="D22:H22"/>
    <mergeCell ref="D23:H23"/>
    <mergeCell ref="D24:H24"/>
    <mergeCell ref="D25:H25"/>
    <mergeCell ref="D26:H26"/>
    <mergeCell ref="AF7:AF8"/>
    <mergeCell ref="AG7:AG8"/>
    <mergeCell ref="D7:D8"/>
    <mergeCell ref="AM7:AM8"/>
    <mergeCell ref="AN7:AN8"/>
    <mergeCell ref="AR7:AR8"/>
    <mergeCell ref="AS7:AS8"/>
    <mergeCell ref="AT7:AT8"/>
    <mergeCell ref="AU7:AU8"/>
    <mergeCell ref="D27:H27"/>
    <mergeCell ref="J11:N11"/>
    <mergeCell ref="J12:N12"/>
    <mergeCell ref="J13:N13"/>
    <mergeCell ref="J14:N14"/>
    <mergeCell ref="J15:N15"/>
    <mergeCell ref="D5:AU5"/>
    <mergeCell ref="D6:N6"/>
    <mergeCell ref="M7:M8"/>
    <mergeCell ref="AK9:AO9"/>
    <mergeCell ref="AQ9:AU9"/>
    <mergeCell ref="AQ7:AQ8"/>
    <mergeCell ref="Z6:AJ6"/>
    <mergeCell ref="AH7:AH8"/>
    <mergeCell ref="O9:S9"/>
    <mergeCell ref="U9:Y9"/>
    <mergeCell ref="Y7:Y8"/>
    <mergeCell ref="AA7:AA8"/>
    <mergeCell ref="AC7:AC8"/>
    <mergeCell ref="Q7:Q8"/>
    <mergeCell ref="R7:R8"/>
    <mergeCell ref="V7:V8"/>
    <mergeCell ref="W7:W8"/>
    <mergeCell ref="X7:X8"/>
    <mergeCell ref="J7:J8"/>
    <mergeCell ref="K7:K8"/>
    <mergeCell ref="J9:N9"/>
    <mergeCell ref="AK6:AU6"/>
    <mergeCell ref="AK7:AK8"/>
    <mergeCell ref="AL7:AL8"/>
    <mergeCell ref="J21:N21"/>
    <mergeCell ref="J22:N22"/>
    <mergeCell ref="J23:N23"/>
    <mergeCell ref="J24:N24"/>
    <mergeCell ref="J25:N25"/>
    <mergeCell ref="U22:Y22"/>
    <mergeCell ref="O23:S23"/>
    <mergeCell ref="U23:Y23"/>
    <mergeCell ref="O24:S24"/>
    <mergeCell ref="U24:Y24"/>
    <mergeCell ref="O25:S25"/>
    <mergeCell ref="U25:Y25"/>
    <mergeCell ref="O26:S26"/>
    <mergeCell ref="U26:Y26"/>
    <mergeCell ref="O27:S27"/>
    <mergeCell ref="U27:Y27"/>
    <mergeCell ref="Z11:AD11"/>
    <mergeCell ref="AF11:AJ11"/>
    <mergeCell ref="Z12:AD12"/>
    <mergeCell ref="AF12:AJ12"/>
    <mergeCell ref="Z13:AD13"/>
    <mergeCell ref="AF13:AJ13"/>
    <mergeCell ref="Z14:AD14"/>
    <mergeCell ref="AF14:AJ14"/>
    <mergeCell ref="Z15:AD15"/>
    <mergeCell ref="AF15:AJ15"/>
    <mergeCell ref="Z16:AD16"/>
    <mergeCell ref="AF16:AJ16"/>
    <mergeCell ref="Z19:AD19"/>
    <mergeCell ref="AF19:AJ19"/>
    <mergeCell ref="Z20:AD20"/>
    <mergeCell ref="AF20:AJ20"/>
    <mergeCell ref="Z21:AD21"/>
    <mergeCell ref="AF21:AJ21"/>
    <mergeCell ref="Z22:AD22"/>
    <mergeCell ref="AF22:AJ22"/>
    <mergeCell ref="Z23:AD23"/>
    <mergeCell ref="AF23:AJ23"/>
    <mergeCell ref="Z24:AD24"/>
    <mergeCell ref="AF24:AJ24"/>
    <mergeCell ref="Z25:AD25"/>
    <mergeCell ref="AF25:AJ25"/>
    <mergeCell ref="Z26:AD26"/>
    <mergeCell ref="AF26:AJ26"/>
    <mergeCell ref="Z27:AD27"/>
    <mergeCell ref="AF27:AJ27"/>
    <mergeCell ref="AK11:AO11"/>
    <mergeCell ref="AQ11:AU11"/>
    <mergeCell ref="AK12:AO12"/>
    <mergeCell ref="AQ12:AU12"/>
    <mergeCell ref="AK13:AO13"/>
    <mergeCell ref="AQ13:AU13"/>
    <mergeCell ref="AK14:AO14"/>
    <mergeCell ref="AQ14:AU14"/>
    <mergeCell ref="AK15:AO15"/>
    <mergeCell ref="AQ15:AU15"/>
    <mergeCell ref="AK16:AO16"/>
    <mergeCell ref="AQ16:AU16"/>
    <mergeCell ref="AK19:AO19"/>
    <mergeCell ref="AQ19:AU19"/>
    <mergeCell ref="AK20:AO20"/>
    <mergeCell ref="AQ20:AU20"/>
    <mergeCell ref="AK21:AO21"/>
    <mergeCell ref="AQ21:AU21"/>
    <mergeCell ref="AK22:AO22"/>
    <mergeCell ref="AQ22:AU22"/>
    <mergeCell ref="AK23:AO23"/>
    <mergeCell ref="AQ23:AU23"/>
    <mergeCell ref="AK24:AO24"/>
    <mergeCell ref="AQ24:AU24"/>
    <mergeCell ref="AK25:AO25"/>
    <mergeCell ref="AQ25:AU25"/>
    <mergeCell ref="AK26:AO26"/>
    <mergeCell ref="AQ26:AU26"/>
    <mergeCell ref="AK27:AO27"/>
    <mergeCell ref="AQ27:AU27"/>
  </mergeCells>
  <conditionalFormatting sqref="D9">
    <cfRule type="expression" dxfId="27" priority="197">
      <formula>#REF!="P"</formula>
    </cfRule>
    <cfRule type="expression" dxfId="26" priority="198">
      <formula>#REF!="E"</formula>
    </cfRule>
    <cfRule type="expression" dxfId="25" priority="199">
      <formula>#REF!="G"</formula>
    </cfRule>
  </conditionalFormatting>
  <conditionalFormatting sqref="D11:D27 J11:J27 O11:O27 U11:U27 Z11:Z27 AF11:AF27 AK11:AK27 AQ11:AQ27">
    <cfRule type="expression" dxfId="24" priority="321">
      <formula>IF(AND(D11&lt;&gt;"",D$9=D11,$C11&lt;&gt;""),1,0)</formula>
    </cfRule>
  </conditionalFormatting>
  <conditionalFormatting sqref="I11:I27 T11:T27 AE11:AE27 AP11:AP27">
    <cfRule type="expression" dxfId="23" priority="26">
      <formula>IF(AND(I11&lt;&gt;"",I$9=I11,$C11&lt;&gt;""),1,0)</formula>
    </cfRule>
  </conditionalFormatting>
  <conditionalFormatting sqref="J9">
    <cfRule type="expression" dxfId="22" priority="182">
      <formula>#REF!="P"</formula>
    </cfRule>
    <cfRule type="expression" dxfId="21" priority="183">
      <formula>#REF!="E"</formula>
    </cfRule>
    <cfRule type="expression" dxfId="20" priority="184">
      <formula>#REF!="G"</formula>
    </cfRule>
  </conditionalFormatting>
  <conditionalFormatting sqref="O9">
    <cfRule type="expression" dxfId="19" priority="62">
      <formula>#REF!="P"</formula>
    </cfRule>
    <cfRule type="expression" dxfId="18" priority="63">
      <formula>#REF!="E"</formula>
    </cfRule>
    <cfRule type="expression" dxfId="17" priority="64">
      <formula>#REF!="G"</formula>
    </cfRule>
  </conditionalFormatting>
  <conditionalFormatting sqref="U9">
    <cfRule type="expression" dxfId="16" priority="59">
      <formula>#REF!="P"</formula>
    </cfRule>
    <cfRule type="expression" dxfId="15" priority="60">
      <formula>#REF!="E"</formula>
    </cfRule>
    <cfRule type="expression" dxfId="14" priority="61">
      <formula>#REF!="G"</formula>
    </cfRule>
  </conditionalFormatting>
  <conditionalFormatting sqref="Z9">
    <cfRule type="expression" dxfId="13" priority="56">
      <formula>#REF!="P"</formula>
    </cfRule>
    <cfRule type="expression" dxfId="12" priority="57">
      <formula>#REF!="E"</formula>
    </cfRule>
    <cfRule type="expression" dxfId="11" priority="58">
      <formula>#REF!="G"</formula>
    </cfRule>
  </conditionalFormatting>
  <conditionalFormatting sqref="AF9">
    <cfRule type="expression" dxfId="10" priority="53">
      <formula>#REF!="P"</formula>
    </cfRule>
    <cfRule type="expression" dxfId="9" priority="54">
      <formula>#REF!="E"</formula>
    </cfRule>
    <cfRule type="expression" dxfId="8" priority="55">
      <formula>#REF!="G"</formula>
    </cfRule>
  </conditionalFormatting>
  <conditionalFormatting sqref="AK9">
    <cfRule type="expression" dxfId="7" priority="50">
      <formula>#REF!="P"</formula>
    </cfRule>
    <cfRule type="expression" dxfId="6" priority="51">
      <formula>#REF!="E"</formula>
    </cfRule>
    <cfRule type="expression" dxfId="5" priority="52">
      <formula>#REF!="G"</formula>
    </cfRule>
  </conditionalFormatting>
  <conditionalFormatting sqref="AQ9">
    <cfRule type="expression" dxfId="4" priority="47">
      <formula>#REF!="P"</formula>
    </cfRule>
    <cfRule type="expression" dxfId="3" priority="48">
      <formula>#REF!="E"</formula>
    </cfRule>
    <cfRule type="expression" dxfId="2" priority="49">
      <formula>#REF!="G"</formula>
    </cfRule>
  </conditionalFormatting>
  <conditionalFormatting sqref="AW31:AW34">
    <cfRule type="expression" dxfId="1" priority="1">
      <formula>$L34&lt;&gt;""</formula>
    </cfRule>
    <cfRule type="expression" dxfId="0" priority="2">
      <formula>AND($L34&lt;&gt;"",$L35="")</formula>
    </cfRule>
  </conditionalFormatting>
  <dataValidations count="1">
    <dataValidation type="list" allowBlank="1" showInputMessage="1" showErrorMessage="1" sqref="AY2" xr:uid="{96A3E976-B9CA-44CA-BEF6-8891D273E5C8}">
      <formula1>$BJ$2:$BJ$7</formula1>
    </dataValidation>
  </dataValidations>
  <hyperlinks>
    <hyperlink ref="AW33:AW34" r:id="rId1" display="Vídeo YouTube" xr:uid="{1837C09A-1D2A-48DB-BC7A-745E19C73550}"/>
    <hyperlink ref="AW33" r:id="rId2" display="Aprendiz de Excel" xr:uid="{F4294E23-5D87-4CC8-A38B-D735AB016D11}"/>
    <hyperlink ref="AW31" r:id="rId3" display="Aprendiz de Excel" xr:uid="{CC03DC3E-5B3E-47A4-8822-4753F81A5429}"/>
  </hyperlinks>
  <pageMargins left="0.7" right="0.7" top="0.75" bottom="0.75" header="0.3" footer="0.3"/>
  <pageSetup paperSize="9" orientation="portrait" r:id="rId4"/>
  <drawing r:id="rId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A05356D-03AE-4BD6-A791-040C9F445CC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20</vt:i4>
      </vt:variant>
    </vt:vector>
  </HeadingPairs>
  <TitlesOfParts>
    <vt:vector size="20" baseType="lpstr">
      <vt:lpstr>Normas</vt:lpstr>
      <vt:lpstr>Previa</vt:lpstr>
      <vt:lpstr>A</vt:lpstr>
      <vt:lpstr>B</vt:lpstr>
      <vt:lpstr>C</vt:lpstr>
      <vt:lpstr>D</vt:lpstr>
      <vt:lpstr>E</vt:lpstr>
      <vt:lpstr>F</vt:lpstr>
      <vt:lpstr>G</vt:lpstr>
      <vt:lpstr>H</vt:lpstr>
      <vt:lpstr>Octavos</vt:lpstr>
      <vt:lpstr>Cuartos</vt:lpstr>
      <vt:lpstr>Semis</vt:lpstr>
      <vt:lpstr>Final</vt:lpstr>
      <vt:lpstr>Aux</vt:lpstr>
      <vt:lpstr>Data</vt:lpstr>
      <vt:lpstr>TotalApuestas</vt:lpstr>
      <vt:lpstr>Resultado</vt:lpstr>
      <vt:lpstr>ClasificaciónPorra</vt:lpstr>
      <vt:lpstr>Seguimiento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Costa Céspedes Iván</dc:creator>
  <cp:lastModifiedBy>L E I N E R</cp:lastModifiedBy>
  <dcterms:created xsi:type="dcterms:W3CDTF">2024-01-15T16:01:21Z</dcterms:created>
  <dcterms:modified xsi:type="dcterms:W3CDTF">2025-07-08T22:17:14Z</dcterms:modified>
</cp:coreProperties>
</file>