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8_{ACAFF1B1-DAD1-9948-9F82-2671183C6439}" xr6:coauthVersionLast="47" xr6:coauthVersionMax="47" xr10:uidLastSave="{00000000-0000-0000-0000-000000000000}"/>
  <bookViews>
    <workbookView xWindow="-120" yWindow="-120" windowWidth="29040" windowHeight="15720" activeTab="7"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30" i="1"/>
  <c r="N26" i="1"/>
  <c r="O28" i="1"/>
  <c r="O27" i="1"/>
  <c r="O32" i="1"/>
  <c r="O30" i="1"/>
  <c r="O31" i="1"/>
  <c r="N32" i="1"/>
  <c r="O33" i="1"/>
  <c r="N28" i="1"/>
  <c r="N27" i="1"/>
  <c r="O29" i="1"/>
  <c r="N31" i="1"/>
  <c r="O26" i="1"/>
  <c r="N33" i="1"/>
  <c r="CB51" i="38"/>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c r="AU7" i="46"/>
  <c r="AD13" i="46"/>
  <c r="AD11" i="46"/>
  <c r="AD9" i="46"/>
  <c r="AD15" i="45"/>
  <c r="AU7" i="45"/>
  <c r="AD13" i="45"/>
  <c r="AD11" i="45"/>
  <c r="AD9" i="45"/>
  <c r="AD15" i="44"/>
  <c r="AU7" i="44"/>
  <c r="AD13" i="44"/>
  <c r="AD11" i="44"/>
  <c r="AS7" i="44"/>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c r="AR7" i="46"/>
  <c r="AS7" i="46"/>
  <c r="AT7" i="46"/>
  <c r="AR7" i="45"/>
  <c r="AS7" i="45"/>
  <c r="AT7" i="45"/>
  <c r="AR7" i="44"/>
  <c r="AT7" i="44"/>
  <c r="T5" i="40" a="1"/>
  <c r="D1" i="40"/>
  <c r="C6" i="39"/>
  <c r="C7" i="39"/>
  <c r="C8" i="39"/>
  <c r="C9" i="39"/>
  <c r="C10" i="39"/>
  <c r="B51" i="38"/>
  <c r="B50" i="38"/>
  <c r="B49" i="38"/>
  <c r="B48" i="38"/>
  <c r="AF47" i="38"/>
  <c r="B47" i="38"/>
  <c r="B46" i="38"/>
  <c r="B45" i="38"/>
  <c r="B44" i="38"/>
  <c r="B43" i="38"/>
  <c r="B42" i="38"/>
  <c r="B41" i="38"/>
  <c r="B40" i="38"/>
  <c r="BB39" i="38"/>
  <c r="U39" i="38"/>
  <c r="K39" i="38"/>
  <c r="B39" i="38"/>
  <c r="B38" i="38"/>
  <c r="BD38" i="38"/>
  <c r="B37" i="38"/>
  <c r="B36" i="38"/>
  <c r="O35" i="38"/>
  <c r="H35" i="38"/>
  <c r="B35" i="38"/>
  <c r="B34" i="38"/>
  <c r="B33" i="38"/>
  <c r="H32" i="38"/>
  <c r="B32" i="38"/>
  <c r="BV32" i="38"/>
  <c r="B31" i="38"/>
  <c r="B30" i="38"/>
  <c r="B29" i="38"/>
  <c r="AU29" i="38"/>
  <c r="B28" i="38"/>
  <c r="AP27" i="38"/>
  <c r="B27" i="38"/>
  <c r="O27" i="38"/>
  <c r="AS26" i="38"/>
  <c r="AI26" i="38"/>
  <c r="B26" i="38"/>
  <c r="B25" i="38"/>
  <c r="AU25" i="38"/>
  <c r="B24" i="38"/>
  <c r="B23" i="38"/>
  <c r="B22" i="38"/>
  <c r="B21" i="38"/>
  <c r="B20" i="38"/>
  <c r="BT19" i="38"/>
  <c r="BG19" i="38"/>
  <c r="B19" i="38"/>
  <c r="B18" i="38"/>
  <c r="BW18" i="38"/>
  <c r="I17" i="38"/>
  <c r="B17" i="38"/>
  <c r="Z16" i="38"/>
  <c r="X16" i="38"/>
  <c r="I16" i="38"/>
  <c r="B16" i="38"/>
  <c r="B15" i="38"/>
  <c r="B14" i="38"/>
  <c r="B13" i="38"/>
  <c r="B12" i="38"/>
  <c r="B11" i="38"/>
  <c r="B10" i="38"/>
  <c r="B9" i="38"/>
  <c r="B8" i="38"/>
  <c r="B7" i="38"/>
  <c r="D6" i="40"/>
  <c r="D5" i="40"/>
  <c r="E6" i="40"/>
  <c r="E7" i="40"/>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c r="H6" i="40"/>
  <c r="H7" i="40"/>
  <c r="G6" i="40"/>
  <c r="I6" i="40"/>
  <c r="J1" i="40"/>
  <c r="C12" i="39"/>
  <c r="J5" i="40"/>
  <c r="L6" i="40"/>
  <c r="K6" i="40"/>
  <c r="K7" i="40"/>
  <c r="J6" i="40"/>
  <c r="C13" i="39"/>
  <c r="M1" i="40"/>
  <c r="O6" i="40"/>
  <c r="M5" i="40"/>
  <c r="N6" i="40"/>
  <c r="N7" i="40"/>
  <c r="M6" i="40"/>
  <c r="C14" i="39"/>
  <c r="C15" i="39"/>
  <c r="C16" i="39"/>
  <c r="C17" i="39"/>
  <c r="C18" i="39"/>
  <c r="C19" i="39"/>
  <c r="C20" i="39"/>
  <c r="C21" i="39"/>
  <c r="C22" i="39"/>
  <c r="C23" i="39"/>
  <c r="C24" i="39"/>
  <c r="C25" i="39"/>
  <c r="C26" i="39"/>
  <c r="Q9" i="35"/>
  <c r="Q15" i="35"/>
  <c r="Q9" i="34"/>
  <c r="C12" i="34"/>
  <c r="C15" i="33"/>
  <c r="C12" i="33"/>
  <c r="Q9" i="33"/>
  <c r="Q12" i="34"/>
  <c r="Q15" i="33"/>
  <c r="C18" i="33"/>
  <c r="Q12" i="33"/>
  <c r="Q18" i="33"/>
  <c r="I3" i="1"/>
  <c r="B8" i="4" a="1"/>
  <c r="B8" i="4"/>
  <c r="I4" i="1"/>
  <c r="B8" i="44" a="1"/>
  <c r="B8" i="44"/>
  <c r="I5" i="1"/>
  <c r="I6" i="1"/>
  <c r="B8" i="45" a="1"/>
  <c r="B8" i="45"/>
  <c r="I7" i="1"/>
  <c r="I8" i="1"/>
  <c r="B8" i="46" a="1"/>
  <c r="B8" i="46"/>
  <c r="I9" i="1"/>
  <c r="I10" i="1"/>
  <c r="I11" i="1"/>
  <c r="I12" i="1"/>
  <c r="I13" i="1"/>
  <c r="I14" i="1"/>
  <c r="I15" i="1"/>
  <c r="I16" i="1"/>
  <c r="I17" i="1"/>
  <c r="I18" i="1"/>
  <c r="I19" i="1"/>
  <c r="I20" i="1"/>
  <c r="I21" i="1"/>
  <c r="I22" i="1"/>
  <c r="I23" i="1"/>
  <c r="I24" i="1"/>
  <c r="I25" i="1"/>
  <c r="I26" i="1"/>
  <c r="I27" i="1"/>
  <c r="I28" i="1"/>
  <c r="I29" i="1"/>
  <c r="I30" i="1"/>
  <c r="I31" i="1"/>
  <c r="I32" i="1"/>
  <c r="I33" i="1"/>
  <c r="N15" i="1"/>
  <c r="O21" i="1"/>
  <c r="O10" i="1"/>
  <c r="O8" i="1"/>
  <c r="N11" i="1"/>
  <c r="N19" i="1"/>
  <c r="N16" i="1"/>
  <c r="N24" i="1"/>
  <c r="O13" i="1"/>
  <c r="O12" i="1"/>
  <c r="O25" i="1"/>
  <c r="O22" i="1"/>
  <c r="O3" i="1"/>
  <c r="O15" i="1"/>
  <c r="O16" i="1"/>
  <c r="N25" i="1"/>
  <c r="O24" i="1"/>
  <c r="N17" i="1"/>
  <c r="O11" i="1"/>
  <c r="N10" i="1"/>
  <c r="O9" i="1"/>
  <c r="O6" i="1"/>
  <c r="N18" i="1"/>
  <c r="N4" i="1"/>
  <c r="N23" i="1"/>
  <c r="O17" i="1"/>
  <c r="N3" i="1"/>
  <c r="O18" i="1"/>
  <c r="N14" i="1"/>
  <c r="N12" i="1"/>
  <c r="N21" i="1"/>
  <c r="N7" i="1"/>
  <c r="O4" i="1"/>
  <c r="O14" i="1"/>
  <c r="O2" i="1"/>
  <c r="N6" i="1"/>
  <c r="N13" i="1"/>
  <c r="O19" i="1"/>
  <c r="O7" i="1"/>
  <c r="N22" i="1"/>
  <c r="O20" i="1"/>
  <c r="N20" i="1"/>
  <c r="O5" i="1"/>
  <c r="N2" i="1"/>
  <c r="N9" i="1"/>
  <c r="N8" i="1"/>
  <c r="O23" i="1"/>
  <c r="N5" i="1"/>
  <c r="CU3" i="38"/>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c r="DL3" i="38"/>
  <c r="DL10" i="38"/>
  <c r="DJ1" i="36"/>
  <c r="DF3" i="38"/>
  <c r="DF1" i="36"/>
  <c r="DM1" i="36"/>
  <c r="DI3" i="38"/>
  <c r="DI1" i="36"/>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c r="AU15" i="44" a="1"/>
  <c r="AU15" i="44"/>
  <c r="F9" i="44"/>
  <c r="AG15" i="44" a="1"/>
  <c r="AG15" i="44"/>
  <c r="AT13" i="44" a="1"/>
  <c r="AT13" i="44"/>
  <c r="AS11" i="44" a="1"/>
  <c r="AS11" i="44"/>
  <c r="AH9" i="44" a="1"/>
  <c r="AH9" i="44"/>
  <c r="AJ9" i="44" a="1"/>
  <c r="AJ9" i="44"/>
  <c r="AU13" i="44" a="1"/>
  <c r="AU13" i="44"/>
  <c r="AK9" i="44" a="1"/>
  <c r="AK9" i="44"/>
  <c r="AS15" i="44" a="1"/>
  <c r="AS15" i="44"/>
  <c r="AK13" i="44" a="1"/>
  <c r="AK13" i="44"/>
  <c r="AT15" i="44" a="1"/>
  <c r="AT15" i="44"/>
  <c r="AG11" i="44" a="1"/>
  <c r="AG11" i="44"/>
  <c r="AS13" i="44" a="1"/>
  <c r="AS13" i="44"/>
  <c r="AH11" i="44" a="1"/>
  <c r="AH11" i="44"/>
  <c r="AR11" i="44" a="1"/>
  <c r="AR11" i="44"/>
  <c r="AT11" i="44" a="1"/>
  <c r="AT11" i="44"/>
  <c r="AJ15" i="44" a="1"/>
  <c r="AJ15" i="44"/>
  <c r="AI13" i="44" a="1"/>
  <c r="AI13" i="44"/>
  <c r="AU9" i="44" a="1"/>
  <c r="AU9" i="44"/>
  <c r="AH13" i="44" a="1"/>
  <c r="AH13" i="44"/>
  <c r="AI11" i="44" a="1"/>
  <c r="AI11" i="44"/>
  <c r="AU11" i="44" a="1"/>
  <c r="AU11" i="44"/>
  <c r="AR13" i="44" a="1"/>
  <c r="AR13" i="44"/>
  <c r="AS9" i="44" a="1"/>
  <c r="AS9" i="44"/>
  <c r="AI15" i="44" a="1"/>
  <c r="AI15" i="44"/>
  <c r="AK11" i="44" a="1"/>
  <c r="AK11" i="44"/>
  <c r="AR15" i="44" a="1"/>
  <c r="AR15" i="44"/>
  <c r="AI9" i="44" a="1"/>
  <c r="AI9" i="44"/>
  <c r="AJ11" i="44" a="1"/>
  <c r="AJ11" i="44"/>
  <c r="AJ13" i="44" a="1"/>
  <c r="AJ13" i="44"/>
  <c r="AK15" i="44" a="1"/>
  <c r="AK15" i="44"/>
  <c r="AT9" i="44" a="1"/>
  <c r="AT9" i="44"/>
  <c r="AH15" i="44" a="1"/>
  <c r="AH15" i="44"/>
  <c r="AG13" i="44" a="1"/>
  <c r="AG13" i="44"/>
  <c r="AR9" i="44" a="1"/>
  <c r="AR9" i="44"/>
  <c r="AJ9" i="46" a="1"/>
  <c r="AJ9" i="46"/>
  <c r="AI13" i="46" a="1"/>
  <c r="AI13" i="46"/>
  <c r="AU9" i="46" a="1"/>
  <c r="AU9" i="46"/>
  <c r="AR13" i="46" a="1"/>
  <c r="AR13" i="46"/>
  <c r="AJ13" i="46" a="1"/>
  <c r="AJ13" i="46"/>
  <c r="AK13" i="46" a="1"/>
  <c r="AK13" i="46"/>
  <c r="AT15" i="46" a="1"/>
  <c r="AT15" i="46"/>
  <c r="AI11" i="46" a="1"/>
  <c r="AI11" i="46"/>
  <c r="AK9" i="46" a="1"/>
  <c r="AK9" i="46"/>
  <c r="AR11" i="46" a="1"/>
  <c r="AR11" i="46"/>
  <c r="AI15" i="46" a="1"/>
  <c r="AI15" i="46"/>
  <c r="AR9" i="46" a="1"/>
  <c r="AR9" i="46"/>
  <c r="AH11" i="46" a="1"/>
  <c r="AH11" i="46"/>
  <c r="AI9" i="46" a="1"/>
  <c r="AI9" i="46"/>
  <c r="AJ11" i="46" a="1"/>
  <c r="AJ11" i="46"/>
  <c r="AT13" i="46" a="1"/>
  <c r="AT13" i="46"/>
  <c r="AK15" i="46" a="1"/>
  <c r="AK15" i="46"/>
  <c r="AS9" i="46" a="1"/>
  <c r="AS9" i="46"/>
  <c r="AR15" i="46" a="1"/>
  <c r="AR15" i="46"/>
  <c r="AU15" i="46" a="1"/>
  <c r="AU15" i="46"/>
  <c r="AH9" i="46" a="1"/>
  <c r="AH9" i="46"/>
  <c r="AG9" i="46" a="1"/>
  <c r="AG9" i="46"/>
  <c r="AU13" i="46" a="1"/>
  <c r="AU13" i="46"/>
  <c r="F9" i="46"/>
  <c r="AG11" i="46" a="1"/>
  <c r="AG11" i="46"/>
  <c r="AS13" i="46" a="1"/>
  <c r="AS13" i="46"/>
  <c r="AG15" i="46" a="1"/>
  <c r="AG15" i="46"/>
  <c r="AJ15" i="46" a="1"/>
  <c r="AJ15" i="46"/>
  <c r="AU11" i="46" a="1"/>
  <c r="AU11" i="46"/>
  <c r="AH15" i="46" a="1"/>
  <c r="AH15" i="46"/>
  <c r="AK11" i="46" a="1"/>
  <c r="AK11" i="46"/>
  <c r="AT9" i="46" a="1"/>
  <c r="AT9" i="46"/>
  <c r="AS15" i="46" a="1"/>
  <c r="AS15" i="46"/>
  <c r="AH13" i="46" a="1"/>
  <c r="AH13" i="46"/>
  <c r="AS11" i="46" a="1"/>
  <c r="AS11" i="46"/>
  <c r="AT11" i="46" a="1"/>
  <c r="AT11" i="46"/>
  <c r="AG13" i="46" a="1"/>
  <c r="AG13" i="46"/>
  <c r="AS9" i="45" a="1"/>
  <c r="AS9" i="45"/>
  <c r="AR9" i="45" a="1"/>
  <c r="AR9" i="45"/>
  <c r="AT9" i="45" a="1"/>
  <c r="AT9" i="45"/>
  <c r="AR11" i="45" a="1"/>
  <c r="AR11" i="45"/>
  <c r="AG15" i="45" a="1"/>
  <c r="AG15" i="45"/>
  <c r="AK15" i="45" a="1"/>
  <c r="AK15" i="45"/>
  <c r="AU11" i="45" a="1"/>
  <c r="AU11" i="45"/>
  <c r="AI11" i="45" a="1"/>
  <c r="AI11" i="45"/>
  <c r="AK11" i="45" a="1"/>
  <c r="AK11" i="45"/>
  <c r="AJ15" i="45" a="1"/>
  <c r="AJ15" i="45"/>
  <c r="AK9" i="45" a="1"/>
  <c r="AK9" i="45"/>
  <c r="AI15" i="45" a="1"/>
  <c r="AI15" i="45"/>
  <c r="AT11" i="45" a="1"/>
  <c r="AT11" i="45"/>
  <c r="AG9" i="45" a="1"/>
  <c r="AG9" i="45"/>
  <c r="AR15" i="45" a="1"/>
  <c r="AR15" i="45"/>
  <c r="AH15" i="45" a="1"/>
  <c r="AH15" i="45"/>
  <c r="AT13" i="45" a="1"/>
  <c r="AT13" i="45"/>
  <c r="AH11" i="45" a="1"/>
  <c r="AH11" i="45"/>
  <c r="AI9" i="45" a="1"/>
  <c r="AI9" i="45"/>
  <c r="AU13" i="45" a="1"/>
  <c r="AU13" i="45"/>
  <c r="F9" i="45"/>
  <c r="AT15" i="45" a="1"/>
  <c r="AT15" i="45"/>
  <c r="AH13" i="45" a="1"/>
  <c r="AH13" i="45"/>
  <c r="AG11" i="45" a="1"/>
  <c r="AG11" i="45"/>
  <c r="AH9" i="45" a="1"/>
  <c r="AH9" i="45"/>
  <c r="AS15" i="45" a="1"/>
  <c r="AS15" i="45"/>
  <c r="AG13" i="45" a="1"/>
  <c r="AG13" i="45"/>
  <c r="AJ9" i="45" a="1"/>
  <c r="AJ9" i="45"/>
  <c r="AR13" i="45" a="1"/>
  <c r="AR13" i="45"/>
  <c r="AS11" i="45" a="1"/>
  <c r="AS11" i="45"/>
  <c r="AK13" i="45" a="1"/>
  <c r="AK13" i="45"/>
  <c r="AJ11" i="45" a="1"/>
  <c r="AJ11" i="45"/>
  <c r="AU9" i="45" a="1"/>
  <c r="AU9" i="45"/>
  <c r="AS13" i="45" a="1"/>
  <c r="AS13" i="45"/>
  <c r="AI13" i="45" a="1"/>
  <c r="AI13" i="45"/>
  <c r="AJ13" i="45" a="1"/>
  <c r="AJ13" i="45"/>
  <c r="AU15" i="45" a="1"/>
  <c r="AU15" i="45"/>
  <c r="H14" i="23"/>
  <c r="D8" i="23"/>
  <c r="D21" i="23"/>
  <c r="D20" i="23"/>
  <c r="D19" i="23"/>
  <c r="C10" i="23"/>
  <c r="L14" i="23"/>
  <c r="J14" i="23"/>
  <c r="X7" i="1"/>
  <c r="X10" i="1"/>
  <c r="X6" i="1"/>
  <c r="X9" i="1"/>
  <c r="X5" i="1"/>
  <c r="CR5" i="38"/>
  <c r="C13" i="23"/>
  <c r="X8" i="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c r="BO3" i="38"/>
  <c r="BO1" i="36"/>
  <c r="P3" i="38"/>
  <c r="P1" i="36"/>
  <c r="AQ3" i="38"/>
  <c r="AQ1" i="36"/>
  <c r="AW3" i="38"/>
  <c r="AW1" i="36"/>
  <c r="AN3" i="38"/>
  <c r="AN1" i="36"/>
  <c r="AL1" i="36"/>
  <c r="N1" i="36"/>
  <c r="BU3" i="38"/>
  <c r="BU1" i="36"/>
  <c r="BI3" i="38"/>
  <c r="BI1" i="36"/>
  <c r="AT3" i="38"/>
  <c r="AT1" i="36"/>
  <c r="AB3" i="38"/>
  <c r="AB1" i="36"/>
  <c r="BM1" i="36"/>
  <c r="V3" i="38"/>
  <c r="V1" i="36"/>
  <c r="M3" i="38"/>
  <c r="M1" i="36"/>
  <c r="S3" i="38"/>
  <c r="S1" i="36"/>
  <c r="BR3" i="38"/>
  <c r="BR1" i="36"/>
  <c r="AK3" i="38"/>
  <c r="AK1" i="36"/>
  <c r="AU1" i="36"/>
  <c r="Y3" i="38"/>
  <c r="Y1" i="36"/>
  <c r="BV1" i="36"/>
  <c r="BG1" i="36"/>
  <c r="AZ3" i="38"/>
  <c r="AZ1" i="36"/>
  <c r="BL3" i="38"/>
  <c r="BL1" i="36"/>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c r="D12" i="23"/>
  <c r="D14" i="23"/>
  <c r="AU5" i="44"/>
  <c r="AS5" i="46"/>
  <c r="AR5" i="46"/>
  <c r="AR5" i="45"/>
  <c r="AS5" i="44"/>
  <c r="AU5" i="46"/>
  <c r="AT5" i="46"/>
  <c r="AS5" i="45"/>
  <c r="AT5" i="44"/>
  <c r="AT5" i="45"/>
  <c r="AR5" i="44"/>
  <c r="AU5" i="45"/>
  <c r="D15" i="23"/>
  <c r="X12" i="1"/>
  <c r="AL9" i="45"/>
  <c r="AL9" i="46"/>
  <c r="AL11" i="45"/>
  <c r="AL9" i="44"/>
  <c r="AL11" i="44"/>
  <c r="AL13" i="44"/>
  <c r="AL15" i="46"/>
  <c r="AL15" i="45"/>
  <c r="AL13" i="45"/>
  <c r="AL11" i="46"/>
  <c r="AL13" i="46"/>
  <c r="AL15" i="44"/>
  <c r="AD9" i="4"/>
  <c r="AR7" i="4"/>
  <c r="DL5" i="38"/>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c r="AD13" i="4"/>
  <c r="AT7" i="4"/>
  <c r="AD15" i="4"/>
  <c r="AU7" i="4"/>
  <c r="H3" i="38"/>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c r="G17" i="4"/>
  <c r="F17" i="4"/>
  <c r="G11" i="4"/>
  <c r="F11" i="4"/>
  <c r="G13" i="4"/>
  <c r="F13" i="4"/>
  <c r="N13" i="4"/>
  <c r="L9" i="4"/>
  <c r="N15" i="4"/>
  <c r="G19" i="4"/>
  <c r="F19" i="4"/>
  <c r="P9" i="46"/>
  <c r="CB3" i="38" a="1"/>
  <c r="V9" i="46"/>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c r="AE3" i="38"/>
  <c r="AE1" i="36"/>
  <c r="P9" i="45"/>
  <c r="P9" i="44"/>
  <c r="W9" i="44"/>
  <c r="BF3" i="38"/>
  <c r="BF1" i="36"/>
  <c r="BC3" i="38"/>
  <c r="BC1" i="36"/>
  <c r="AF1" i="36"/>
  <c r="BA1" i="36"/>
  <c r="AC1" i="36"/>
  <c r="BD1" i="36"/>
  <c r="J3" i="38"/>
  <c r="J1" i="36"/>
  <c r="G3" i="38"/>
  <c r="G1" i="36"/>
  <c r="P15" i="46"/>
  <c r="Q15" i="46"/>
  <c r="P13" i="45"/>
  <c r="Q13" i="45"/>
  <c r="P11" i="44"/>
  <c r="V11" i="44"/>
  <c r="P13" i="46"/>
  <c r="W13" i="46"/>
  <c r="P11" i="45"/>
  <c r="P11" i="46"/>
  <c r="P15" i="45"/>
  <c r="P13" i="44"/>
  <c r="P15" i="44"/>
  <c r="E8" i="40"/>
  <c r="H8" i="40"/>
  <c r="E1" i="36"/>
  <c r="G9" i="4"/>
  <c r="F9" i="4"/>
  <c r="N9" i="4"/>
  <c r="N9" i="33" a="1"/>
  <c r="BZ3" i="38" a="1"/>
  <c r="CA3" i="38" a="1"/>
  <c r="H12" i="33" a="1"/>
  <c r="H18" i="33" a="1"/>
  <c r="H15" i="33" a="1"/>
  <c r="N15" i="33" a="1"/>
  <c r="N18" i="33" a="1"/>
  <c r="T9" i="46"/>
  <c r="X9" i="46"/>
  <c r="H15" i="33"/>
  <c r="G15" i="33"/>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c r="CA3" i="38"/>
  <c r="X9" i="45"/>
  <c r="BZ3" i="38"/>
  <c r="T9" i="44"/>
  <c r="X9" i="44"/>
  <c r="Y9" i="44"/>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c r="N18" i="33"/>
  <c r="CJ3" i="38"/>
  <c r="N15" i="33"/>
  <c r="CH3" i="38"/>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c r="AT13" i="4" a="1"/>
  <c r="AT13" i="4"/>
  <c r="AT15" i="4" a="1"/>
  <c r="AT15" i="4"/>
  <c r="AJ11" i="4" a="1"/>
  <c r="AJ11" i="4"/>
  <c r="AH11" i="4" a="1"/>
  <c r="AH11" i="4"/>
  <c r="AS15" i="4" a="1"/>
  <c r="AS15" i="4"/>
  <c r="AU11" i="4" a="1"/>
  <c r="AU11" i="4"/>
  <c r="AI15" i="4" a="1"/>
  <c r="AI15" i="4"/>
  <c r="AG13" i="4" a="1"/>
  <c r="AG13" i="4"/>
  <c r="AK13" i="4" a="1"/>
  <c r="AK13" i="4"/>
  <c r="AK15" i="4" a="1"/>
  <c r="AK15" i="4"/>
  <c r="AJ15" i="4" a="1"/>
  <c r="AJ15" i="4"/>
  <c r="AR11" i="4" a="1"/>
  <c r="AR11" i="4"/>
  <c r="AT11" i="4" a="1"/>
  <c r="AT11" i="4"/>
  <c r="AH13" i="4" a="1"/>
  <c r="AH13" i="4"/>
  <c r="AI9" i="4" a="1"/>
  <c r="AI9" i="4"/>
  <c r="AG15" i="4" a="1"/>
  <c r="AG15" i="4"/>
  <c r="AJ13" i="4" a="1"/>
  <c r="AJ13" i="4"/>
  <c r="AU15" i="4" a="1"/>
  <c r="AU15" i="4"/>
  <c r="AU13" i="4" a="1"/>
  <c r="AU13" i="4"/>
  <c r="AR15" i="4" a="1"/>
  <c r="AR15" i="4"/>
  <c r="AU9" i="4" a="1"/>
  <c r="AU9" i="4"/>
  <c r="AS9" i="4" a="1"/>
  <c r="AS9" i="4"/>
  <c r="AG9" i="4" a="1"/>
  <c r="AG9" i="4"/>
  <c r="AR13" i="4" a="1"/>
  <c r="AR13" i="4"/>
  <c r="AK11" i="4" a="1"/>
  <c r="AK11" i="4"/>
  <c r="AI11" i="4" a="1"/>
  <c r="AI11" i="4"/>
  <c r="AJ9" i="4" a="1"/>
  <c r="AJ9" i="4"/>
  <c r="AS13" i="4" a="1"/>
  <c r="AS13" i="4"/>
  <c r="AH15" i="4" a="1"/>
  <c r="AH15" i="4"/>
  <c r="AG11" i="4" a="1"/>
  <c r="AG11" i="4"/>
  <c r="AK9" i="4" a="1"/>
  <c r="AK9" i="4"/>
  <c r="AT9" i="4" a="1"/>
  <c r="AT9" i="4"/>
  <c r="AS11" i="4" a="1"/>
  <c r="AS11" i="4"/>
  <c r="AH9" i="4" a="1"/>
  <c r="AH9" i="4"/>
  <c r="AR9" i="4" a="1"/>
  <c r="AR9" i="4"/>
  <c r="Y9" i="45"/>
  <c r="BZ1" i="36"/>
  <c r="BZ11" i="38"/>
  <c r="BZ12" i="38"/>
  <c r="BZ13" i="38"/>
  <c r="BZ10" i="38"/>
  <c r="BZ14" i="38"/>
  <c r="BZ8" i="38"/>
  <c r="BZ9" i="38"/>
  <c r="BZ7" i="38"/>
  <c r="CA1" i="36"/>
  <c r="CA7" i="38"/>
  <c r="CA12" i="38"/>
  <c r="CA10" i="38"/>
  <c r="CA13" i="38"/>
  <c r="CA8" i="38"/>
  <c r="CA9" i="38"/>
  <c r="CA14" i="38"/>
  <c r="CA11" i="38"/>
  <c r="CD3" i="38"/>
  <c r="CD1" i="36"/>
  <c r="CE3" i="38"/>
  <c r="CE1" i="36"/>
  <c r="CI3" i="38"/>
  <c r="CI1" i="36"/>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c r="AU5" i="4"/>
  <c r="AT5" i="4"/>
  <c r="AR5" i="4"/>
  <c r="AL9" i="4"/>
  <c r="AL15" i="4"/>
  <c r="AL13" i="4"/>
  <c r="AL11" i="4"/>
  <c r="AN11" i="4"/>
  <c r="AN13" i="4"/>
  <c r="AN15" i="4"/>
  <c r="AN9" i="4"/>
  <c r="AO9" i="4"/>
  <c r="AO15" i="4"/>
  <c r="AO11" i="4"/>
  <c r="AO13" i="4"/>
  <c r="P15" i="4"/>
  <c r="Q15" i="4"/>
  <c r="P11" i="4"/>
  <c r="P13" i="4"/>
  <c r="Q13" i="4"/>
  <c r="P9" i="4"/>
  <c r="BY3" i="38" a="1"/>
  <c r="N12" i="33" a="1"/>
  <c r="H9" i="33" a="1"/>
  <c r="BY3" i="38"/>
  <c r="CY3" i="38"/>
  <c r="H9" i="33"/>
  <c r="CC3" i="38"/>
  <c r="N12" i="33"/>
  <c r="CF3" i="38"/>
  <c r="Q9" i="4"/>
  <c r="Q11" i="4"/>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c r="CY11" i="38"/>
  <c r="CY13" i="38"/>
  <c r="CY8" i="38"/>
  <c r="CY12" i="38"/>
  <c r="CY9" i="38"/>
  <c r="CY7" i="38"/>
  <c r="CY14" i="38"/>
  <c r="CY10" i="38"/>
  <c r="BY1" i="36"/>
  <c r="BY11" i="38"/>
  <c r="BY10" i="38"/>
  <c r="BY13" i="38"/>
  <c r="BY14" i="38"/>
  <c r="BY8" i="38"/>
  <c r="BY9" i="38"/>
  <c r="BY7" i="38"/>
  <c r="BY12" i="38"/>
  <c r="CY1" i="36"/>
  <c r="G9" i="33"/>
  <c r="CC1" i="36"/>
  <c r="O12" i="33"/>
  <c r="CF1" i="36"/>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c r="S9" i="4"/>
  <c r="V9" i="4"/>
  <c r="X9" i="4"/>
  <c r="T9" i="4"/>
  <c r="U9" i="4"/>
  <c r="Y9" i="4"/>
  <c r="DB3" i="38"/>
  <c r="CV3" i="38"/>
  <c r="CS3" i="38"/>
  <c r="W11" i="4"/>
  <c r="S11" i="4"/>
  <c r="X11" i="4"/>
  <c r="T11" i="4"/>
  <c r="U11" i="4"/>
  <c r="V11" i="4"/>
  <c r="W13" i="4"/>
  <c r="V13" i="4"/>
  <c r="U13" i="4"/>
  <c r="X13" i="4"/>
  <c r="T13" i="4"/>
  <c r="S13" i="4"/>
  <c r="W15" i="4"/>
  <c r="V15" i="4"/>
  <c r="T15" i="4"/>
  <c r="S15" i="4"/>
  <c r="U15" i="4"/>
  <c r="X15" i="4"/>
  <c r="CT3" i="38"/>
  <c r="CT1" i="36"/>
  <c r="CS9" i="38"/>
  <c r="CS13" i="38"/>
  <c r="CS8" i="38"/>
  <c r="CS14" i="38"/>
  <c r="CS12" i="38"/>
  <c r="CS10" i="38"/>
  <c r="CS11" i="38"/>
  <c r="CS7" i="38"/>
  <c r="CT10" i="38"/>
  <c r="CT11" i="38"/>
  <c r="CT9" i="38"/>
  <c r="CT13" i="38"/>
  <c r="CT12" i="38"/>
  <c r="CT14" i="38"/>
  <c r="CT7" i="38"/>
  <c r="CT8" i="38"/>
  <c r="CW3" i="38"/>
  <c r="CW8" i="38"/>
  <c r="CV14" i="38"/>
  <c r="CV9" i="38"/>
  <c r="CV7" i="38"/>
  <c r="CV13" i="38"/>
  <c r="CV8" i="38"/>
  <c r="CV10" i="38"/>
  <c r="CV11" i="38"/>
  <c r="CV12" i="38"/>
  <c r="CW12" i="38"/>
  <c r="CW7" i="38"/>
  <c r="CW13" i="38"/>
  <c r="CW10" i="38"/>
  <c r="CW11" i="38"/>
  <c r="CW9" i="38"/>
  <c r="DC3" i="38"/>
  <c r="DC9" i="38"/>
  <c r="DB10" i="38"/>
  <c r="DB14" i="38"/>
  <c r="DB9" i="38"/>
  <c r="DB13" i="38"/>
  <c r="DB7" i="38"/>
  <c r="DB8" i="38"/>
  <c r="DB11" i="38"/>
  <c r="DB12" i="38"/>
  <c r="CV1" i="36"/>
  <c r="DB1" i="36"/>
  <c r="CS1" i="36"/>
  <c r="Y11" i="4"/>
  <c r="Y15" i="4"/>
  <c r="Y13" i="4"/>
  <c r="CW1" i="36"/>
  <c r="DC11" i="38"/>
  <c r="X9" i="39"/>
  <c r="DC10" i="38"/>
  <c r="X8" i="39"/>
  <c r="DC13" i="38"/>
  <c r="DC7" i="38"/>
  <c r="X5" i="39"/>
  <c r="DC1" i="36"/>
  <c r="DC14" i="38"/>
  <c r="DC12" i="38"/>
  <c r="X10" i="39"/>
  <c r="CW14" i="38"/>
  <c r="X12" i="39"/>
  <c r="X11" i="39"/>
  <c r="DC8" i="38"/>
  <c r="X6" i="39"/>
  <c r="X7" i="39"/>
  <c r="S15" i="33"/>
  <c r="N12" i="34"/>
  <c r="S12" i="33"/>
  <c r="N9" i="34"/>
  <c r="CL3" i="38"/>
  <c r="CL1" i="36"/>
  <c r="O9" i="34"/>
  <c r="S9" i="33"/>
  <c r="H9" i="34"/>
  <c r="S9" i="34"/>
  <c r="H15" i="35"/>
  <c r="CK3" i="38"/>
  <c r="H9" i="35"/>
  <c r="G9" i="34"/>
  <c r="CK1" i="36"/>
  <c r="G15" i="35"/>
  <c r="CO3" i="38"/>
  <c r="S18" i="33"/>
  <c r="H12" i="34"/>
  <c r="S12" i="34"/>
  <c r="N15" i="35"/>
  <c r="H22" i="35"/>
  <c r="G9" i="35"/>
  <c r="CO1" i="36"/>
  <c r="H25" i="35"/>
  <c r="CQ3" i="38"/>
  <c r="O12" i="34"/>
  <c r="CN3" i="38"/>
  <c r="CN1" i="36"/>
  <c r="CQ1" i="36"/>
  <c r="CQ7" i="38"/>
  <c r="CQ10" i="38"/>
  <c r="CQ9" i="38"/>
  <c r="CQ11" i="38"/>
  <c r="CQ13" i="38"/>
  <c r="CQ12" i="38"/>
  <c r="CQ14" i="38"/>
  <c r="CQ8" i="38"/>
  <c r="N9" i="35"/>
  <c r="CM3" i="38"/>
  <c r="G12" i="34"/>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c r="CK10" i="38"/>
  <c r="CM7" i="38"/>
  <c r="CN10" i="38"/>
  <c r="CN8" i="38"/>
  <c r="CM11" i="38"/>
  <c r="CL14" i="38"/>
  <c r="O15" i="35"/>
  <c r="CP3" i="38"/>
  <c r="O9" i="35"/>
  <c r="Y10" i="39"/>
  <c r="Y12" i="39"/>
  <c r="Y8" i="39"/>
  <c r="Y5" i="39"/>
  <c r="Y7" i="39"/>
  <c r="Y6" i="39"/>
  <c r="Y9" i="39"/>
  <c r="CP1" i="36"/>
  <c r="CO13" i="38"/>
  <c r="CP13" i="38"/>
  <c r="Z11" i="39"/>
  <c r="AA11" i="39"/>
  <c r="AB11" i="39"/>
  <c r="CP10" i="38"/>
  <c r="CO11" i="38"/>
  <c r="CP12" i="38"/>
  <c r="CO10" i="38"/>
  <c r="Z8" i="39"/>
  <c r="CP9" i="38"/>
  <c r="CO14" i="38"/>
  <c r="CP14" i="38"/>
  <c r="Z12" i="39"/>
  <c r="AA12" i="39"/>
  <c r="AB12" i="39"/>
  <c r="CO9" i="38"/>
  <c r="Z7" i="39"/>
  <c r="CP7" i="38"/>
  <c r="CP11" i="38"/>
  <c r="CO7" i="38"/>
  <c r="CO8" i="38"/>
  <c r="CO12" i="38"/>
  <c r="CP8" i="38"/>
  <c r="Z10" i="39"/>
  <c r="AA10" i="39"/>
  <c r="AB10" i="39"/>
  <c r="Z5" i="39"/>
  <c r="AA5" i="39"/>
  <c r="AB5" i="39"/>
  <c r="Z6" i="39"/>
  <c r="AA6" i="39"/>
  <c r="AB6" i="39"/>
  <c r="AA8" i="39"/>
  <c r="AB8" i="39"/>
  <c r="Z9" i="39"/>
  <c r="AA9" i="39"/>
  <c r="AB9" i="39"/>
  <c r="AA7" i="39"/>
  <c r="AB7" i="39"/>
  <c r="Q12" i="39"/>
  <c r="Q6" i="39"/>
  <c r="Q5" i="39"/>
  <c r="Q20" i="39"/>
  <c r="Q18" i="39"/>
  <c r="Q13" i="39"/>
  <c r="Q11" i="39"/>
  <c r="Q22" i="39"/>
  <c r="Q8" i="39"/>
  <c r="Q25" i="39"/>
  <c r="Q26" i="39"/>
  <c r="Q10" i="39"/>
  <c r="Q15" i="39"/>
  <c r="Q17" i="39"/>
  <c r="Q9" i="39"/>
  <c r="Q19" i="39"/>
  <c r="Q7" i="39"/>
  <c r="Q24" i="39"/>
  <c r="Q23" i="39"/>
  <c r="Q14" i="39"/>
  <c r="Q21" i="39"/>
  <c r="Q16" i="39"/>
  <c r="D11" i="39"/>
  <c r="S12" i="40"/>
  <c r="AA12" i="40" a="1"/>
  <c r="AA12" i="40"/>
  <c r="D12" i="39"/>
  <c r="S13" i="40"/>
  <c r="AA13" i="40" a="1"/>
  <c r="AA13" i="40"/>
  <c r="D18" i="39"/>
  <c r="S19" i="40"/>
  <c r="U19" i="40" a="1"/>
  <c r="U19" i="40"/>
  <c r="D17" i="39"/>
  <c r="S18" i="40"/>
  <c r="D23" i="39"/>
  <c r="S24" i="40"/>
  <c r="D16" i="39"/>
  <c r="S17" i="40"/>
  <c r="D25" i="39"/>
  <c r="M25" i="39"/>
  <c r="P25" i="39"/>
  <c r="D14" i="39"/>
  <c r="E14" i="39"/>
  <c r="D5" i="39"/>
  <c r="D24" i="39"/>
  <c r="G24" i="39"/>
  <c r="D13" i="39"/>
  <c r="M13" i="39"/>
  <c r="P13" i="39"/>
  <c r="D10" i="39"/>
  <c r="F10" i="39"/>
  <c r="D20" i="39"/>
  <c r="D9" i="39"/>
  <c r="J9" i="39"/>
  <c r="D22" i="39"/>
  <c r="S23" i="40"/>
  <c r="D6" i="39"/>
  <c r="D19" i="39"/>
  <c r="D15" i="39"/>
  <c r="D8" i="39"/>
  <c r="D26" i="39"/>
  <c r="D7" i="39"/>
  <c r="D21" i="39"/>
  <c r="S22" i="40"/>
  <c r="C23" i="40"/>
  <c r="L18" i="39"/>
  <c r="H18" i="39"/>
  <c r="M18" i="39"/>
  <c r="P18" i="39"/>
  <c r="K18" i="39"/>
  <c r="F18" i="39"/>
  <c r="N18" i="39"/>
  <c r="J18" i="39"/>
  <c r="G18" i="39"/>
  <c r="I18" i="39"/>
  <c r="E18" i="39"/>
  <c r="E11" i="39"/>
  <c r="K11" i="39"/>
  <c r="M11" i="39"/>
  <c r="P11" i="39"/>
  <c r="L11" i="39"/>
  <c r="I11" i="39"/>
  <c r="G11" i="39"/>
  <c r="N11" i="39"/>
  <c r="J11" i="39"/>
  <c r="C16" i="40"/>
  <c r="F11" i="39"/>
  <c r="H11" i="39"/>
  <c r="T12" i="40" a="1"/>
  <c r="T12" i="40"/>
  <c r="U12" i="40" a="1"/>
  <c r="U12" i="40"/>
  <c r="V12" i="40" a="1"/>
  <c r="V12" i="40"/>
  <c r="W12" i="40" a="1"/>
  <c r="W12" i="40"/>
  <c r="Y12" i="40" a="1"/>
  <c r="Y12" i="40"/>
  <c r="X12" i="40" a="1"/>
  <c r="X12" i="40"/>
  <c r="Z12" i="40" a="1"/>
  <c r="Z12" i="40"/>
  <c r="M12" i="39"/>
  <c r="P12" i="39"/>
  <c r="J12" i="39"/>
  <c r="K12" i="39"/>
  <c r="N12" i="39"/>
  <c r="E12" i="39"/>
  <c r="I12" i="39"/>
  <c r="C17" i="40"/>
  <c r="M17" i="40"/>
  <c r="L12" i="39"/>
  <c r="H12" i="39"/>
  <c r="G12" i="39"/>
  <c r="F12" i="39"/>
  <c r="T19" i="40" a="1"/>
  <c r="T19" i="40"/>
  <c r="V19" i="40" a="1"/>
  <c r="V19" i="40"/>
  <c r="W19" i="40" a="1"/>
  <c r="W19" i="40"/>
  <c r="X19" i="40" a="1"/>
  <c r="X19" i="40"/>
  <c r="Y19" i="40" a="1"/>
  <c r="Y19" i="40"/>
  <c r="Z19" i="40" a="1"/>
  <c r="Z19" i="40"/>
  <c r="AA19" i="40" a="1"/>
  <c r="AA19" i="40"/>
  <c r="T13" i="40" a="1"/>
  <c r="T13" i="40"/>
  <c r="U13" i="40" a="1"/>
  <c r="U13" i="40"/>
  <c r="V13" i="40" a="1"/>
  <c r="V13" i="40"/>
  <c r="X13" i="40" a="1"/>
  <c r="X13" i="40"/>
  <c r="J5" i="39"/>
  <c r="M5" i="39"/>
  <c r="W13" i="40" a="1"/>
  <c r="W13" i="40"/>
  <c r="H6" i="39"/>
  <c r="M6" i="39"/>
  <c r="P6" i="39"/>
  <c r="L16" i="39"/>
  <c r="Y13" i="40" a="1"/>
  <c r="Y13" i="40"/>
  <c r="Z13" i="40" a="1"/>
  <c r="Z13" i="40"/>
  <c r="H16" i="39"/>
  <c r="H21" i="39"/>
  <c r="K21" i="39"/>
  <c r="G9" i="39"/>
  <c r="K22" i="39"/>
  <c r="C27" i="40"/>
  <c r="G27" i="40"/>
  <c r="H27" i="40"/>
  <c r="I25" i="39"/>
  <c r="N14" i="39"/>
  <c r="K14" i="39"/>
  <c r="E25" i="39"/>
  <c r="L25" i="39"/>
  <c r="J14" i="39"/>
  <c r="J10" i="39"/>
  <c r="J22" i="39"/>
  <c r="N22" i="39"/>
  <c r="F17" i="39"/>
  <c r="H17" i="39"/>
  <c r="N17" i="39"/>
  <c r="I17" i="39"/>
  <c r="E17" i="39"/>
  <c r="K17" i="39"/>
  <c r="M17" i="39"/>
  <c r="P17" i="39"/>
  <c r="J17" i="39"/>
  <c r="L17" i="39"/>
  <c r="G17" i="39"/>
  <c r="K10" i="39"/>
  <c r="C15" i="40"/>
  <c r="J15" i="40"/>
  <c r="C22" i="40"/>
  <c r="M22" i="40"/>
  <c r="N22" i="40"/>
  <c r="E10" i="39"/>
  <c r="G6" i="39"/>
  <c r="F6" i="39"/>
  <c r="I6" i="39"/>
  <c r="J6" i="39"/>
  <c r="K6" i="39"/>
  <c r="L6" i="39"/>
  <c r="J23" i="39"/>
  <c r="G23" i="39"/>
  <c r="I23" i="39"/>
  <c r="M23" i="39"/>
  <c r="P23" i="39"/>
  <c r="E6" i="39"/>
  <c r="K23" i="39"/>
  <c r="H23" i="39"/>
  <c r="L23" i="39"/>
  <c r="F23" i="39"/>
  <c r="N23" i="39"/>
  <c r="E23" i="39"/>
  <c r="C28" i="40"/>
  <c r="F28" i="40" a="1"/>
  <c r="F28" i="40"/>
  <c r="M21" i="39"/>
  <c r="P21" i="39"/>
  <c r="L21" i="39"/>
  <c r="AA17" i="40" a="1"/>
  <c r="AA17" i="40"/>
  <c r="Z17" i="40" a="1"/>
  <c r="Z17" i="40"/>
  <c r="Y17" i="40" a="1"/>
  <c r="Y17" i="40"/>
  <c r="X17" i="40" a="1"/>
  <c r="X17" i="40"/>
  <c r="W17" i="40" a="1"/>
  <c r="W17" i="40"/>
  <c r="V17" i="40" a="1"/>
  <c r="V17" i="40"/>
  <c r="U17" i="40" a="1"/>
  <c r="U17" i="40"/>
  <c r="T17" i="40" a="1"/>
  <c r="T17" i="40"/>
  <c r="E22" i="39"/>
  <c r="L10" i="39"/>
  <c r="K16" i="39"/>
  <c r="AA24" i="40" a="1"/>
  <c r="AA24" i="40"/>
  <c r="Z24" i="40" a="1"/>
  <c r="Z24" i="40"/>
  <c r="Y24" i="40" a="1"/>
  <c r="Y24" i="40"/>
  <c r="X24" i="40" a="1"/>
  <c r="X24" i="40"/>
  <c r="W24" i="40" a="1"/>
  <c r="W24" i="40"/>
  <c r="V24" i="40" a="1"/>
  <c r="V24" i="40"/>
  <c r="U24" i="40" a="1"/>
  <c r="U24" i="40"/>
  <c r="T24" i="40" a="1"/>
  <c r="T24" i="40"/>
  <c r="AA22" i="40" a="1"/>
  <c r="AA22" i="40"/>
  <c r="Z22" i="40" a="1"/>
  <c r="Z22" i="40"/>
  <c r="Y22" i="40" a="1"/>
  <c r="Y22" i="40"/>
  <c r="X22" i="40" a="1"/>
  <c r="X22" i="40"/>
  <c r="W22" i="40" a="1"/>
  <c r="W22" i="40"/>
  <c r="V22" i="40" a="1"/>
  <c r="V22" i="40"/>
  <c r="U22" i="40" a="1"/>
  <c r="U22" i="40"/>
  <c r="T22" i="40" a="1"/>
  <c r="T22" i="40"/>
  <c r="M22" i="39"/>
  <c r="P22" i="39"/>
  <c r="F16" i="39"/>
  <c r="AA18" i="40" a="1"/>
  <c r="AA18" i="40"/>
  <c r="Z18" i="40" a="1"/>
  <c r="Z18" i="40"/>
  <c r="Y18" i="40" a="1"/>
  <c r="Y18" i="40"/>
  <c r="X18" i="40" a="1"/>
  <c r="X18" i="40"/>
  <c r="W18" i="40" a="1"/>
  <c r="W18" i="40"/>
  <c r="V18" i="40" a="1"/>
  <c r="V18" i="40"/>
  <c r="U18" i="40" a="1"/>
  <c r="U18" i="40"/>
  <c r="T18" i="40" a="1"/>
  <c r="T18" i="40"/>
  <c r="G13" i="39"/>
  <c r="E13" i="39"/>
  <c r="F13" i="39"/>
  <c r="AA23" i="40" a="1"/>
  <c r="AA23" i="40"/>
  <c r="Z23" i="40" a="1"/>
  <c r="Z23" i="40"/>
  <c r="Y23" i="40" a="1"/>
  <c r="Y23" i="40"/>
  <c r="X23" i="40" a="1"/>
  <c r="X23" i="40"/>
  <c r="W23" i="40" a="1"/>
  <c r="W23" i="40"/>
  <c r="V23" i="40" a="1"/>
  <c r="V23" i="40"/>
  <c r="T23" i="40" a="1"/>
  <c r="T23" i="40"/>
  <c r="U23" i="40" a="1"/>
  <c r="U23" i="40"/>
  <c r="E24" i="39"/>
  <c r="M16" i="39"/>
  <c r="P16" i="39"/>
  <c r="J21" i="39"/>
  <c r="F25" i="39"/>
  <c r="I24" i="39"/>
  <c r="E16" i="39"/>
  <c r="G16" i="39"/>
  <c r="F21" i="39"/>
  <c r="C29" i="40"/>
  <c r="G29" i="40"/>
  <c r="H29" i="40"/>
  <c r="G21" i="39"/>
  <c r="C21" i="40"/>
  <c r="L21" i="40" a="1"/>
  <c r="L21" i="40"/>
  <c r="C26" i="40"/>
  <c r="J26" i="40"/>
  <c r="K26" i="40"/>
  <c r="C10" i="40"/>
  <c r="I10" i="40" a="1"/>
  <c r="I10" i="40"/>
  <c r="K24" i="39"/>
  <c r="K25" i="39"/>
  <c r="M24" i="39"/>
  <c r="P24" i="39"/>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c r="N18" i="40"/>
  <c r="S14" i="40"/>
  <c r="C11" i="40"/>
  <c r="G11" i="40"/>
  <c r="H22" i="39"/>
  <c r="N24" i="39"/>
  <c r="S25" i="40"/>
  <c r="C19" i="40"/>
  <c r="L19" i="40" a="1"/>
  <c r="L19" i="40"/>
  <c r="S15" i="40"/>
  <c r="L15" i="39"/>
  <c r="S16" i="40"/>
  <c r="L22" i="39"/>
  <c r="L20" i="39"/>
  <c r="N19" i="39"/>
  <c r="G22" i="39"/>
  <c r="H10" i="39"/>
  <c r="F22" i="39"/>
  <c r="I10" i="39"/>
  <c r="C12" i="40"/>
  <c r="D12" i="40"/>
  <c r="S8" i="40"/>
  <c r="K5" i="39"/>
  <c r="S6" i="40"/>
  <c r="L24" i="39"/>
  <c r="M10" i="39"/>
  <c r="P10" i="39"/>
  <c r="F5" i="39"/>
  <c r="G10" i="39"/>
  <c r="N5" i="39"/>
  <c r="E5" i="39"/>
  <c r="G5" i="39"/>
  <c r="K19" i="39"/>
  <c r="H19" i="39"/>
  <c r="H5" i="39"/>
  <c r="M19" i="39"/>
  <c r="P19" i="39"/>
  <c r="P5" i="39"/>
  <c r="L19" i="39"/>
  <c r="M9" i="39"/>
  <c r="P9" i="39"/>
  <c r="C14" i="40"/>
  <c r="G14" i="40"/>
  <c r="G19" i="39"/>
  <c r="J19" i="39"/>
  <c r="E9" i="39"/>
  <c r="I9" i="39"/>
  <c r="C24" i="40"/>
  <c r="F24" i="40" a="1"/>
  <c r="F24" i="40"/>
  <c r="I8" i="39"/>
  <c r="N9" i="39"/>
  <c r="N20" i="39"/>
  <c r="H9" i="39"/>
  <c r="K9" i="39"/>
  <c r="C13" i="40"/>
  <c r="F13" i="40" a="1"/>
  <c r="F13" i="40"/>
  <c r="N13" i="39"/>
  <c r="M14" i="39"/>
  <c r="P14" i="39"/>
  <c r="E20" i="39"/>
  <c r="L13" i="39"/>
  <c r="L14" i="39"/>
  <c r="F20" i="39"/>
  <c r="J13" i="39"/>
  <c r="G14" i="39"/>
  <c r="H20" i="39"/>
  <c r="M20" i="39"/>
  <c r="P20" i="39"/>
  <c r="I13" i="39"/>
  <c r="F14" i="39"/>
  <c r="C25" i="40"/>
  <c r="O25" i="40" a="1"/>
  <c r="O25" i="40"/>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a="1"/>
  <c r="O20" i="40"/>
  <c r="I26" i="39"/>
  <c r="K7" i="39"/>
  <c r="N8" i="39"/>
  <c r="F7" i="39"/>
  <c r="H8" i="39"/>
  <c r="F26" i="39"/>
  <c r="E7" i="39"/>
  <c r="F8" i="39"/>
  <c r="N26" i="39"/>
  <c r="I7" i="39"/>
  <c r="G8" i="39"/>
  <c r="N7" i="39"/>
  <c r="M15" i="39"/>
  <c r="P15" i="39"/>
  <c r="J8" i="39"/>
  <c r="G26" i="39"/>
  <c r="L9" i="39"/>
  <c r="J7" i="39"/>
  <c r="F15" i="39"/>
  <c r="M8" i="39"/>
  <c r="P8" i="39"/>
  <c r="M26" i="39"/>
  <c r="P26" i="39"/>
  <c r="M7" i="39"/>
  <c r="P7" i="39"/>
  <c r="E15" i="39"/>
  <c r="K8" i="39"/>
  <c r="O16" i="40" a="1"/>
  <c r="O16" i="40"/>
  <c r="M16" i="40"/>
  <c r="F16" i="40" a="1"/>
  <c r="F16" i="40"/>
  <c r="D16" i="40"/>
  <c r="L16" i="40" a="1"/>
  <c r="L16" i="40"/>
  <c r="J16" i="40"/>
  <c r="I16" i="40" a="1"/>
  <c r="I16" i="40"/>
  <c r="G16" i="40"/>
  <c r="O23" i="40" a="1"/>
  <c r="O23" i="40"/>
  <c r="M23" i="40"/>
  <c r="N23" i="40"/>
  <c r="G23" i="40"/>
  <c r="H23" i="40"/>
  <c r="L23" i="40" a="1"/>
  <c r="L23" i="40"/>
  <c r="F23" i="40" a="1"/>
  <c r="F23" i="40"/>
  <c r="J23" i="40"/>
  <c r="K23" i="40"/>
  <c r="I23" i="40" a="1"/>
  <c r="I23" i="40"/>
  <c r="D23" i="40"/>
  <c r="E23" i="40"/>
  <c r="G17" i="40"/>
  <c r="J17" i="40"/>
  <c r="O17" i="40" a="1"/>
  <c r="O17" i="40"/>
  <c r="D17" i="40"/>
  <c r="L27" i="40" a="1"/>
  <c r="L27" i="40"/>
  <c r="O27" i="40" a="1"/>
  <c r="O27" i="40"/>
  <c r="O29" i="40" a="1"/>
  <c r="O29" i="40"/>
  <c r="M27" i="40"/>
  <c r="N27" i="40"/>
  <c r="F17" i="40" a="1"/>
  <c r="F17" i="40"/>
  <c r="I17" i="40" a="1"/>
  <c r="I17" i="40"/>
  <c r="L17" i="40" a="1"/>
  <c r="L17" i="40"/>
  <c r="I19" i="40" a="1"/>
  <c r="I19" i="40"/>
  <c r="J27" i="40"/>
  <c r="K27" i="40"/>
  <c r="I27" i="40" a="1"/>
  <c r="I27" i="40"/>
  <c r="F27" i="40" a="1"/>
  <c r="F27" i="40"/>
  <c r="D27" i="40"/>
  <c r="E27" i="40"/>
  <c r="O19" i="40" a="1"/>
  <c r="O19" i="40"/>
  <c r="F19" i="40" a="1"/>
  <c r="F19" i="40"/>
  <c r="D19" i="40"/>
  <c r="E19" i="40"/>
  <c r="G19" i="40"/>
  <c r="H19" i="40"/>
  <c r="I29" i="40" a="1"/>
  <c r="I29" i="40"/>
  <c r="L15" i="40" a="1"/>
  <c r="L15" i="40"/>
  <c r="O15" i="40" a="1"/>
  <c r="O15" i="40"/>
  <c r="D15" i="40"/>
  <c r="M15" i="40"/>
  <c r="N15" i="40"/>
  <c r="G15" i="40"/>
  <c r="I15" i="40" a="1"/>
  <c r="I15" i="40"/>
  <c r="F15" i="40" a="1"/>
  <c r="F15" i="40"/>
  <c r="O22" i="40" a="1"/>
  <c r="O22" i="40"/>
  <c r="L29" i="40" a="1"/>
  <c r="L29" i="40"/>
  <c r="M29" i="40"/>
  <c r="N29" i="40"/>
  <c r="D29" i="40"/>
  <c r="E29" i="40"/>
  <c r="J29" i="40"/>
  <c r="K29" i="40"/>
  <c r="F29" i="40" a="1"/>
  <c r="F29" i="40"/>
  <c r="G22" i="40"/>
  <c r="H22" i="40"/>
  <c r="I22" i="40" a="1"/>
  <c r="I22" i="40"/>
  <c r="D22" i="40"/>
  <c r="E22" i="40"/>
  <c r="J22" i="40"/>
  <c r="K22" i="40"/>
  <c r="L22" i="40" a="1"/>
  <c r="L22" i="40"/>
  <c r="F22" i="40" a="1"/>
  <c r="F22" i="40"/>
  <c r="I14" i="40" a="1"/>
  <c r="I14" i="40"/>
  <c r="H14" i="40"/>
  <c r="F10" i="40" a="1"/>
  <c r="F10" i="40"/>
  <c r="O26" i="40" a="1"/>
  <c r="O26" i="40"/>
  <c r="L26" i="40" a="1"/>
  <c r="L26" i="40"/>
  <c r="D26" i="40"/>
  <c r="E26" i="40"/>
  <c r="M26" i="40"/>
  <c r="N26" i="40"/>
  <c r="G26" i="40"/>
  <c r="H26" i="40"/>
  <c r="I26" i="40" a="1"/>
  <c r="I26" i="40"/>
  <c r="F26" i="40" a="1"/>
  <c r="F26" i="40"/>
  <c r="D21" i="40"/>
  <c r="E21" i="40"/>
  <c r="J28" i="40"/>
  <c r="K28" i="40"/>
  <c r="G20" i="40"/>
  <c r="H20" i="40"/>
  <c r="I21" i="40" a="1"/>
  <c r="I21" i="40"/>
  <c r="G28" i="40"/>
  <c r="H28" i="40"/>
  <c r="L28" i="40" a="1"/>
  <c r="L28" i="40"/>
  <c r="M21" i="40"/>
  <c r="N21" i="40"/>
  <c r="O21" i="40" a="1"/>
  <c r="O21" i="40"/>
  <c r="I28" i="40" a="1"/>
  <c r="I28" i="40"/>
  <c r="O28" i="40" a="1"/>
  <c r="O28" i="40"/>
  <c r="D28" i="40"/>
  <c r="E28" i="40"/>
  <c r="M28" i="40"/>
  <c r="N28" i="40"/>
  <c r="J21" i="40"/>
  <c r="K21" i="40"/>
  <c r="I11" i="40" a="1"/>
  <c r="I11" i="40"/>
  <c r="H11" i="40"/>
  <c r="F21" i="40" a="1"/>
  <c r="F21" i="40"/>
  <c r="G21" i="40"/>
  <c r="H21" i="40"/>
  <c r="I20" i="40" a="1"/>
  <c r="I20" i="40"/>
  <c r="J11" i="40"/>
  <c r="AA11" i="40" a="1"/>
  <c r="AA11" i="40"/>
  <c r="Z11" i="40" a="1"/>
  <c r="Z11" i="40"/>
  <c r="Y11" i="40" a="1"/>
  <c r="Y11" i="40"/>
  <c r="X11" i="40" a="1"/>
  <c r="X11" i="40"/>
  <c r="W11" i="40" a="1"/>
  <c r="W11" i="40"/>
  <c r="V11" i="40" a="1"/>
  <c r="V11" i="40"/>
  <c r="U11" i="40" a="1"/>
  <c r="U11" i="40"/>
  <c r="T11" i="40" a="1"/>
  <c r="T11" i="40"/>
  <c r="AA9" i="40" a="1"/>
  <c r="AA9" i="40"/>
  <c r="Z9" i="40" a="1"/>
  <c r="Z9" i="40"/>
  <c r="Y9" i="40" a="1"/>
  <c r="Y9" i="40"/>
  <c r="X9" i="40" a="1"/>
  <c r="X9" i="40"/>
  <c r="W9" i="40" a="1"/>
  <c r="W9" i="40"/>
  <c r="V9" i="40" a="1"/>
  <c r="V9" i="40"/>
  <c r="U9" i="40" a="1"/>
  <c r="U9" i="40"/>
  <c r="T9" i="40" a="1"/>
  <c r="T9" i="40"/>
  <c r="I18" i="40" a="1"/>
  <c r="I18" i="40"/>
  <c r="AA21" i="40" a="1"/>
  <c r="AA21" i="40"/>
  <c r="Z21" i="40" a="1"/>
  <c r="Z21" i="40"/>
  <c r="Y21" i="40" a="1"/>
  <c r="Y21" i="40"/>
  <c r="X21" i="40" a="1"/>
  <c r="X21" i="40"/>
  <c r="W21" i="40" a="1"/>
  <c r="W21" i="40"/>
  <c r="V21" i="40" a="1"/>
  <c r="V21" i="40"/>
  <c r="T21" i="40" a="1"/>
  <c r="T21" i="40"/>
  <c r="U21" i="40" a="1"/>
  <c r="U21" i="40"/>
  <c r="AA16" i="40" a="1"/>
  <c r="AA16" i="40"/>
  <c r="Z16" i="40" a="1"/>
  <c r="Z16" i="40"/>
  <c r="Y16" i="40" a="1"/>
  <c r="Y16" i="40"/>
  <c r="X16" i="40" a="1"/>
  <c r="X16" i="40"/>
  <c r="W16" i="40" a="1"/>
  <c r="W16" i="40"/>
  <c r="V16" i="40" a="1"/>
  <c r="V16" i="40"/>
  <c r="U16" i="40" a="1"/>
  <c r="U16" i="40"/>
  <c r="T16" i="40" a="1"/>
  <c r="T16" i="40"/>
  <c r="AA10" i="40" a="1"/>
  <c r="AA10" i="40"/>
  <c r="Z10" i="40" a="1"/>
  <c r="Z10" i="40"/>
  <c r="Y10" i="40" a="1"/>
  <c r="Y10" i="40"/>
  <c r="X10" i="40" a="1"/>
  <c r="X10" i="40"/>
  <c r="W10" i="40" a="1"/>
  <c r="W10" i="40"/>
  <c r="V10" i="40" a="1"/>
  <c r="V10" i="40"/>
  <c r="U10" i="40" a="1"/>
  <c r="U10" i="40"/>
  <c r="T10" i="40" a="1"/>
  <c r="T10" i="40"/>
  <c r="AA15" i="40" a="1"/>
  <c r="AA15" i="40"/>
  <c r="Z15" i="40" a="1"/>
  <c r="Z15" i="40"/>
  <c r="Y15" i="40" a="1"/>
  <c r="Y15" i="40"/>
  <c r="X15" i="40" a="1"/>
  <c r="X15" i="40"/>
  <c r="W15" i="40" a="1"/>
  <c r="W15" i="40"/>
  <c r="V15" i="40" a="1"/>
  <c r="V15" i="40"/>
  <c r="U15" i="40" a="1"/>
  <c r="U15" i="40"/>
  <c r="T15" i="40" a="1"/>
  <c r="T15" i="40"/>
  <c r="AA20" i="40" a="1"/>
  <c r="AA20" i="40"/>
  <c r="Z20" i="40" a="1"/>
  <c r="Z20" i="40"/>
  <c r="Y20" i="40" a="1"/>
  <c r="Y20" i="40"/>
  <c r="X20" i="40" a="1"/>
  <c r="X20" i="40"/>
  <c r="W20" i="40" a="1"/>
  <c r="W20" i="40"/>
  <c r="V20" i="40" a="1"/>
  <c r="V20" i="40"/>
  <c r="U20" i="40" a="1"/>
  <c r="U20" i="40"/>
  <c r="T20" i="40" a="1"/>
  <c r="T20" i="40"/>
  <c r="AA14" i="40" a="1"/>
  <c r="AA14" i="40"/>
  <c r="Z14" i="40" a="1"/>
  <c r="Z14" i="40"/>
  <c r="Y14" i="40" a="1"/>
  <c r="Y14" i="40"/>
  <c r="X14" i="40" a="1"/>
  <c r="X14" i="40"/>
  <c r="W14" i="40" a="1"/>
  <c r="W14" i="40"/>
  <c r="V14" i="40" a="1"/>
  <c r="V14" i="40"/>
  <c r="U14" i="40" a="1"/>
  <c r="U14" i="40"/>
  <c r="T14" i="40" a="1"/>
  <c r="T14" i="40"/>
  <c r="AA25" i="40" a="1"/>
  <c r="AA25" i="40"/>
  <c r="Z25" i="40" a="1"/>
  <c r="Z25" i="40"/>
  <c r="Y25" i="40" a="1"/>
  <c r="Y25" i="40"/>
  <c r="X25" i="40" a="1"/>
  <c r="X25" i="40"/>
  <c r="W25" i="40" a="1"/>
  <c r="W25" i="40"/>
  <c r="V25" i="40" a="1"/>
  <c r="V25" i="40"/>
  <c r="U25" i="40" a="1"/>
  <c r="U25" i="40"/>
  <c r="T25" i="40" a="1"/>
  <c r="T25" i="40"/>
  <c r="AA7" i="40" a="1"/>
  <c r="AA7" i="40"/>
  <c r="Z7" i="40" a="1"/>
  <c r="Z7" i="40"/>
  <c r="Y7" i="40" a="1"/>
  <c r="Y7" i="40"/>
  <c r="X7" i="40" a="1"/>
  <c r="X7" i="40"/>
  <c r="W7" i="40" a="1"/>
  <c r="W7" i="40"/>
  <c r="V7" i="40" a="1"/>
  <c r="V7" i="40"/>
  <c r="U7" i="40" a="1"/>
  <c r="U7" i="40"/>
  <c r="T7" i="40" a="1"/>
  <c r="T7" i="40"/>
  <c r="AA6" i="40" a="1"/>
  <c r="AA6" i="40"/>
  <c r="Z6" i="40" a="1"/>
  <c r="Z6" i="40"/>
  <c r="Y6" i="40" a="1"/>
  <c r="Y6" i="40"/>
  <c r="X6" i="40" a="1"/>
  <c r="X6" i="40"/>
  <c r="W6" i="40" a="1"/>
  <c r="W6" i="40"/>
  <c r="V6" i="40" a="1"/>
  <c r="V6" i="40"/>
  <c r="U6" i="40" a="1"/>
  <c r="U6" i="40"/>
  <c r="M10" i="40"/>
  <c r="O10" i="40" a="1"/>
  <c r="O10" i="40"/>
  <c r="AA8" i="40" a="1"/>
  <c r="AA8" i="40"/>
  <c r="Z8" i="40" a="1"/>
  <c r="Z8" i="40"/>
  <c r="Y8" i="40" a="1"/>
  <c r="Y8" i="40"/>
  <c r="X8" i="40" a="1"/>
  <c r="X8" i="40"/>
  <c r="W8" i="40" a="1"/>
  <c r="W8" i="40"/>
  <c r="V8" i="40" a="1"/>
  <c r="V8" i="40"/>
  <c r="T8" i="40" a="1"/>
  <c r="T8" i="40"/>
  <c r="U8" i="40" a="1"/>
  <c r="U8" i="40"/>
  <c r="J19" i="40"/>
  <c r="K19" i="40"/>
  <c r="D10" i="40"/>
  <c r="M19" i="40"/>
  <c r="N19" i="40"/>
  <c r="L10" i="40" a="1"/>
  <c r="L10" i="40"/>
  <c r="G10" i="40"/>
  <c r="H10" i="40"/>
  <c r="J14" i="40"/>
  <c r="T6" i="40" a="1"/>
  <c r="T6" i="40"/>
  <c r="J10" i="40"/>
  <c r="M20" i="40"/>
  <c r="N20" i="40"/>
  <c r="D20" i="40"/>
  <c r="E20" i="40"/>
  <c r="D18" i="40"/>
  <c r="E18" i="40"/>
  <c r="F18" i="40" a="1"/>
  <c r="F18" i="40"/>
  <c r="J18" i="40"/>
  <c r="K18" i="40"/>
  <c r="J12" i="40"/>
  <c r="J20" i="40"/>
  <c r="K20" i="40"/>
  <c r="G18" i="40"/>
  <c r="H18" i="40"/>
  <c r="L18" i="40" a="1"/>
  <c r="L18" i="40"/>
  <c r="L20" i="40" a="1"/>
  <c r="L20" i="40"/>
  <c r="O18" i="40" a="1"/>
  <c r="O18" i="40"/>
  <c r="F20" i="40" a="1"/>
  <c r="F20" i="40"/>
  <c r="M11" i="40"/>
  <c r="I12" i="40" a="1"/>
  <c r="I12" i="40"/>
  <c r="L12" i="40" a="1"/>
  <c r="L12" i="40"/>
  <c r="M12" i="40"/>
  <c r="L25" i="40" a="1"/>
  <c r="L25" i="40"/>
  <c r="F12" i="40" a="1"/>
  <c r="F12" i="40"/>
  <c r="E12" i="40"/>
  <c r="O12" i="40" a="1"/>
  <c r="O12" i="40"/>
  <c r="L24" i="40" a="1"/>
  <c r="L24" i="40"/>
  <c r="L11" i="40" a="1"/>
  <c r="L11" i="40"/>
  <c r="G12" i="40"/>
  <c r="O11" i="40" a="1"/>
  <c r="O11" i="40"/>
  <c r="D11" i="40"/>
  <c r="F11" i="40" a="1"/>
  <c r="F11" i="40"/>
  <c r="G24" i="40"/>
  <c r="H24" i="40"/>
  <c r="L14" i="40" a="1"/>
  <c r="L14" i="40"/>
  <c r="M24" i="40"/>
  <c r="N24" i="40"/>
  <c r="M14" i="40"/>
  <c r="O24" i="40" a="1"/>
  <c r="O24" i="40"/>
  <c r="D24" i="40"/>
  <c r="E24" i="40"/>
  <c r="O14" i="40" a="1"/>
  <c r="O14" i="40"/>
  <c r="I24" i="40" a="1"/>
  <c r="I24" i="40"/>
  <c r="J24" i="40"/>
  <c r="K24" i="40"/>
  <c r="D14" i="40"/>
  <c r="F14" i="40" a="1"/>
  <c r="F14" i="40"/>
  <c r="J13" i="40"/>
  <c r="O13" i="40" a="1"/>
  <c r="O13" i="40"/>
  <c r="K17" i="40"/>
  <c r="G13" i="40"/>
  <c r="I13" i="40" a="1"/>
  <c r="I13" i="40"/>
  <c r="D13" i="40"/>
  <c r="E13" i="40"/>
  <c r="L13" i="40" a="1"/>
  <c r="L13" i="40"/>
  <c r="M13" i="40"/>
  <c r="I25" i="40" a="1"/>
  <c r="I25" i="40"/>
  <c r="F25" i="40" a="1"/>
  <c r="F25" i="40"/>
  <c r="J25" i="40"/>
  <c r="K25" i="40"/>
  <c r="M25" i="40"/>
  <c r="N25" i="40"/>
  <c r="D25" i="40"/>
  <c r="E25" i="40"/>
  <c r="G25" i="40"/>
  <c r="H25" i="40"/>
  <c r="K15" i="40"/>
  <c r="H17" i="40"/>
  <c r="K16" i="40"/>
  <c r="E16" i="40"/>
  <c r="E17" i="40"/>
  <c r="H16" i="40"/>
  <c r="N17" i="40"/>
  <c r="N16" i="40"/>
  <c r="E15" i="40"/>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<sst xmlns="http://schemas.openxmlformats.org/spreadsheetml/2006/main" count="667" uniqueCount="206">
  <si>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</si>
  <si>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</si>
  <si>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</si>
  <si>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</si>
  <si>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</si>
  <si>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</si>
  <si>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</si>
  <si>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</si>
  <si>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</si>
  <si>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</si>
  <si>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</si>
  <si>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</si>
  <si>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</si>
  <si>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</si>
  <si>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</si>
  <si>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</si>
  <si>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</si>
  <si>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</si>
  <si>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</si>
  <si>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</si>
  <si>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</si>
  <si>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</si>
  <si>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</si>
  <si>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</si>
  <si>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</si>
  <si>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</si>
  <si>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</si>
  <si>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</si>
  <si>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</si>
  <si>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</si>
  <si>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</si>
  <si>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</si>
  <si>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</si>
  <si>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</si>
  <si>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</si>
  <si>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</si>
  <si>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</si>
  <si>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</si>
  <si>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</si>
  <si>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</si>
  <si>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</si>
  <si>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</si>
  <si>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</si>
  <si>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</si>
  <si>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</si>
  <si>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</si>
  <si>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</si>
  <si>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</si>
  <si>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</si>
  <si>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</si>
  <si>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</si>
  <si>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</si>
  <si>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</si>
  <si>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</si>
  <si>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</si>
  <si>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</si>
  <si>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</si>
  <si>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</si>
  <si>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</si>
  <si>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</si>
  <si>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</si>
  <si>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</si>
  <si>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</si>
  <si>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</si>
  <si>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</si>
  <si>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</si>
  <si>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</si>
  <si>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</si>
  <si>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</si>
  <si>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</si>
  <si>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</si>
  <si>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</si>
  <si>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</si>
  <si>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</si>
  <si>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</si>
  <si>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</si>
  <si>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</si>
  <si>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</si>
  <si>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</si>
  <si>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</si>
  <si>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</si>
  <si>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</si>
  <si>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</si>
  <si>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</si>
  <si>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</si>
  <si>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</si>
  <si>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</si>
  <si>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</si>
  <si>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</si>
  <si>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</si>
  <si>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</si>
  <si>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</si>
  <si>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</si>
  <si>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</si>
  <si>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</si>
  <si>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</si>
  <si>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</si>
  <si>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</si>
  <si>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</si>
  <si>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</si>
  <si>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</si>
  <si>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</si>
  <si>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</si>
  <si>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</si>
  <si>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</si>
  <si>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</si>
  <si>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</si>
  <si>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</si>
  <si>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</si>
  <si>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</si>
  <si>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</si>
  <si>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</si>
  <si>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</si>
  <si>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</si>
  <si>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</si>
  <si>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</si>
  <si>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</si>
  <si>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</si>
  <si>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</si>
  <si>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</si>
  <si>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</si>
  <si>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</si>
  <si>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</si>
  <si>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</si>
  <si>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</si>
  <si>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</si>
  <si>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</si>
  <si>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</si>
  <si>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</si>
  <si>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</si>
  <si>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</si>
  <si>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</si>
  <si>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</si>
  <si>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</si>
  <si>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</si>
  <si>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</si>
  <si>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</si>
  <si>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</si>
  <si>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</si>
  <si>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</si>
  <si>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</si>
  <si>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</si>
  <si>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</si>
  <si>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</si>
  <si>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</si>
  <si>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</si>
  <si>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</si>
  <si>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</si>
  <si>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</si>
  <si>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</si>
  <si>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</si>
  <si>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</si>
  <si>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</si>
  <si>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</si>
  <si>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</si>
  <si>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</si>
  <si>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</si>
  <si>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</si>
  <si>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</si>
  <si>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</si>
  <si>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</si>
  <si>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</si>
  <si>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</si>
  <si>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</si>
  <si>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</si>
  <si>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</si>
  <si>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</si>
  <si>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</si>
  <si>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</si>
  <si>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</si>
  <si>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</si>
  <si>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</si>
  <si>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</si>
  <si>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</si>
  <si>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</si>
  <si>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</si>
  <si>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</si>
  <si>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</si>
  <si>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</si>
  <si>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</si>
  <si>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</si>
  <si>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</si>
  <si>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</si>
  <si>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</si>
  <si>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</si>
  <si>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</si>
  <si>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</si>
  <si>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</si>
  <si>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</si>
  <si>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</si>
  <si>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</si>
  <si>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</si>
  <si>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</si>
  <si>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</si>
  <si>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</si>
  <si>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</si>
  <si>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</si>
  <si>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</si>
  <si>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</si>
  <si>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</si>
  <si>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 xml:space="preserve">Luis Rondón </t>
  </si>
  <si>
    <t>Luis.grondon01@gmail.com</t>
  </si>
  <si>
    <t xml:space="preserve">Lionel Messi </t>
  </si>
  <si>
    <t xml:space="preserve">Salomon Rondón </t>
  </si>
  <si>
    <t>Endrick</t>
  </si>
  <si>
    <t>Sergio Rochet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</si>
</sst>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8">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0" fontId="4" fillId="0" borderId="0" applyNumberFormat="0" applyFill="0" applyBorder="0" applyAlignment="0" applyProtection="0"/>
  </cellStyleXfs>
  <cellXfs count="303">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7" applyFill="1" applyBorder="1" applyAlignment="1">
      <alignment horizontal="left" indent="1"/>
    </xf>
    <xf numFmtId="0" fontId="4" fillId="3" borderId="33" xfId="7" applyFill="1" applyBorder="1" applyAlignment="1">
      <alignment horizontal="left" indent="1"/>
    </xf>
    <xf numFmtId="0" fontId="4" fillId="3" borderId="34" xfId="7"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8">
    <cellStyle name="Hipervínculo" xfId="1" builtinId="8"/>
    <cellStyle name="Hyperlink" xfId="7" xr:uid="{00000000-000B-0000-0000-000008000000}"/>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4">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left style="thin">
          <color theme="2" tint="-9.9948118533890809E-2"/>
        </left>
        <vertical/>
        <horizontal/>
      </border>
    </dxf>
    <dxf>
      <border>
        <bottom style="thin">
          <color auto="1"/>
        </bottom>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patternType="none"/>
      </fill>
    </dxf>
    <dxf>
      <font>
        <color rgb="FFB91114"/>
      </font>
      <fill>
        <patternFill patternType="none"/>
      </fill>
    </dxf>
    <dxf>
      <font>
        <color rgb="FF0065B3"/>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B91114"/>
      </font>
      <fill>
        <patternFill patternType="none"/>
      </fill>
    </dxf>
    <dxf>
      <fill>
        <patternFill patternType="none"/>
      </fill>
    </dxf>
    <dxf>
      <font>
        <color rgb="FF0065B3"/>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18" Type="http://schemas.openxmlformats.org/officeDocument/2006/relationships/sheetMetadata" Target="metadata.xml" /><Relationship Id="rId3" Type="http://schemas.openxmlformats.org/officeDocument/2006/relationships/worksheet" Target="worksheets/sheet3.xml" /><Relationship Id="rId21" Type="http://schemas.microsoft.com/office/2017/06/relationships/rdRichValueStructure" Target="richData/rdrichvaluestructure.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sharedStrings" Target="sharedStrings.xml" /><Relationship Id="rId2" Type="http://schemas.openxmlformats.org/officeDocument/2006/relationships/worksheet" Target="worksheets/sheet2.xml" /><Relationship Id="rId16" Type="http://schemas.openxmlformats.org/officeDocument/2006/relationships/styles" Target="styles.xml" /><Relationship Id="rId20" Type="http://schemas.microsoft.com/office/2017/06/relationships/rdRichValue" Target="richData/rdrichvalue.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openxmlformats.org/officeDocument/2006/relationships/customXml" Target="../customXml/item1.xml" /><Relationship Id="rId5" Type="http://schemas.openxmlformats.org/officeDocument/2006/relationships/worksheet" Target="worksheets/sheet5.xml" /><Relationship Id="rId15" Type="http://schemas.openxmlformats.org/officeDocument/2006/relationships/theme" Target="theme/theme1.xml" /><Relationship Id="rId23" Type="http://schemas.openxmlformats.org/officeDocument/2006/relationships/calcChain" Target="calcChain.xml" /><Relationship Id="rId10" Type="http://schemas.openxmlformats.org/officeDocument/2006/relationships/worksheet" Target="worksheets/sheet10.xml" /><Relationship Id="rId19" Type="http://schemas.microsoft.com/office/2020/07/relationships/rdRichValueWebImage" Target="richData/rdRichValueWebImage.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microsoft.com/office/2017/06/relationships/rdRichValueTypes" Target="richData/rdRichValueTypes.xml" /></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 /><Relationship Id="rId2" Type="http://schemas.microsoft.com/office/2007/relationships/hdphoto" Target="../media/hdphoto1.wdp" /><Relationship Id="rId1" Type="http://schemas.openxmlformats.org/officeDocument/2006/relationships/image" Target="../media/image17.png" /></Relationships>
</file>

<file path=xl/drawings/_rels/drawing2.xml.rels><?xml version="1.0" encoding="UTF-8" standalone="yes"?>
<Relationships xmlns="http://schemas.openxmlformats.org/package/2006/relationships"><Relationship Id="rId8" Type="http://schemas.microsoft.com/office/2007/relationships/hdphoto" Target="../media/hdphoto1.wdp" /><Relationship Id="rId3" Type="http://schemas.openxmlformats.org/officeDocument/2006/relationships/hyperlink" Target="#B!H9" /><Relationship Id="rId7" Type="http://schemas.openxmlformats.org/officeDocument/2006/relationships/image" Target="../media/image17.png" /><Relationship Id="rId2" Type="http://schemas.openxmlformats.org/officeDocument/2006/relationships/hyperlink" Target="#D!H9" /><Relationship Id="rId1" Type="http://schemas.openxmlformats.org/officeDocument/2006/relationships/hyperlink" Target="#A!H9" /><Relationship Id="rId6" Type="http://schemas.openxmlformats.org/officeDocument/2006/relationships/image" Target="../media/image18.png" /><Relationship Id="rId5" Type="http://schemas.openxmlformats.org/officeDocument/2006/relationships/image" Target="../media/image19.png" /><Relationship Id="rId4" Type="http://schemas.openxmlformats.org/officeDocument/2006/relationships/hyperlink" Target="#'C'!H9" /></Relationships>
</file>

<file path=xl/drawings/_rels/drawing3.xml.rels><?xml version="1.0" encoding="UTF-8" standalone="yes"?>
<Relationships xmlns="http://schemas.openxmlformats.org/package/2006/relationships"><Relationship Id="rId8" Type="http://schemas.microsoft.com/office/2007/relationships/hdphoto" Target="../media/hdphoto1.wdp" /><Relationship Id="rId3" Type="http://schemas.openxmlformats.org/officeDocument/2006/relationships/hyperlink" Target="#B!H9" /><Relationship Id="rId7" Type="http://schemas.openxmlformats.org/officeDocument/2006/relationships/image" Target="../media/image17.png" /><Relationship Id="rId2" Type="http://schemas.openxmlformats.org/officeDocument/2006/relationships/hyperlink" Target="#D!H9" /><Relationship Id="rId1" Type="http://schemas.openxmlformats.org/officeDocument/2006/relationships/hyperlink" Target="#A!H9" /><Relationship Id="rId6" Type="http://schemas.openxmlformats.org/officeDocument/2006/relationships/image" Target="../media/image18.png" /><Relationship Id="rId5" Type="http://schemas.openxmlformats.org/officeDocument/2006/relationships/image" Target="../media/image19.png" /><Relationship Id="rId4" Type="http://schemas.openxmlformats.org/officeDocument/2006/relationships/hyperlink" Target="#'C'!H9" /></Relationships>
</file>

<file path=xl/drawings/_rels/drawing4.xml.rels><?xml version="1.0" encoding="UTF-8" standalone="yes"?>
<Relationships xmlns="http://schemas.openxmlformats.org/package/2006/relationships"><Relationship Id="rId8" Type="http://schemas.microsoft.com/office/2007/relationships/hdphoto" Target="../media/hdphoto1.wdp" /><Relationship Id="rId3" Type="http://schemas.openxmlformats.org/officeDocument/2006/relationships/hyperlink" Target="#B!H9" /><Relationship Id="rId7" Type="http://schemas.openxmlformats.org/officeDocument/2006/relationships/image" Target="../media/image17.png" /><Relationship Id="rId2" Type="http://schemas.openxmlformats.org/officeDocument/2006/relationships/hyperlink" Target="#D!H9" /><Relationship Id="rId1" Type="http://schemas.openxmlformats.org/officeDocument/2006/relationships/hyperlink" Target="#A!H9" /><Relationship Id="rId6" Type="http://schemas.openxmlformats.org/officeDocument/2006/relationships/image" Target="../media/image18.png" /><Relationship Id="rId5" Type="http://schemas.openxmlformats.org/officeDocument/2006/relationships/image" Target="../media/image19.png" /><Relationship Id="rId4" Type="http://schemas.openxmlformats.org/officeDocument/2006/relationships/hyperlink" Target="#'C'!H9" /></Relationships>
</file>

<file path=xl/drawings/_rels/drawing5.xml.rels><?xml version="1.0" encoding="UTF-8" standalone="yes"?>
<Relationships xmlns="http://schemas.openxmlformats.org/package/2006/relationships"><Relationship Id="rId8" Type="http://schemas.microsoft.com/office/2007/relationships/hdphoto" Target="../media/hdphoto1.wdp" /><Relationship Id="rId3" Type="http://schemas.openxmlformats.org/officeDocument/2006/relationships/hyperlink" Target="#B!H9" /><Relationship Id="rId7" Type="http://schemas.openxmlformats.org/officeDocument/2006/relationships/image" Target="../media/image17.png" /><Relationship Id="rId2" Type="http://schemas.openxmlformats.org/officeDocument/2006/relationships/hyperlink" Target="#D!H9" /><Relationship Id="rId1" Type="http://schemas.openxmlformats.org/officeDocument/2006/relationships/hyperlink" Target="#A!H9" /><Relationship Id="rId6" Type="http://schemas.openxmlformats.org/officeDocument/2006/relationships/image" Target="../media/image18.png" /><Relationship Id="rId5" Type="http://schemas.openxmlformats.org/officeDocument/2006/relationships/image" Target="../media/image19.png" /><Relationship Id="rId4" Type="http://schemas.openxmlformats.org/officeDocument/2006/relationships/hyperlink" Target="#'C'!H9" /></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 /><Relationship Id="rId2" Type="http://schemas.openxmlformats.org/officeDocument/2006/relationships/image" Target="../media/image21.png" /><Relationship Id="rId1" Type="http://schemas.openxmlformats.org/officeDocument/2006/relationships/image" Target="../media/image20.png" /><Relationship Id="rId6" Type="http://schemas.openxmlformats.org/officeDocument/2006/relationships/image" Target="../media/image24.png" /><Relationship Id="rId5" Type="http://schemas.openxmlformats.org/officeDocument/2006/relationships/image" Target="../media/image18.png" /><Relationship Id="rId4" Type="http://schemas.openxmlformats.org/officeDocument/2006/relationships/image" Target="../media/image23.png" /></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 /><Relationship Id="rId2" Type="http://schemas.openxmlformats.org/officeDocument/2006/relationships/image" Target="../media/image21.png" /><Relationship Id="rId1" Type="http://schemas.openxmlformats.org/officeDocument/2006/relationships/image" Target="../media/image20.png" /><Relationship Id="rId6" Type="http://schemas.openxmlformats.org/officeDocument/2006/relationships/image" Target="../media/image24.png" /><Relationship Id="rId5" Type="http://schemas.openxmlformats.org/officeDocument/2006/relationships/image" Target="../media/image18.png" /><Relationship Id="rId4" Type="http://schemas.openxmlformats.org/officeDocument/2006/relationships/image" Target="../media/image23.png" /></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 /><Relationship Id="rId2" Type="http://schemas.openxmlformats.org/officeDocument/2006/relationships/image" Target="../media/image21.png" /><Relationship Id="rId1" Type="http://schemas.openxmlformats.org/officeDocument/2006/relationships/image" Target="../media/image20.png" /><Relationship Id="rId6" Type="http://schemas.openxmlformats.org/officeDocument/2006/relationships/image" Target="../media/image24.png" /><Relationship Id="rId5" Type="http://schemas.openxmlformats.org/officeDocument/2006/relationships/image" Target="../media/image18.png" /><Relationship Id="rId4" Type="http://schemas.openxmlformats.org/officeDocument/2006/relationships/image" Target="../media/image23.png" /></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 /><Relationship Id="rId2" Type="http://schemas.microsoft.com/office/2007/relationships/hdphoto" Target="../media/hdphoto2.wdp" /><Relationship Id="rId1" Type="http://schemas.openxmlformats.org/officeDocument/2006/relationships/image" Target="../media/image25.png" /></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 /><Relationship Id="rId2" Type="http://schemas.microsoft.com/office/2007/relationships/hdphoto" Target="../media/hdphoto3.wdp" /><Relationship Id="rId1" Type="http://schemas.openxmlformats.org/officeDocument/2006/relationships/image" Target="../media/image27.png" /></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0">
              <a:solidFill>
                <a:srgbClr val="023F71"/>
              </a:solidFill>
              <a:latin typeface="Calibri"/>
              <a:ea typeface="Calibri"/>
              <a:cs typeface="Calibri"/>
              <a:sym typeface="Calibri"/>
            </a:rPr>
            <a:t>Grupo B</a:t>
          </a:r>
          <a:endParaRPr sz="1400" b="0">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 /><Relationship Id="rId13" Type="http://schemas.openxmlformats.org/officeDocument/2006/relationships/hyperlink" Target="https://upload.wikimedia.org/wikipedia/commons/thumb/f/fc/Flag_of_Mexico.svg/1280px-Flag_of_Mexico.svg.png" TargetMode="External" /><Relationship Id="rId18" Type="http://schemas.openxmlformats.org/officeDocument/2006/relationships/image" Target="../media/image9.png" /><Relationship Id="rId26" Type="http://schemas.openxmlformats.org/officeDocument/2006/relationships/image" Target="../media/image13.png" /><Relationship Id="rId3" Type="http://schemas.openxmlformats.org/officeDocument/2006/relationships/hyperlink" Target="https://upload.wikimedia.org/wikipedia/commons/thumb/c/cf/Flag_of_Canada.svg/1280px-Flag_of_Canada.svg.png" TargetMode="External" /><Relationship Id="rId21" Type="http://schemas.openxmlformats.org/officeDocument/2006/relationships/hyperlink" Target="https://upload.wikimedia.org/wikipedia/commons/0/03/Bandera_Uruguay_2018.png" TargetMode="External" /><Relationship Id="rId7" Type="http://schemas.openxmlformats.org/officeDocument/2006/relationships/hyperlink" Target="https://upload.wikimedia.org/wikipedia/commons/thumb/7/78/Flag_of_Chile.svg/2560px-Flag_of_Chile.svg.png" TargetMode="External" /><Relationship Id="rId12" Type="http://schemas.openxmlformats.org/officeDocument/2006/relationships/image" Target="../media/image6.png" /><Relationship Id="rId17" Type="http://schemas.openxmlformats.org/officeDocument/2006/relationships/hyperlink" Target="https://upload.wikimedia.org/wikipedia/commons/thumb/a/a4/Flag_of_the_United_States.svg/1200px-Flag_of_the_United_States.svg.png" TargetMode="External" /><Relationship Id="rId25" Type="http://schemas.openxmlformats.org/officeDocument/2006/relationships/hyperlink" Target="https://upload.wikimedia.org/wikipedia/commons/f/f8/Flag_of_Colombia.png" TargetMode="External" /><Relationship Id="rId2" Type="http://schemas.openxmlformats.org/officeDocument/2006/relationships/image" Target="../media/image1.jpg" /><Relationship Id="rId16" Type="http://schemas.openxmlformats.org/officeDocument/2006/relationships/image" Target="../media/image8.png" /><Relationship Id="rId20" Type="http://schemas.openxmlformats.org/officeDocument/2006/relationships/image" Target="../media/image10.png" /><Relationship Id="rId29" Type="http://schemas.openxmlformats.org/officeDocument/2006/relationships/hyperlink" Target="https://upload.wikimedia.org/wikipedia/commons/thumb/0/05/Flag_of_Brazil.svg/640px-Flag_of_Brazil.svg.png" TargetMode="External" /><Relationship Id="rId1" Type="http://schemas.openxmlformats.org/officeDocument/2006/relationships/hyperlink" Target="https://img.freepik.com/vector-gratis/ilustracion-bandera-argentina_53876-27120.jpg" TargetMode="External" /><Relationship Id="rId6" Type="http://schemas.openxmlformats.org/officeDocument/2006/relationships/image" Target="../media/image3.png" /><Relationship Id="rId11" Type="http://schemas.openxmlformats.org/officeDocument/2006/relationships/hyperlink" Target="https://upload.wikimedia.org/wikipedia/commons/4/48/Venezuela_flag.png" TargetMode="External" /><Relationship Id="rId24" Type="http://schemas.openxmlformats.org/officeDocument/2006/relationships/image" Target="../media/image12.png" /><Relationship Id="rId32" Type="http://schemas.openxmlformats.org/officeDocument/2006/relationships/image" Target="../media/image16.png" /><Relationship Id="rId5" Type="http://schemas.openxmlformats.org/officeDocument/2006/relationships/hyperlink" Target="https://upload.wikimedia.org/wikipedia/commons/3/39/Peru_bandera.png" TargetMode="External" /><Relationship Id="rId15" Type="http://schemas.openxmlformats.org/officeDocument/2006/relationships/hyperlink" Target="https://upload.wikimedia.org/wikipedia/commons/thumb/0/0a/Flag_of_Jamaica.svg/2560px-Flag_of_Jamaica.svg.png" TargetMode="External" /><Relationship Id="rId23" Type="http://schemas.openxmlformats.org/officeDocument/2006/relationships/hyperlink" Target="https://upload.wikimedia.org/wikipedia/commons/thumb/a/ab/Flag_of_Panama.svg/2560px-Flag_of_Panama.svg.png" TargetMode="External" /><Relationship Id="rId28" Type="http://schemas.openxmlformats.org/officeDocument/2006/relationships/image" Target="../media/image14.png" /><Relationship Id="rId10" Type="http://schemas.openxmlformats.org/officeDocument/2006/relationships/image" Target="../media/image5.png" /><Relationship Id="rId19" Type="http://schemas.openxmlformats.org/officeDocument/2006/relationships/hyperlink" Target="https://upload.wikimedia.org/wikipedia/commons/thumb/b/b3/Bandera_de_Bolivia_%28Estado%29.svg/1280px-Bandera_de_Bolivia_%28Estado%29.svg.png" TargetMode="External" /><Relationship Id="rId31" Type="http://schemas.openxmlformats.org/officeDocument/2006/relationships/hyperlink" Target="https://upload.wikimedia.org/wikipedia/commons/thumb/f/f2/Flag_of_Costa_Rica.svg/1200px-Flag_of_Costa_Rica.svg.png" TargetMode="External" /><Relationship Id="rId4" Type="http://schemas.openxmlformats.org/officeDocument/2006/relationships/image" Target="../media/image2.png" /><Relationship Id="rId9" Type="http://schemas.openxmlformats.org/officeDocument/2006/relationships/hyperlink" Target="https://upload.wikimedia.org/wikipedia/commons/9/96/Flag_of_Ecuador.png" TargetMode="External" /><Relationship Id="rId14" Type="http://schemas.openxmlformats.org/officeDocument/2006/relationships/image" Target="../media/image7.png" /><Relationship Id="rId22" Type="http://schemas.openxmlformats.org/officeDocument/2006/relationships/image" Target="../media/image11.png" /><Relationship Id="rId27" Type="http://schemas.openxmlformats.org/officeDocument/2006/relationships/hyperlink" Target="https://upload.wikimedia.org/wikipedia/commons/thumb/c/cd/Bandera_de_Paraguay.png/640px-Bandera_de_Paraguay.png" TargetMode="External" /><Relationship Id="rId30" Type="http://schemas.openxmlformats.org/officeDocument/2006/relationships/image" Target="../media/image15.png" /></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rinterSettings" Target="../printerSettings/printerSettings1.bin" /><Relationship Id="rId1" Type="http://schemas.openxmlformats.org/officeDocument/2006/relationships/hyperlink" Target="mailto:Luis.grondon01@gmail.com" TargetMode="External" /></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2.xml" /><Relationship Id="rId4"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3.xml" /><Relationship Id="rId4"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4.xml" /><Relationship Id="rId4"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5.xml" /><Relationship Id="rId4" Type="http://schemas.openxmlformats.org/officeDocument/2006/relationships/printerSettings" Target="../printerSettings/printerSettings5.bin" /></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6.xml" /><Relationship Id="rId4" Type="http://schemas.openxmlformats.org/officeDocument/2006/relationships/printerSettings" Target="../printerSettings/printerSettings6.bin" /></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7.xml" /><Relationship Id="rId4" Type="http://schemas.openxmlformats.org/officeDocument/2006/relationships/printerSettings" Target="../printerSettings/printerSettings7.bin" /></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8.xml" /><Relationship Id="rId4" Type="http://schemas.openxmlformats.org/officeDocument/2006/relationships/printerSettings" Target="../printerSettings/printerSettings8.bin" /></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 /><Relationship Id="rId1" Type="http://schemas.openxmlformats.org/officeDocument/2006/relationships/hyperlink" Target="https://upload.wikimedia.org/wikipedia/commons/thumb/b/b3/Bandera_de_Bolivia_%28Estado%29.svg/1280px-Bandera_de_Bolivia_%28Estado%29.svg.png" TargetMode="External" /></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 /><Relationship Id="rId2" Type="http://schemas.openxmlformats.org/officeDocument/2006/relationships/hyperlink" Target="https://youtu.be/QE5L2yVHpa0" TargetMode="External" /><Relationship Id="rId1" Type="http://schemas.openxmlformats.org/officeDocument/2006/relationships/hyperlink" Target="https://www.youtube.com/c/aprendizdeexcel" TargetMode="External" /><Relationship Id="rId4" Type="http://schemas.openxmlformats.org/officeDocument/2006/relationships/drawing" Target="../drawings/drawing9.xml" /></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 /><Relationship Id="rId2" Type="http://schemas.openxmlformats.org/officeDocument/2006/relationships/hyperlink" Target="https://www.youtube.com/c/aprendizdeexcel" TargetMode="External" /><Relationship Id="rId1" Type="http://schemas.openxmlformats.org/officeDocument/2006/relationships/hyperlink" Target="https://www.youtube.com/c/aprendizdeexcel" TargetMode="External" /><Relationship Id="rId5" Type="http://schemas.openxmlformats.org/officeDocument/2006/relationships/drawing" Target="../drawings/drawing10.xml" /><Relationship Id="rId4" Type="http://schemas.openxmlformats.org/officeDocument/2006/relationships/printerSettings" Target="../printerSettings/printerSettings1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opLeftCell="C7" zoomScaleNormal="100" workbookViewId="0">
      <selection activeCell="E27" sqref="E27"/>
    </sheetView>
  </sheetViews>
  <sheetFormatPr defaultColWidth="10.76171875" defaultRowHeight="15" x14ac:dyDescent="0.2"/>
  <cols>
    <col min="2" max="2" width="45.0625" customWidth="1"/>
    <col min="3" max="3" width="8.609375" customWidth="1"/>
    <col min="4" max="4" width="10.89453125" customWidth="1"/>
    <col min="5" max="5" width="29.7265625" customWidth="1"/>
    <col min="6" max="6" width="8.609375" customWidth="1"/>
    <col min="7" max="7" width="23.5390625" customWidth="1"/>
    <col min="8" max="8" width="8.609375" customWidth="1"/>
    <col min="9" max="9" width="20.04296875" customWidth="1"/>
    <col min="10" max="10" width="8.7421875" customWidth="1"/>
    <col min="11" max="11" width="11.97265625" customWidth="1"/>
  </cols>
  <sheetData>
    <row r="1" spans="2:13" ht="27.75" x14ac:dyDescent="0.5">
      <c r="B1" s="265" t="s">
        <v>177</v>
      </c>
      <c r="C1" s="265"/>
      <c r="D1" s="265"/>
      <c r="E1" s="265"/>
      <c r="F1" s="265"/>
      <c r="G1" s="265"/>
      <c r="H1" s="265"/>
      <c r="I1" s="265"/>
      <c r="J1" s="265"/>
      <c r="K1" s="265"/>
      <c r="L1" s="265"/>
    </row>
    <row r="3" spans="2:13" ht="43.5" customHeight="1" x14ac:dyDescent="0.2">
      <c r="B3" s="266" t="s">
        <v>65</v>
      </c>
      <c r="C3" s="266"/>
      <c r="D3" s="266"/>
      <c r="E3" s="266"/>
      <c r="F3" s="266"/>
      <c r="G3" s="266"/>
    </row>
    <row r="4" spans="2:13" ht="15.75" thickBot="1" x14ac:dyDescent="0.25"/>
    <row r="5" spans="2:13" ht="15.75" thickBot="1" x14ac:dyDescent="0.25">
      <c r="B5" s="86"/>
      <c r="C5" s="87" t="s">
        <v>66</v>
      </c>
      <c r="D5" s="87" t="s">
        <v>67</v>
      </c>
      <c r="G5" s="267" t="s">
        <v>68</v>
      </c>
      <c r="H5" s="268"/>
      <c r="I5" s="268"/>
      <c r="J5" s="268"/>
      <c r="K5" s="268"/>
      <c r="L5" s="269"/>
    </row>
    <row r="6" spans="2:13" ht="15.75" thickBot="1" x14ac:dyDescent="0.25">
      <c r="B6" s="89" t="s">
        <v>69</v>
      </c>
      <c r="C6" s="90">
        <v>5</v>
      </c>
      <c r="D6" s="90">
        <f>+C6*24</f>
        <v>120</v>
      </c>
      <c r="E6" s="127"/>
      <c r="G6" s="116" t="s">
        <v>70</v>
      </c>
      <c r="H6" s="117"/>
      <c r="I6" s="116" t="s">
        <v>71</v>
      </c>
      <c r="J6" s="117"/>
      <c r="K6" s="116" t="s">
        <v>72</v>
      </c>
      <c r="L6" s="117"/>
      <c r="M6" s="88"/>
    </row>
    <row r="7" spans="2:13" x14ac:dyDescent="0.2">
      <c r="B7" s="91" t="s">
        <v>73</v>
      </c>
      <c r="C7" s="92">
        <v>0</v>
      </c>
      <c r="D7" s="90">
        <f>+C7*24</f>
        <v>0</v>
      </c>
      <c r="E7" s="127"/>
      <c r="G7" s="111" t="s">
        <v>74</v>
      </c>
      <c r="H7" s="93">
        <v>1</v>
      </c>
      <c r="I7" s="111" t="s">
        <v>74</v>
      </c>
      <c r="J7" s="93">
        <v>1</v>
      </c>
      <c r="K7" s="111" t="s">
        <v>74</v>
      </c>
      <c r="L7" s="93">
        <v>1</v>
      </c>
    </row>
    <row r="8" spans="2:13" ht="15.75" thickBot="1" x14ac:dyDescent="0.25">
      <c r="B8" s="94" t="s">
        <v>75</v>
      </c>
      <c r="C8" s="95">
        <v>5</v>
      </c>
      <c r="D8" s="95">
        <f>+D6</f>
        <v>120</v>
      </c>
      <c r="E8" s="127"/>
      <c r="G8" s="111" t="s">
        <v>76</v>
      </c>
      <c r="H8" s="93">
        <v>0</v>
      </c>
      <c r="I8" s="111" t="s">
        <v>76</v>
      </c>
      <c r="J8" s="93">
        <v>0</v>
      </c>
      <c r="K8" s="111" t="s">
        <v>76</v>
      </c>
      <c r="L8" s="93">
        <v>0</v>
      </c>
    </row>
    <row r="9" spans="2:13" ht="15.75" thickBot="1" x14ac:dyDescent="0.25">
      <c r="B9" s="96" t="s">
        <v>80</v>
      </c>
      <c r="C9" s="90">
        <v>5</v>
      </c>
      <c r="D9" s="90">
        <f>+C9*4</f>
        <v>20</v>
      </c>
      <c r="E9" s="127"/>
      <c r="G9" s="111" t="s">
        <v>77</v>
      </c>
      <c r="H9" s="93">
        <v>0</v>
      </c>
      <c r="I9" s="111" t="s">
        <v>77</v>
      </c>
      <c r="J9" s="93">
        <v>0</v>
      </c>
      <c r="K9" s="111" t="s">
        <v>77</v>
      </c>
      <c r="L9" s="93">
        <v>0</v>
      </c>
    </row>
    <row r="10" spans="2:13" x14ac:dyDescent="0.2">
      <c r="B10" s="97" t="s">
        <v>82</v>
      </c>
      <c r="C10" s="92">
        <f>+C7*2</f>
        <v>0</v>
      </c>
      <c r="D10" s="90">
        <f>+C10*24</f>
        <v>0</v>
      </c>
      <c r="E10" s="127"/>
      <c r="G10" s="111" t="s">
        <v>78</v>
      </c>
      <c r="H10" s="93">
        <v>0</v>
      </c>
      <c r="I10" s="111" t="s">
        <v>78</v>
      </c>
      <c r="J10" s="93">
        <v>0</v>
      </c>
      <c r="K10" s="111" t="s">
        <v>78</v>
      </c>
      <c r="L10" s="93">
        <v>0</v>
      </c>
    </row>
    <row r="11" spans="2:13" ht="15.75" thickBot="1" x14ac:dyDescent="0.25">
      <c r="B11" s="100" t="s">
        <v>84</v>
      </c>
      <c r="C11" s="95">
        <v>5</v>
      </c>
      <c r="D11" s="95">
        <f>+D9</f>
        <v>20</v>
      </c>
      <c r="E11" s="127"/>
      <c r="G11" s="111" t="s">
        <v>79</v>
      </c>
      <c r="H11" s="93">
        <v>0</v>
      </c>
      <c r="I11" s="111" t="s">
        <v>79</v>
      </c>
      <c r="J11" s="93">
        <v>0</v>
      </c>
      <c r="K11" s="111" t="s">
        <v>79</v>
      </c>
      <c r="L11" s="93">
        <v>0</v>
      </c>
    </row>
    <row r="12" spans="2:13" ht="15.75" thickBot="1" x14ac:dyDescent="0.25">
      <c r="B12" s="101" t="s">
        <v>85</v>
      </c>
      <c r="C12" s="90">
        <v>5</v>
      </c>
      <c r="D12" s="90">
        <f>+C12*2</f>
        <v>10</v>
      </c>
      <c r="E12" s="127"/>
      <c r="G12" s="111" t="s">
        <v>81</v>
      </c>
      <c r="H12" s="93">
        <v>0</v>
      </c>
      <c r="I12" s="111" t="s">
        <v>81</v>
      </c>
      <c r="J12" s="93">
        <v>0</v>
      </c>
      <c r="K12" s="111" t="s">
        <v>81</v>
      </c>
      <c r="L12" s="93">
        <v>0</v>
      </c>
    </row>
    <row r="13" spans="2:13" ht="15.75" thickBot="1" x14ac:dyDescent="0.25">
      <c r="B13" s="102" t="s">
        <v>86</v>
      </c>
      <c r="C13" s="92">
        <f>C10*2</f>
        <v>0</v>
      </c>
      <c r="D13" s="90">
        <f>+C13*24</f>
        <v>0</v>
      </c>
      <c r="E13" s="127"/>
      <c r="G13" s="112" t="s">
        <v>83</v>
      </c>
      <c r="H13" s="98">
        <v>0</v>
      </c>
      <c r="I13" s="112"/>
      <c r="J13" s="98"/>
      <c r="K13" s="112"/>
      <c r="L13" s="99"/>
    </row>
    <row r="14" spans="2:13" ht="15.75" thickBot="1" x14ac:dyDescent="0.25">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25">
      <c r="B15" s="104" t="s">
        <v>88</v>
      </c>
      <c r="C15" s="90">
        <v>5</v>
      </c>
      <c r="D15" s="90">
        <f>+C15*2</f>
        <v>10</v>
      </c>
      <c r="E15" s="127"/>
    </row>
    <row r="16" spans="2:13" x14ac:dyDescent="0.2">
      <c r="B16" s="105" t="s">
        <v>89</v>
      </c>
      <c r="C16" s="92">
        <f>+C13*2</f>
        <v>0</v>
      </c>
      <c r="D16" s="90">
        <f>+C16*24</f>
        <v>0</v>
      </c>
      <c r="E16" s="127"/>
    </row>
    <row r="17" spans="2:5" ht="15.75" thickBot="1" x14ac:dyDescent="0.25">
      <c r="B17" s="106" t="s">
        <v>90</v>
      </c>
      <c r="C17" s="95">
        <v>5</v>
      </c>
      <c r="D17" s="95">
        <f>+D15</f>
        <v>10</v>
      </c>
      <c r="E17" s="127"/>
    </row>
    <row r="18" spans="2:5" x14ac:dyDescent="0.2">
      <c r="B18" s="253" t="s">
        <v>105</v>
      </c>
      <c r="C18" s="107">
        <v>15</v>
      </c>
      <c r="D18" s="90">
        <f>+C18*4</f>
        <v>60</v>
      </c>
      <c r="E18" s="127"/>
    </row>
    <row r="19" spans="2:5" x14ac:dyDescent="0.2">
      <c r="B19" s="254" t="s">
        <v>91</v>
      </c>
      <c r="C19" s="108">
        <v>20</v>
      </c>
      <c r="D19" s="92">
        <f>+C19*8</f>
        <v>160</v>
      </c>
      <c r="E19" s="127"/>
    </row>
    <row r="20" spans="2:5" x14ac:dyDescent="0.2">
      <c r="B20" s="254" t="s">
        <v>92</v>
      </c>
      <c r="C20" s="108">
        <v>25</v>
      </c>
      <c r="D20" s="92">
        <f>+C20*4</f>
        <v>100</v>
      </c>
      <c r="E20" s="127"/>
    </row>
    <row r="21" spans="2:5" x14ac:dyDescent="0.2">
      <c r="B21" s="254" t="s">
        <v>93</v>
      </c>
      <c r="C21" s="108">
        <v>30</v>
      </c>
      <c r="D21" s="92">
        <f>+C21*2</f>
        <v>60</v>
      </c>
      <c r="E21" s="127"/>
    </row>
    <row r="22" spans="2:5" ht="15.75" thickBot="1" x14ac:dyDescent="0.25">
      <c r="B22" s="255" t="s">
        <v>94</v>
      </c>
      <c r="C22" s="109">
        <v>50</v>
      </c>
      <c r="D22" s="95">
        <f t="shared" ref="D22:D27" si="0">+C22</f>
        <v>50</v>
      </c>
      <c r="E22" s="127"/>
    </row>
    <row r="23" spans="2:5" ht="15.75" thickBot="1" x14ac:dyDescent="0.25">
      <c r="B23" s="262" t="s">
        <v>195</v>
      </c>
      <c r="C23" s="109">
        <v>10</v>
      </c>
      <c r="D23" s="95">
        <f t="shared" si="0"/>
        <v>10</v>
      </c>
      <c r="E23" s="262" t="s">
        <v>203</v>
      </c>
    </row>
    <row r="24" spans="2:5" ht="15.75" thickBot="1" x14ac:dyDescent="0.25">
      <c r="B24" s="262" t="s">
        <v>196</v>
      </c>
      <c r="C24" s="109">
        <v>10</v>
      </c>
      <c r="D24" s="95">
        <f t="shared" si="0"/>
        <v>10</v>
      </c>
      <c r="E24" s="262" t="s">
        <v>202</v>
      </c>
    </row>
    <row r="25" spans="2:5" ht="15.75" thickBot="1" x14ac:dyDescent="0.25">
      <c r="B25" s="262" t="s">
        <v>197</v>
      </c>
      <c r="C25" s="109">
        <v>10</v>
      </c>
      <c r="D25" s="95">
        <f t="shared" si="0"/>
        <v>10</v>
      </c>
      <c r="E25" s="262" t="s">
        <v>202</v>
      </c>
    </row>
    <row r="26" spans="2:5" ht="15.75" thickBot="1" x14ac:dyDescent="0.25">
      <c r="B26" s="262" t="s">
        <v>198</v>
      </c>
      <c r="C26" s="109">
        <v>10</v>
      </c>
      <c r="D26" s="95">
        <f t="shared" si="0"/>
        <v>10</v>
      </c>
      <c r="E26" s="262" t="s">
        <v>204</v>
      </c>
    </row>
    <row r="27" spans="2:5" ht="15.75" thickBot="1" x14ac:dyDescent="0.25">
      <c r="B27" s="262" t="s">
        <v>199</v>
      </c>
      <c r="C27" s="109">
        <v>10</v>
      </c>
      <c r="D27" s="95">
        <f t="shared" si="0"/>
        <v>10</v>
      </c>
      <c r="E27" s="262" t="s">
        <v>205</v>
      </c>
    </row>
    <row r="32" spans="2:5" ht="15.75" thickBot="1" x14ac:dyDescent="0.25"/>
    <row r="33" spans="2:7" ht="15.75" thickBot="1" x14ac:dyDescent="0.25">
      <c r="B33" s="113" t="s">
        <v>95</v>
      </c>
      <c r="C33" s="270" t="s">
        <v>200</v>
      </c>
      <c r="D33" s="271"/>
      <c r="E33" s="271"/>
      <c r="F33" s="271"/>
      <c r="G33" s="272"/>
    </row>
    <row r="34" spans="2:7" ht="15.75" thickBot="1" x14ac:dyDescent="0.25">
      <c r="B34" s="110"/>
    </row>
    <row r="35" spans="2:7" ht="15.75" thickBot="1" x14ac:dyDescent="0.25">
      <c r="B35" s="113" t="s">
        <v>96</v>
      </c>
      <c r="C35" s="273" t="s">
        <v>201</v>
      </c>
      <c r="D35" s="274"/>
      <c r="E35" s="274"/>
      <c r="F35" s="274"/>
      <c r="G35" s="275"/>
    </row>
    <row r="36" spans="2:7" ht="15.75" thickBot="1" x14ac:dyDescent="0.25"/>
    <row r="37" spans="2:7" ht="15.75" thickBot="1" x14ac:dyDescent="0.25">
      <c r="B37" s="113" t="s">
        <v>97</v>
      </c>
      <c r="C37" s="263">
        <v>4242820801</v>
      </c>
      <c r="D37" s="264"/>
      <c r="F37" s="113" t="s">
        <v>176</v>
      </c>
      <c r="G37" s="243">
        <v>-4</v>
      </c>
    </row>
  </sheetData>
  <mergeCells count="6">
    <mergeCell ref="C37:D37"/>
    <mergeCell ref="B1:L1"/>
    <mergeCell ref="B3:G3"/>
    <mergeCell ref="G5:L5"/>
    <mergeCell ref="C33:G33"/>
    <mergeCell ref="C35:G35"/>
  </mergeCells>
  <hyperlinks>
    <hyperlink ref="C35:G35" r:id="rId1" xr:uid="{03ED8275-3055-254F-9D93-3BA21DEDF672}"/>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topLeftCell="G1" zoomScaleNormal="100" workbookViewId="0">
      <selection activeCell="I19" sqref="I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7</v>
      </c>
      <c r="AS5" s="245">
        <f>+VLOOKUP(AS7,$AD$9:$AF$15,3,0)</f>
        <v>4</v>
      </c>
      <c r="AT5" s="245">
        <f>+VLOOKUP(AT7,$AD$9:$AF$15,3,0)</f>
        <v>0</v>
      </c>
      <c r="AU5" s="245">
        <f>+VLOOKUP(AU7,$AD$9:$AF$15,3,0)</f>
        <v>6</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1</v>
      </c>
      <c r="C9" s="28">
        <f>+VLOOKUP(B9,Aux!F:AB,4,0)</f>
        <v>45463.833333333336</v>
      </c>
      <c r="D9" s="29">
        <f>+VLOOKUP(B9,Aux!F:AB,4,0)</f>
        <v>45463.833333333336</v>
      </c>
      <c r="E9" s="169"/>
      <c r="F9" s="169" t="e" vm="1">
        <f>IFERROR(VLOOKUP(G9,Aux!$A:$C,3,0),"")</f>
        <v>#VALUE!</v>
      </c>
      <c r="G9" s="30" t="str">
        <f>+VLOOKUP(B9,Aux!F:S,5,0)</f>
        <v>Argentina</v>
      </c>
      <c r="H9" s="258">
        <v>3</v>
      </c>
      <c r="I9" s="257" t="s">
        <v>41</v>
      </c>
      <c r="J9" s="258">
        <v>1</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7</v>
      </c>
      <c r="T9" s="160">
        <f>+VLOOKUP($P9,$AD$9:$AK$15,4,0)</f>
        <v>2</v>
      </c>
      <c r="U9" s="160">
        <f>+VLOOKUP($P9,$AD$9:$AK$15,5,0)</f>
        <v>1</v>
      </c>
      <c r="V9" s="160">
        <f>+VLOOKUP($P9,$AD$9:$AK$15,6,0)</f>
        <v>0</v>
      </c>
      <c r="W9" s="161">
        <f>+VLOOKUP($P9,$AD$9:$AK$15,7,0)</f>
        <v>6</v>
      </c>
      <c r="X9" s="161">
        <f>+VLOOKUP($P9,$AD$9:$AK$15,8,0)</f>
        <v>3</v>
      </c>
      <c r="Y9" s="161">
        <f>+W9-X9</f>
        <v>3</v>
      </c>
      <c r="Z9" s="60"/>
      <c r="AA9" s="57"/>
      <c r="AB9" s="53"/>
      <c r="AC9" s="53">
        <v>1</v>
      </c>
      <c r="AD9" s="251" t="str">
        <f>+VLOOKUP($AD$5&amp;AC9,Aux!S:T,2,0)</f>
        <v>Argentina</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6</v>
      </c>
      <c r="AK9" s="53" cm="1">
        <f t="array" ref="AK9">SUM(($G$9:$G$22=$AD9)*($J$9:$J$22)+($K$9:$K$22=$AD9)*($H$9:$H$22))</f>
        <v>3</v>
      </c>
      <c r="AL9" s="252">
        <f>+SUMIFS($AR9:$AU9,$AR$5:$AU$5,AF9)</f>
        <v>0</v>
      </c>
      <c r="AM9" s="252">
        <f>+AJ9-AK9</f>
        <v>3</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6</v>
      </c>
      <c r="Y11" s="161">
        <f>+W11-X11</f>
        <v>0</v>
      </c>
      <c r="Z11" s="60"/>
      <c r="AA11" s="59"/>
      <c r="AB11" s="245"/>
      <c r="AC11" s="53">
        <v>2</v>
      </c>
      <c r="AD11" s="251" t="str">
        <f>+VLOOKUP($AD$5&amp;AC11,Aux!S:T,2,0)</f>
        <v>Perú</v>
      </c>
      <c r="AE11" s="53">
        <f t="shared" ref="AE11:AE15" si="0">+AG11+AH11+AI11</f>
        <v>3</v>
      </c>
      <c r="AF11" s="53">
        <f t="shared" ref="AF11:AF15"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3</v>
      </c>
      <c r="AK11" s="53" cm="1">
        <f t="array" ref="AK11">SUM(($G$9:$G$22=$AD11)*($J$9:$J$22)+($K$9:$K$22=$AD11)*($H$9:$H$22))</f>
        <v>3</v>
      </c>
      <c r="AL11" s="252">
        <f>+SUMIFS($AR11:$AU11,$AR$5:$AU$5,AF11)</f>
        <v>0</v>
      </c>
      <c r="AM11" s="252">
        <f>+AJ11-AK11</f>
        <v>0</v>
      </c>
      <c r="AN11" s="53">
        <f>+_xlfn.RANK.EQ(AF11,$AF$9:$AF$15)+_xlfn.RANK.EQ(AM11,$AM$9:$AM$15)/10+_xlfn.RANK.EQ(AJ11,$AJ$9:$AJ$15)/100+_xlfn.RANK.EQ(AL11,$AL$9:$AL$15)/1000+ROW()/1000000</f>
        <v>3.2310110000000001</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9</v>
      </c>
      <c r="C13" s="28">
        <f>+VLOOKUP(B13,Aux!F:AB,4,0)</f>
        <v>45468.750000000007</v>
      </c>
      <c r="D13" s="29">
        <f>+VLOOKUP(B13,Aux!F:AB,4,0)</f>
        <v>45468.750000000007</v>
      </c>
      <c r="E13" s="169"/>
      <c r="F13" s="169" t="e" vm="3">
        <f>IFERROR(VLOOKUP(G13,Aux!$A:$C,3,0),"")</f>
        <v>#VALUE!</v>
      </c>
      <c r="G13" s="30" t="str">
        <f>+VLOOKUP(B13,Aux!F:S,5,0)</f>
        <v>Perú</v>
      </c>
      <c r="H13" s="258">
        <v>1</v>
      </c>
      <c r="I13" s="257" t="s">
        <v>41</v>
      </c>
      <c r="J13" s="258">
        <v>2</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e" vm="3">
        <f>IFERROR(VLOOKUP(P13,Aux!A:C,3,0),"")</f>
        <v>#VALUE!</v>
      </c>
      <c r="R13" s="158"/>
      <c r="S13" s="159">
        <f>+VLOOKUP($P13,$AD$9:$AK$15,3,0)</f>
        <v>4</v>
      </c>
      <c r="T13" s="160">
        <f>+VLOOKUP($P13,$AD$9:$AK$15,4,0)</f>
        <v>1</v>
      </c>
      <c r="U13" s="160">
        <f>+VLOOKUP($P13,$AD$9:$AK$15,5,0)</f>
        <v>1</v>
      </c>
      <c r="V13" s="160">
        <f>+VLOOKUP($P13,$AD$9:$AK$15,6,0)</f>
        <v>1</v>
      </c>
      <c r="W13" s="161">
        <f>+VLOOKUP($P13,$AD$9:$AK$15,7,0)</f>
        <v>3</v>
      </c>
      <c r="X13" s="161">
        <f>+VLOOKUP($P13,$AD$9:$AK$15,8,0)</f>
        <v>3</v>
      </c>
      <c r="Y13" s="161">
        <f>+W13-X13</f>
        <v>0</v>
      </c>
      <c r="Z13" s="60"/>
      <c r="AA13" s="57"/>
      <c r="AB13" s="53"/>
      <c r="AC13" s="53">
        <v>3</v>
      </c>
      <c r="AD13" s="251" t="str">
        <f>+VLOOKUP($AD$5&amp;AC13,Aux!S:T,2,0)</f>
        <v>Chile</v>
      </c>
      <c r="AE13" s="53">
        <f t="shared" si="0"/>
        <v>3</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6</v>
      </c>
      <c r="AL13" s="252">
        <f>+SUMIFS($AR13:$AU13,$AR$5:$AU$5,AF13)</f>
        <v>0</v>
      </c>
      <c r="AM13" s="252">
        <f>+AJ13-AK13</f>
        <v>-3</v>
      </c>
      <c r="AN13" s="53">
        <f>+_xlfn.RANK.EQ(AF13,$AF$9:$AF$15)+_xlfn.RANK.EQ(AM13,$AM$9:$AM$15)/10+_xlfn.RANK.EQ(AJ13,$AJ$9:$AJ$15)/100+_xlfn.RANK.EQ(AL13,$AL$9:$AL$15)/1000+ROW()/1000000</f>
        <v>4.431013000000001</v>
      </c>
      <c r="AO13" s="53">
        <f t="shared" si="2"/>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10</v>
      </c>
      <c r="C15" s="28">
        <f>+VLOOKUP(B15,Aux!F:AB,4,0)</f>
        <v>45468.875</v>
      </c>
      <c r="D15" s="29">
        <f>+VLOOKUP(B15,Aux!F:AB,4,0)</f>
        <v>45468.875</v>
      </c>
      <c r="E15" s="169"/>
      <c r="F15" s="169" t="e" vm="4">
        <f>IFERROR(VLOOKUP(G15,Aux!$A:$C,3,0),"")</f>
        <v>#VALUE!</v>
      </c>
      <c r="G15" s="30" t="str">
        <f>+VLOOKUP(B15,Aux!F:S,5,0)</f>
        <v>Chile</v>
      </c>
      <c r="H15" s="258">
        <v>1</v>
      </c>
      <c r="I15" s="257" t="s">
        <v>41</v>
      </c>
      <c r="J15" s="258">
        <v>2</v>
      </c>
      <c r="K15" s="38" t="str">
        <f>+VLOOKUP(B15,Aux!F:S,6,0)</f>
        <v>Argentina</v>
      </c>
      <c r="L15" s="169" t="e" vm="1">
        <f>IFERROR(VLOOKUP(K15,Aux!$A:$C,3,0),"")</f>
        <v>#VALUE!</v>
      </c>
      <c r="M15" s="38"/>
      <c r="N15" s="46" t="str">
        <f>+_xlfn.XLOOKUP(B15,Aux!F:F,Aux!L:L)</f>
        <v>MetLife Stadium - EAST RUTHERFORD, NJ</v>
      </c>
      <c r="O15"/>
      <c r="P15" s="156" t="str">
        <f>+INDEX($AD$9:$AD$16,MATCH(4,$AO$9:$AO$15,0))</f>
        <v>Chile</v>
      </c>
      <c r="Q15" s="157" t="e" vm="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6</v>
      </c>
      <c r="Y15" s="161">
        <f>+W15-X15</f>
        <v>-3</v>
      </c>
      <c r="Z15" s="60"/>
      <c r="AA15" s="59"/>
      <c r="AB15" s="245"/>
      <c r="AC15" s="53">
        <v>4</v>
      </c>
      <c r="AD15" s="251" t="str">
        <f>+VLOOKUP($AD$5&amp;AC15,Aux!S:T,2,0)</f>
        <v>Canadá</v>
      </c>
      <c r="AE15" s="53">
        <f t="shared" si="0"/>
        <v>3</v>
      </c>
      <c r="AF15" s="53">
        <f t="shared" si="1"/>
        <v>6</v>
      </c>
      <c r="AG15" s="53" cm="1">
        <f t="array" ref="AG15">SUM(($G$9:$G$22=$AD15)*($H$9:$H$22&gt;$J$9:$J$22)+($K$9:$K$22=$AD15)*($H$9:$H$22&lt;$J$9:$J$22))</f>
        <v>2</v>
      </c>
      <c r="AH15" s="53" cm="1">
        <f t="array" ref="AH15">SUM(($G$9:$G$22=$AD15)*($H$9:$H$22=$J$9:$J$22)*($H$9:$H$22&lt;&gt;"")+($K$9:$K$22=$AD15)*($H$9:$H$22=$J$9:$J$22)*($H$9:$H$22&lt;&gt;""))</f>
        <v>0</v>
      </c>
      <c r="AI15" s="53" cm="1">
        <f t="array" ref="AI15">SUM(($G$9:$G$22=$AD15)*($H$9:$H$22&lt;$J$9:$J$22)+($K$9:$K$22=$AD15)*($H$9:$H$22&gt;$J$9:$J$22))</f>
        <v>1</v>
      </c>
      <c r="AJ15" s="53" cm="1">
        <f t="array" ref="AJ15">SUM(($G$9:$G$22=$AD15)*($H$9:$H$22)+($K$9:$K$22=$AD15)*($J$9:$J$22))</f>
        <v>6</v>
      </c>
      <c r="AK15" s="53" cm="1">
        <f t="array" ref="AK15">SUM(($G$9:$G$22=$AD15)*($J$9:$J$22)+($K$9:$K$22=$AD15)*($H$9:$H$22))</f>
        <v>6</v>
      </c>
      <c r="AL15" s="252">
        <f>+SUMIFS($AR15:$AU15,$AR$5:$AU$5,AF15)</f>
        <v>0</v>
      </c>
      <c r="AM15" s="252">
        <f>+AJ15-AK15</f>
        <v>0</v>
      </c>
      <c r="AN15" s="53">
        <f>+_xlfn.RANK.EQ(AF15,$AF$9:$AF$15)+_xlfn.RANK.EQ(AM15,$AM$9:$AM$15)/10+_xlfn.RANK.EQ(AJ15,$AJ$9:$AJ$15)/100+_xlfn.RANK.EQ(AL15,$AL$9:$AL$15)/1000+ROW()/1000000</f>
        <v>2.2110149999999997</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17</v>
      </c>
      <c r="C17" s="28">
        <f>+VLOOKUP(B17,Aux!F:AB,4,0)</f>
        <v>45472.833333333336</v>
      </c>
      <c r="D17" s="29">
        <f>+VLOOKUP(B17,Aux!F:AB,4,0)</f>
        <v>45472.833333333336</v>
      </c>
      <c r="E17" s="169"/>
      <c r="F17" s="169" t="e" vm="1">
        <f>IFERROR(VLOOKUP(G17,Aux!$A:$C,3,0),"")</f>
        <v>#VALUE!</v>
      </c>
      <c r="G17" s="30" t="str">
        <f>+VLOOKUP(B17,Aux!F:S,5,0)</f>
        <v>Argentina</v>
      </c>
      <c r="H17" s="258">
        <v>1</v>
      </c>
      <c r="I17" s="257" t="s">
        <v>41</v>
      </c>
      <c r="J17" s="258">
        <v>1</v>
      </c>
      <c r="K17" s="38" t="str">
        <f>+VLOOKUP(B17,Aux!F:S,6,0)</f>
        <v>Perú</v>
      </c>
      <c r="L17" s="169" t="e" vm="3">
        <f>IFERROR(VLOOKUP(K17,Aux!$A:$C,3,0),"")</f>
        <v>#VALUE!</v>
      </c>
      <c r="M17" s="38"/>
      <c r="N17" s="46" t="str">
        <f>+_xlfn.XLOOKUP(B17,Aux!F:F,Aux!L:L)</f>
        <v>Hard Rock Stadium - MIAMI, FL</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18</v>
      </c>
      <c r="C19" s="28">
        <f>+VLOOKUP(B19,Aux!F:AB,4,0)</f>
        <v>45472.833333333336</v>
      </c>
      <c r="D19" s="29">
        <f>+VLOOKUP(B19,Aux!F:AB,4,0)</f>
        <v>45472.833333333336</v>
      </c>
      <c r="E19" s="169"/>
      <c r="F19" s="169" t="e" vm="2">
        <f>IFERROR(VLOOKUP(G19,Aux!$A:$C,3,0),"")</f>
        <v>#VALUE!</v>
      </c>
      <c r="G19" s="30" t="str">
        <f>+VLOOKUP(B19,Aux!F:S,5,0)</f>
        <v>Canadá</v>
      </c>
      <c r="H19" s="258">
        <v>3</v>
      </c>
      <c r="I19" s="257" t="s">
        <v>41</v>
      </c>
      <c r="J19" s="258">
        <v>2</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P6:Y6"/>
    <mergeCell ref="P17:Y17"/>
    <mergeCell ref="E6:M6"/>
    <mergeCell ref="K23:K24"/>
  </mergeCells>
  <conditionalFormatting sqref="H9 H11 H13 H15 H17 H19">
    <cfRule type="expression" dxfId="133" priority="3">
      <formula>#REF!="P"</formula>
    </cfRule>
    <cfRule type="expression" dxfId="132" priority="4">
      <formula>#REF!="E"</formula>
    </cfRule>
    <cfRule type="expression" dxfId="131" priority="5">
      <formula>#REF!="G"</formula>
    </cfRule>
  </conditionalFormatting>
  <conditionalFormatting sqref="J9 J11 J13 J15 J17 J19">
    <cfRule type="expression" dxfId="130" priority="6">
      <formula>#REF!="P"</formula>
    </cfRule>
    <cfRule type="expression" dxfId="129" priority="7">
      <formula>#REF!="E"</formula>
    </cfRule>
    <cfRule type="expression" dxfId="128" priority="8">
      <formula>#REF!="G"</formula>
    </cfRule>
  </conditionalFormatting>
  <conditionalFormatting sqref="K22:K27">
    <cfRule type="expression" dxfId="127" priority="1">
      <formula>$L22&lt;&gt;""</formula>
    </cfRule>
    <cfRule type="expression" dxfId="126"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topLeftCell="K9" zoomScaleNormal="100" workbookViewId="0">
      <selection activeCell="J19" sqref="J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6</v>
      </c>
      <c r="AT5" s="245">
        <f>+VLOOKUP(AT7,$AD$9:$AF$15,3,0)</f>
        <v>9</v>
      </c>
      <c r="AU5" s="245">
        <f>+VLOOKUP(AU7,$AD$9:$AF$15,3,0)</f>
        <v>0</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5</v>
      </c>
      <c r="X9" s="161">
        <f>+VLOOKUP($P9,$AD$9:$AK$15,8,0)</f>
        <v>2</v>
      </c>
      <c r="Y9" s="161">
        <f>+W9-X9</f>
        <v>3</v>
      </c>
      <c r="Z9" s="60"/>
      <c r="AA9" s="57"/>
      <c r="AB9" s="53"/>
      <c r="AC9" s="53">
        <v>1</v>
      </c>
      <c r="AD9" s="251" t="str">
        <f>+VLOOKUP($AD$5&amp;AC9,Aux!S:T,2,0)</f>
        <v>México</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5</v>
      </c>
      <c r="AL9" s="252">
        <f>+SUMIFS($AR9:$AU9,$AR$5:$AU$5,AF9)</f>
        <v>0</v>
      </c>
      <c r="AM9" s="252">
        <f>+AJ9-AK9</f>
        <v>-2</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4</v>
      </c>
      <c r="C11" s="28">
        <f>+VLOOKUP(B11,Aux!F:AB,4,0)</f>
        <v>45465.875000000007</v>
      </c>
      <c r="D11" s="29">
        <f>+VLOOKUP(B11,Aux!F:AB,4,0)</f>
        <v>45465.875000000007</v>
      </c>
      <c r="E11" s="169"/>
      <c r="F11" s="169" t="e" vm="7">
        <f>IFERROR(VLOOKUP(G11,Aux!$A:$C,3,0),"")</f>
        <v>#VALUE!</v>
      </c>
      <c r="G11" s="30" t="str">
        <f>+VLOOKUP(B11,Aux!F:S,5,0)</f>
        <v>México</v>
      </c>
      <c r="H11" s="258">
        <v>2</v>
      </c>
      <c r="I11" s="257" t="s">
        <v>41</v>
      </c>
      <c r="J11" s="258">
        <v>1</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3</v>
      </c>
      <c r="Y11" s="161">
        <f>+W11-X11</f>
        <v>3</v>
      </c>
      <c r="Z11" s="60"/>
      <c r="AA11" s="59"/>
      <c r="AB11" s="245"/>
      <c r="AC11" s="53">
        <v>2</v>
      </c>
      <c r="AD11" s="251" t="str">
        <f>+VLOOKUP($AD$5&amp;AC11,Aux!S:T,2,0)</f>
        <v>Ecuador</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6</v>
      </c>
      <c r="AK11" s="53" cm="1">
        <f t="array" ref="AK11">SUM(($G$9:$G$22=$AD11)*($J$9:$J$22)+($K$9:$K$22=$AD11)*($H$9:$H$22))</f>
        <v>3</v>
      </c>
      <c r="AL11" s="252">
        <f>+SUMIFS($AR11:$AU11,$AR$5:$AU$5,AF11)</f>
        <v>0</v>
      </c>
      <c r="AM11" s="252">
        <f>+AJ11-AK11</f>
        <v>3</v>
      </c>
      <c r="AN11" s="53">
        <f>+_xlfn.RANK.EQ(AF11,$AF$9:$AF$15)+_xlfn.RANK.EQ(AM11,$AM$9:$AM$15)/10+_xlfn.RANK.EQ(AJ11,$AJ$9:$AJ$15)/100+_xlfn.RANK.EQ(AL11,$AL$9:$AL$15)/1000+ROW()/1000000</f>
        <v>2.111011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11</v>
      </c>
      <c r="C13" s="28">
        <f>+VLOOKUP(B13,Aux!F:AB,4,0)</f>
        <v>45469.75</v>
      </c>
      <c r="D13" s="29">
        <f>+VLOOKUP(B13,Aux!F:AB,4,0)</f>
        <v>45469.75</v>
      </c>
      <c r="E13" s="169"/>
      <c r="F13" s="169" t="e" vm="5">
        <f>IFERROR(VLOOKUP(G13,Aux!$A:$C,3,0),"")</f>
        <v>#VALUE!</v>
      </c>
      <c r="G13" s="30" t="str">
        <f>+VLOOKUP(B13,Aux!F:S,5,0)</f>
        <v>Ecuador</v>
      </c>
      <c r="H13" s="258">
        <v>2</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5</v>
      </c>
      <c r="Y13" s="161">
        <f>+W13-X13</f>
        <v>-2</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5</v>
      </c>
      <c r="AK13" s="53" cm="1">
        <f t="array" ref="AK13">SUM(($G$9:$G$22=$AD13)*($J$9:$J$22)+($K$9:$K$22=$AD13)*($H$9:$H$22))</f>
        <v>2</v>
      </c>
      <c r="AL13" s="252">
        <f>+SUMIFS($AR13:$AU13,$AR$5:$AU$5,AF13)</f>
        <v>0</v>
      </c>
      <c r="AM13" s="252">
        <f>+AJ13-AK13</f>
        <v>3</v>
      </c>
      <c r="AN13" s="53">
        <f>+_xlfn.RANK.EQ(AF13,$AF$9:$AF$15)+_xlfn.RANK.EQ(AM13,$AM$9:$AM$15)/10+_xlfn.RANK.EQ(AJ13,$AJ$9:$AJ$15)/100+_xlfn.RANK.EQ(AL13,$AL$9:$AL$15)/1000+ROW()/1000000</f>
        <v>1.121013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2</v>
      </c>
      <c r="X15" s="161">
        <f>+VLOOKUP($P15,$AD$9:$AK$15,8,0)</f>
        <v>6</v>
      </c>
      <c r="Y15" s="161">
        <f>+W15-X15</f>
        <v>-4</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2</v>
      </c>
      <c r="AK15" s="53" cm="1">
        <f t="array" ref="AK15">SUM(($G$9:$G$22=$AD15)*($J$9:$J$22)+($K$9:$K$22=$AD15)*($H$9:$H$22))</f>
        <v>6</v>
      </c>
      <c r="AL15" s="252">
        <f>+SUMIFS($AR15:$AU15,$AR$5:$AU$5,AF15)</f>
        <v>0</v>
      </c>
      <c r="AM15" s="252">
        <f>+AJ15-AK15</f>
        <v>-4</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19</v>
      </c>
      <c r="C17" s="28">
        <f>+VLOOKUP(B17,Aux!F:AB,4,0)</f>
        <v>45473.833333333336</v>
      </c>
      <c r="D17" s="29">
        <f>+VLOOKUP(B17,Aux!F:AB,4,0)</f>
        <v>45473.833333333336</v>
      </c>
      <c r="E17" s="169"/>
      <c r="F17" s="169" t="e" vm="7">
        <f>IFERROR(VLOOKUP(G17,Aux!$A:$C,3,0),"")</f>
        <v>#VALUE!</v>
      </c>
      <c r="G17" s="30" t="str">
        <f>+VLOOKUP(B17,Aux!F:S,5,0)</f>
        <v>México</v>
      </c>
      <c r="H17" s="258">
        <v>1</v>
      </c>
      <c r="I17" s="257" t="s">
        <v>41</v>
      </c>
      <c r="J17" s="258">
        <v>3</v>
      </c>
      <c r="K17" s="38" t="str">
        <f>+VLOOKUP(B17,Aux!F:S,6,0)</f>
        <v>Ecuador</v>
      </c>
      <c r="L17" s="169" t="e" vm="5">
        <f>IFERROR(VLOOKUP(K17,Aux!$A:$C,3,0),"")</f>
        <v>#VALUE!</v>
      </c>
      <c r="M17" s="38"/>
      <c r="N17" s="46" t="str">
        <f>+_xlfn.XLOOKUP(B17,Aux!F:F,Aux!L:L)</f>
        <v>State Farm Stadium - GLENDALE, AZ</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20</v>
      </c>
      <c r="C19" s="28">
        <f>+VLOOKUP(B19,Aux!F:AB,4,0)</f>
        <v>45473.833333333336</v>
      </c>
      <c r="D19" s="29">
        <f>+VLOOKUP(B19,Aux!F:AB,4,0)</f>
        <v>45473.833333333336</v>
      </c>
      <c r="E19" s="169"/>
      <c r="F19" s="169" t="e" vm="8">
        <f>IFERROR(VLOOKUP(G19,Aux!$A:$C,3,0),"")</f>
        <v>#VALUE!</v>
      </c>
      <c r="G19" s="30" t="str">
        <f>+VLOOKUP(B19,Aux!F:S,5,0)</f>
        <v>Jamaica</v>
      </c>
      <c r="H19" s="258">
        <v>1</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25" priority="3">
      <formula>#REF!="P"</formula>
    </cfRule>
    <cfRule type="expression" dxfId="124" priority="4">
      <formula>#REF!="E"</formula>
    </cfRule>
    <cfRule type="expression" dxfId="123" priority="5">
      <formula>#REF!="G"</formula>
    </cfRule>
  </conditionalFormatting>
  <conditionalFormatting sqref="J9 J11 J13 J15 J17 J19">
    <cfRule type="expression" dxfId="122" priority="6">
      <formula>#REF!="P"</formula>
    </cfRule>
    <cfRule type="expression" dxfId="121" priority="7">
      <formula>#REF!="E"</formula>
    </cfRule>
    <cfRule type="expression" dxfId="120" priority="8">
      <formula>#REF!="G"</formula>
    </cfRule>
  </conditionalFormatting>
  <conditionalFormatting sqref="K22:K27">
    <cfRule type="expression" dxfId="119" priority="1">
      <formula>$L22&lt;&gt;""</formula>
    </cfRule>
    <cfRule type="expression" dxfId="118"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topLeftCell="G17" zoomScaleNormal="100" workbookViewId="0">
      <selection activeCell="K19" sqref="K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8</v>
      </c>
      <c r="X9" s="161">
        <f>+VLOOKUP($P9,$AD$9:$AK$15,8,0)</f>
        <v>2</v>
      </c>
      <c r="Y9" s="161">
        <f>+W9-X9</f>
        <v>6</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6</v>
      </c>
      <c r="AK9" s="53" cm="1">
        <f t="array" ref="AK9">SUM(($G$9:$G$22=$AD9)*($J$9:$J$22)+($K$9:$K$22=$AD9)*($H$9:$H$22))</f>
        <v>3</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3</v>
      </c>
      <c r="Y11" s="161">
        <f>+W11-X11</f>
        <v>3</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2</v>
      </c>
      <c r="AL11" s="252">
        <f>+SUMIFS($AR11:$AU11,$AR$5:$AU$5,AF11)</f>
        <v>0</v>
      </c>
      <c r="AM11" s="252">
        <f>+AJ11-AK11</f>
        <v>6</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13</v>
      </c>
      <c r="C13" s="28">
        <f>+VLOOKUP(B13,Aux!F:AB,4,0)</f>
        <v>45470.75</v>
      </c>
      <c r="D13" s="29">
        <f>+VLOOKUP(B13,Aux!F:AB,4,0)</f>
        <v>45470.75</v>
      </c>
      <c r="E13" s="169"/>
      <c r="F13" s="169" t="e" vm="12">
        <f>IFERROR(VLOOKUP(G13,Aux!$A:$C,3,0),"")</f>
        <v>#VALUE!</v>
      </c>
      <c r="G13" s="30" t="str">
        <f>+VLOOKUP(B13,Aux!F:S,5,0)</f>
        <v>Panamá</v>
      </c>
      <c r="H13" s="258">
        <v>1</v>
      </c>
      <c r="I13" s="257" t="s">
        <v>41</v>
      </c>
      <c r="J13" s="258">
        <v>3</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2</v>
      </c>
      <c r="X13" s="161">
        <f>+VLOOKUP($P13,$AD$9:$AK$15,8,0)</f>
        <v>6</v>
      </c>
      <c r="Y13" s="161">
        <f>+W13-X13</f>
        <v>-4</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2</v>
      </c>
      <c r="AK15" s="53" cm="1">
        <f t="array" ref="AK15">SUM(($G$9:$G$22=$AD15)*($J$9:$J$22)+($K$9:$K$22=$AD15)*($H$9:$H$22))</f>
        <v>6</v>
      </c>
      <c r="AL15" s="252">
        <f>+SUMIFS($AR15:$AU15,$AR$5:$AU$5,AF15)</f>
        <v>0</v>
      </c>
      <c r="AM15" s="252">
        <f>+AJ15-AK15</f>
        <v>-4</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22</v>
      </c>
      <c r="C19" s="28">
        <f>+VLOOKUP(B19,Aux!F:AB,4,0)</f>
        <v>45474.875</v>
      </c>
      <c r="D19" s="29">
        <f>+VLOOKUP(B19,Aux!F:AB,4,0)</f>
        <v>45474.875</v>
      </c>
      <c r="E19" s="169"/>
      <c r="F19" s="169" t="e" vm="10">
        <f>IFERROR(VLOOKUP(G19,Aux!$A:$C,3,0),"")</f>
        <v>#VALUE!</v>
      </c>
      <c r="G19" s="30" t="str">
        <f>+VLOOKUP(B19,Aux!F:S,5,0)</f>
        <v>Bolivia</v>
      </c>
      <c r="H19" s="258">
        <v>2</v>
      </c>
      <c r="I19" s="257" t="s">
        <v>41</v>
      </c>
      <c r="J19" s="258">
        <v>1</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17" priority="3">
      <formula>#REF!="P"</formula>
    </cfRule>
    <cfRule type="expression" dxfId="116" priority="4">
      <formula>#REF!="E"</formula>
    </cfRule>
    <cfRule type="expression" dxfId="115" priority="5">
      <formula>#REF!="G"</formula>
    </cfRule>
  </conditionalFormatting>
  <conditionalFormatting sqref="J9 J11 J13 J15 J17 J19">
    <cfRule type="expression" dxfId="114" priority="6">
      <formula>#REF!="P"</formula>
    </cfRule>
    <cfRule type="expression" dxfId="113" priority="7">
      <formula>#REF!="E"</formula>
    </cfRule>
    <cfRule type="expression" dxfId="112" priority="8">
      <formula>#REF!="G"</formula>
    </cfRule>
  </conditionalFormatting>
  <conditionalFormatting sqref="K22:K27">
    <cfRule type="expression" dxfId="111" priority="1">
      <formula>$L22&lt;&gt;""</formula>
    </cfRule>
    <cfRule type="expression" dxfId="110"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topLeftCell="G7" zoomScaleNormal="100" workbookViewId="0">
      <selection activeCell="J19" sqref="J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3</v>
      </c>
      <c r="AU5" s="245">
        <f>+VLOOKUP(AU7,$AD$9:$AF$15,3,0)</f>
        <v>0</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0</v>
      </c>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7</v>
      </c>
      <c r="T9" s="160">
        <f>+VLOOKUP($P9,$AD$9:$AK$15,4,0)</f>
        <v>2</v>
      </c>
      <c r="U9" s="160">
        <f>+VLOOKUP($P9,$AD$9:$AK$15,5,0)</f>
        <v>1</v>
      </c>
      <c r="V9" s="160">
        <f>+VLOOKUP($P9,$AD$9:$AK$15,6,0)</f>
        <v>0</v>
      </c>
      <c r="W9" s="161">
        <f>+VLOOKUP($P9,$AD$9:$AK$15,7,0)</f>
        <v>7</v>
      </c>
      <c r="X9" s="161">
        <f>+VLOOKUP($P9,$AD$9:$AK$15,8,0)</f>
        <v>2</v>
      </c>
      <c r="Y9" s="161">
        <f>+W9-X9</f>
        <v>5</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7</v>
      </c>
      <c r="AK9" s="53" cm="1">
        <f t="array" ref="AK9">SUM(($G$9:$G$22=$AD9)*($J$9:$J$22)+($K$9:$K$22=$AD9)*($H$9:$H$22))</f>
        <v>2</v>
      </c>
      <c r="AL9" s="252">
        <f>+SUMIFS($AR9:$AU9,$AR$5:$AU$5,AF9)</f>
        <v>100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304</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8</v>
      </c>
      <c r="C11" s="28">
        <f>+VLOOKUP(B11,Aux!F:AB,4,0)</f>
        <v>45467.875</v>
      </c>
      <c r="D11" s="29">
        <f>+VLOOKUP(B11,Aux!F:AB,4,0)</f>
        <v>45467.875</v>
      </c>
      <c r="E11" s="169"/>
      <c r="F11" s="169" t="e" vm="15">
        <f>IFERROR(VLOOKUP(G11,Aux!$A:$C,3,0),"")</f>
        <v>#VALUE!</v>
      </c>
      <c r="G11" s="30" t="str">
        <f>+VLOOKUP(B11,Aux!F:S,5,0)</f>
        <v>Brasil</v>
      </c>
      <c r="H11" s="258">
        <v>4</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7</v>
      </c>
      <c r="T11" s="160">
        <f>+VLOOKUP($P11,$AD$9:$AK$15,4,0)</f>
        <v>2</v>
      </c>
      <c r="U11" s="160">
        <f>+VLOOKUP($P11,$AD$9:$AK$15,5,0)</f>
        <v>1</v>
      </c>
      <c r="V11" s="160">
        <f>+VLOOKUP($P11,$AD$9:$AK$15,6,0)</f>
        <v>0</v>
      </c>
      <c r="W11" s="161">
        <f>+VLOOKUP($P11,$AD$9:$AK$15,7,0)</f>
        <v>6</v>
      </c>
      <c r="X11" s="161">
        <f>+VLOOKUP($P11,$AD$9:$AK$15,8,0)</f>
        <v>2</v>
      </c>
      <c r="Y11" s="161">
        <f>+W11-X11</f>
        <v>4</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100</v>
      </c>
      <c r="AM11" s="252">
        <f>+AJ11-AK11</f>
        <v>4</v>
      </c>
      <c r="AN11" s="53">
        <f>+_xlfn.RANK.EQ(AF11,$AF$9:$AF$15)+_xlfn.RANK.EQ(AM11,$AM$9:$AM$15)/10+_xlfn.RANK.EQ(AJ11,$AJ$9:$AJ$15)/100+_xlfn.RANK.EQ(AL11,$AL$9:$AL$15)/1000+ROW()/1000000</f>
        <v>1.2210109999999998</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15</v>
      </c>
      <c r="C13" s="28">
        <f>+VLOOKUP(B13,Aux!F:AB,4,0)</f>
        <v>45471.75</v>
      </c>
      <c r="D13" s="29">
        <f>+VLOOKUP(B13,Aux!F:AB,4,0)</f>
        <v>45471.75</v>
      </c>
      <c r="E13" s="169"/>
      <c r="F13" s="169" t="e" vm="13">
        <f>IFERROR(VLOOKUP(G13,Aux!$A:$C,3,0),"")</f>
        <v>#VALUE!</v>
      </c>
      <c r="G13" s="30" t="str">
        <f>+VLOOKUP(B13,Aux!F:S,5,0)</f>
        <v>Colombia</v>
      </c>
      <c r="H13" s="258">
        <v>3</v>
      </c>
      <c r="I13" s="257" t="s">
        <v>41</v>
      </c>
      <c r="J13" s="258">
        <v>1</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5</v>
      </c>
      <c r="Y13" s="161">
        <f>+W13-X13</f>
        <v>-2</v>
      </c>
      <c r="Z13" s="60"/>
      <c r="AA13" s="57"/>
      <c r="AB13" s="53"/>
      <c r="AC13" s="53">
        <v>3</v>
      </c>
      <c r="AD13" s="251" t="str">
        <f>+VLOOKUP($AD$5&amp;AC13,Aux!S:T,2,0)</f>
        <v>Paraguay</v>
      </c>
      <c r="AE13" s="53">
        <f t="shared" ref="AE13" si="3">+AG13+AH13+AI13</f>
        <v>3</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3</v>
      </c>
      <c r="AK13" s="53" cm="1">
        <f t="array" ref="AK13">SUM(($G$9:$G$22=$AD13)*($J$9:$J$22)+($K$9:$K$22=$AD13)*($H$9:$H$22))</f>
        <v>5</v>
      </c>
      <c r="AL13" s="252">
        <f>+SUMIFS($AR13:$AU13,$AR$5:$AU$5,AF13)</f>
        <v>0</v>
      </c>
      <c r="AM13" s="252">
        <f>+AJ13-AK13</f>
        <v>-2</v>
      </c>
      <c r="AN13" s="53">
        <f>+_xlfn.RANK.EQ(AF13,$AF$9:$AF$15)+_xlfn.RANK.EQ(AM13,$AM$9:$AM$15)/10+_xlfn.RANK.EQ(AJ13,$AJ$9:$AJ$15)/100+_xlfn.RANK.EQ(AL13,$AL$9:$AL$15)/1000+ROW()/1000000</f>
        <v>3.3330129999999998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3</v>
      </c>
      <c r="W15" s="161">
        <f>+VLOOKUP($P15,$AD$9:$AK$15,7,0)</f>
        <v>2</v>
      </c>
      <c r="X15" s="161">
        <f>+VLOOKUP($P15,$AD$9:$AK$15,8,0)</f>
        <v>9</v>
      </c>
      <c r="Y15" s="161">
        <f>+W15-X15</f>
        <v>-7</v>
      </c>
      <c r="Z15" s="60"/>
      <c r="AA15" s="59"/>
      <c r="AB15" s="245"/>
      <c r="AC15" s="53">
        <v>4</v>
      </c>
      <c r="AD15" s="251" t="str">
        <f>+VLOOKUP($AD$5&amp;AC15,Aux!S:T,2,0)</f>
        <v>Costa Rica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2</v>
      </c>
      <c r="AK15" s="53" cm="1">
        <f t="array" ref="AK15">SUM(($G$9:$G$22=$AD15)*($J$9:$J$22)+($K$9:$K$22=$AD15)*($H$9:$H$22))</f>
        <v>9</v>
      </c>
      <c r="AL15" s="252">
        <f>+SUMIFS($AR15:$AU15,$AR$5:$AU$5,AF15)</f>
        <v>0</v>
      </c>
      <c r="AM15" s="252">
        <f>+AJ15-AK15</f>
        <v>-7</v>
      </c>
      <c r="AN15" s="53">
        <f>+_xlfn.RANK.EQ(AF15,$AF$9:$AF$15)+_xlfn.RANK.EQ(AM15,$AM$9:$AM$15)/10+_xlfn.RANK.EQ(AJ15,$AJ$9:$AJ$15)/100+_xlfn.RANK.EQ(AL15,$AL$9:$AL$15)/1000+ROW()/1000000</f>
        <v>4.4430150000000008</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-4</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24</v>
      </c>
      <c r="C19" s="28">
        <f>+VLOOKUP(B19,Aux!F:AB,4,0)</f>
        <v>45475.875000000007</v>
      </c>
      <c r="D19" s="29">
        <f>+VLOOKUP(B19,Aux!F:AB,4,0)</f>
        <v>45475.875000000007</v>
      </c>
      <c r="E19" s="169"/>
      <c r="F19" s="169" t="e" vm="16">
        <f>IFERROR(VLOOKUP(G19,Aux!$A:$C,3,0),"")</f>
        <v>#VALUE!</v>
      </c>
      <c r="G19" s="30" t="str">
        <f>+VLOOKUP(B19,Aux!F:S,5,0)</f>
        <v>Costa Rica</v>
      </c>
      <c r="H19" s="258">
        <v>1</v>
      </c>
      <c r="I19" s="257" t="s">
        <v>41</v>
      </c>
      <c r="J19" s="258">
        <v>2</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09" priority="3">
      <formula>#REF!="P"</formula>
    </cfRule>
    <cfRule type="expression" dxfId="108" priority="4">
      <formula>#REF!="E"</formula>
    </cfRule>
    <cfRule type="expression" dxfId="107" priority="5">
      <formula>#REF!="G"</formula>
    </cfRule>
  </conditionalFormatting>
  <conditionalFormatting sqref="J9 J11 J13 J15 J17 J19">
    <cfRule type="expression" dxfId="106" priority="6">
      <formula>#REF!="P"</formula>
    </cfRule>
    <cfRule type="expression" dxfId="105" priority="7">
      <formula>#REF!="E"</formula>
    </cfRule>
    <cfRule type="expression" dxfId="104" priority="8">
      <formula>#REF!="G"</formula>
    </cfRule>
  </conditionalFormatting>
  <conditionalFormatting sqref="K22:K27">
    <cfRule type="expression" dxfId="103" priority="1">
      <formula>$L22&lt;&gt;""</formula>
    </cfRule>
    <cfRule type="expression" dxfId="102"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topLeftCell="J6" zoomScaleNormal="100" workbookViewId="0">
      <selection activeCell="K18" sqref="K18"/>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1:19" ht="18" customHeight="1" x14ac:dyDescent="0.2">
      <c r="C7" s="73" t="s">
        <v>34</v>
      </c>
      <c r="D7" s="74" t="s">
        <v>35</v>
      </c>
      <c r="E7" s="74" t="s">
        <v>36</v>
      </c>
      <c r="F7" s="179"/>
      <c r="G7" s="179"/>
      <c r="H7" s="288" t="s">
        <v>61</v>
      </c>
      <c r="I7" s="288"/>
      <c r="J7" s="288"/>
      <c r="K7" s="288"/>
      <c r="L7" s="288"/>
      <c r="M7" s="288"/>
      <c r="N7" s="288"/>
      <c r="O7" s="177"/>
      <c r="P7" s="177"/>
      <c r="Q7" s="75" t="s">
        <v>38</v>
      </c>
      <c r="S7" s="76" t="s">
        <v>49</v>
      </c>
    </row>
    <row r="8" spans="1:19" ht="15" customHeight="1" thickBot="1" x14ac:dyDescent="0.25">
      <c r="C8" s="5"/>
      <c r="D8" s="69"/>
      <c r="E8" s="70"/>
      <c r="F8" s="6"/>
      <c r="G8" s="6"/>
      <c r="H8" s="6"/>
      <c r="I8" s="6"/>
      <c r="J8" s="6"/>
      <c r="K8" s="6"/>
      <c r="L8" s="6"/>
      <c r="M8" s="6"/>
      <c r="N8" s="6"/>
      <c r="O8" s="6"/>
      <c r="P8" s="6"/>
      <c r="Q8" s="5"/>
    </row>
    <row r="9" spans="1:19" ht="15" customHeight="1" thickBot="1" x14ac:dyDescent="0.25">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0</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
      <c r="C10" s="15"/>
      <c r="D10" s="19"/>
      <c r="E10" s="20"/>
      <c r="F10" s="181"/>
      <c r="G10" s="181"/>
      <c r="H10" s="21" t="s">
        <v>51</v>
      </c>
      <c r="I10" s="6"/>
      <c r="J10" s="9"/>
      <c r="K10" s="22" t="s">
        <v>41</v>
      </c>
      <c r="L10" s="9"/>
      <c r="M10" s="23"/>
      <c r="N10" s="23"/>
      <c r="O10" s="23"/>
      <c r="P10" s="23"/>
      <c r="Q10" s="175"/>
      <c r="S10" s="24"/>
    </row>
    <row r="11" spans="1:19" ht="15" customHeight="1" thickBot="1" x14ac:dyDescent="0.25">
      <c r="C11" s="15"/>
      <c r="D11" s="19"/>
      <c r="E11" s="20"/>
      <c r="F11" s="181"/>
      <c r="G11" s="181"/>
      <c r="H11" s="23"/>
      <c r="I11" s="6"/>
      <c r="J11" s="6"/>
      <c r="K11" s="8"/>
      <c r="L11" s="6"/>
      <c r="M11" s="6"/>
      <c r="N11" s="23"/>
      <c r="O11" s="23"/>
      <c r="P11" s="23"/>
      <c r="Q11" s="175"/>
      <c r="S11" s="24"/>
    </row>
    <row r="12" spans="1:19" ht="15" customHeight="1" thickBot="1" x14ac:dyDescent="0.25">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2</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Venezuela</v>
      </c>
    </row>
    <row r="13" spans="1:19" ht="15" customHeight="1" x14ac:dyDescent="0.2">
      <c r="C13" s="15"/>
      <c r="D13" s="19"/>
      <c r="E13" s="20"/>
      <c r="F13" s="181"/>
      <c r="G13" s="181"/>
      <c r="H13" s="21" t="s">
        <v>51</v>
      </c>
      <c r="I13" s="6"/>
      <c r="J13" s="9"/>
      <c r="K13" s="22" t="s">
        <v>41</v>
      </c>
      <c r="L13" s="9"/>
      <c r="M13" s="23"/>
      <c r="N13" s="23"/>
      <c r="O13" s="23"/>
      <c r="P13" s="23"/>
      <c r="Q13" s="175"/>
      <c r="S13" s="24"/>
    </row>
    <row r="14" spans="1:19" ht="15" customHeight="1" thickBot="1" x14ac:dyDescent="0.25">
      <c r="C14" s="15"/>
      <c r="D14" s="19"/>
      <c r="E14" s="20"/>
      <c r="F14" s="181"/>
      <c r="G14" s="181"/>
      <c r="H14" s="23"/>
      <c r="I14" s="6"/>
      <c r="J14" s="6"/>
      <c r="K14" s="8"/>
      <c r="L14" s="6"/>
      <c r="M14" s="6"/>
      <c r="N14" s="23"/>
      <c r="O14" s="23"/>
      <c r="P14" s="23"/>
      <c r="Q14" s="175"/>
      <c r="S14" s="24"/>
    </row>
    <row r="15" spans="1:19" ht="15" customHeight="1" thickBot="1" x14ac:dyDescent="0.25">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v>3</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Brasil</v>
      </c>
    </row>
    <row r="16" spans="1:19" ht="15" customHeight="1" x14ac:dyDescent="0.2">
      <c r="C16" s="15"/>
      <c r="D16" s="19"/>
      <c r="E16" s="20"/>
      <c r="F16" s="181"/>
      <c r="G16" s="181"/>
      <c r="H16" s="21" t="s">
        <v>51</v>
      </c>
      <c r="I16" s="6"/>
      <c r="J16" s="9"/>
      <c r="K16" s="22" t="s">
        <v>41</v>
      </c>
      <c r="L16" s="9"/>
      <c r="M16" s="23"/>
      <c r="N16" s="23"/>
      <c r="O16" s="23"/>
      <c r="P16" s="23"/>
      <c r="Q16" s="175"/>
      <c r="S16" s="24"/>
    </row>
    <row r="17" spans="1:19" ht="15" customHeight="1" thickBot="1" x14ac:dyDescent="0.25">
      <c r="C17" s="15"/>
      <c r="D17" s="19"/>
      <c r="E17" s="20"/>
      <c r="F17" s="181"/>
      <c r="G17" s="181"/>
      <c r="H17" s="23"/>
      <c r="I17" s="6"/>
      <c r="J17" s="6"/>
      <c r="K17" s="8"/>
      <c r="L17" s="6"/>
      <c r="M17" s="6"/>
      <c r="N17" s="23"/>
      <c r="O17" s="23"/>
      <c r="P17" s="23"/>
      <c r="Q17" s="175"/>
      <c r="S17" s="24"/>
    </row>
    <row r="18" spans="1:19" ht="15" customHeight="1" thickBot="1" x14ac:dyDescent="0.25">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2</v>
      </c>
      <c r="K18" s="8" t="s">
        <v>41</v>
      </c>
      <c r="L18" s="16">
        <v>1</v>
      </c>
      <c r="M18" s="6"/>
      <c r="N18" s="17" t="str" cm="1">
        <f t="array" aca="1" ref="N18" ca="1">INDIRECT(RIGHT(B18,1)&amp;"!P"&amp;7+LEFT(B18,1)*2)</f>
        <v>Colombia</v>
      </c>
      <c r="O18" s="180" t="e" vm="13">
        <f ca="1">IFERROR(VLOOKUP(N18,Aux!$A:$C,3,0),"")</f>
        <v>#VALUE!</v>
      </c>
      <c r="P18" s="17"/>
      <c r="Q18" s="175" t="str">
        <f>+VLOOKUP(C18,Aux!F:L,7,0)</f>
        <v>State Farm Stadium - GLENDALE, AZ</v>
      </c>
      <c r="S18" s="18" t="str">
        <f ca="1">IF(OR(J18="",L18=""),"",IF(J18&gt;L18,H18,IF(J18&lt;L18,N18,IF(OR(J19="",L19=""),"",IF(J19&gt;L19,H18,N18)))))</f>
        <v>Uruguay</v>
      </c>
    </row>
    <row r="19" spans="1:19" ht="15" customHeight="1" x14ac:dyDescent="0.2">
      <c r="C19" s="15"/>
      <c r="D19" s="19"/>
      <c r="E19" s="20"/>
      <c r="F19" s="181"/>
      <c r="G19" s="181"/>
      <c r="H19" s="21" t="s">
        <v>51</v>
      </c>
      <c r="I19" s="6"/>
      <c r="J19" s="9"/>
      <c r="K19" s="22" t="s">
        <v>41</v>
      </c>
      <c r="L19" s="9"/>
      <c r="M19" s="23"/>
      <c r="N19" s="23"/>
      <c r="O19" s="23"/>
      <c r="P19" s="23"/>
      <c r="Q19" s="182"/>
      <c r="S19" s="24"/>
    </row>
    <row r="20" spans="1:19" ht="15" customHeight="1" x14ac:dyDescent="0.2">
      <c r="C20" s="11"/>
      <c r="D20" s="12"/>
      <c r="E20" s="13"/>
      <c r="F20" s="14"/>
      <c r="G20" s="14"/>
      <c r="H20" s="14"/>
      <c r="I20" s="14"/>
      <c r="J20" s="14"/>
      <c r="K20" s="26"/>
      <c r="L20" s="14"/>
      <c r="M20" s="14"/>
      <c r="N20" s="14"/>
      <c r="O20" s="14"/>
      <c r="P20" s="14"/>
      <c r="Q20" s="11"/>
    </row>
    <row r="22" spans="1:19" ht="15" customHeight="1" thickBot="1" x14ac:dyDescent="0.25">
      <c r="S22" s="259"/>
    </row>
    <row r="23" spans="1:19" ht="15" customHeight="1" x14ac:dyDescent="0.2">
      <c r="S23" s="286" t="s">
        <v>193</v>
      </c>
    </row>
    <row r="24" spans="1:19" ht="15" customHeight="1" thickBot="1" x14ac:dyDescent="0.25">
      <c r="S24" s="287"/>
    </row>
    <row r="25" spans="1:19" ht="15" customHeight="1" x14ac:dyDescent="0.2">
      <c r="S25" s="276" t="s">
        <v>194</v>
      </c>
    </row>
    <row r="26" spans="1:19" ht="15" customHeight="1" thickBot="1" x14ac:dyDescent="0.25">
      <c r="S26" s="277"/>
    </row>
    <row r="27" spans="1:19" ht="15" customHeight="1" x14ac:dyDescent="0.2">
      <c r="S27" s="50"/>
    </row>
  </sheetData>
  <mergeCells count="3">
    <mergeCell ref="H7:N7"/>
    <mergeCell ref="S23:S24"/>
    <mergeCell ref="S25:S26"/>
  </mergeCells>
  <conditionalFormatting sqref="H10">
    <cfRule type="expression" dxfId="101" priority="19">
      <formula>IF(OR($J9="",$J9&lt;&gt;$L9),1,0)</formula>
    </cfRule>
  </conditionalFormatting>
  <conditionalFormatting sqref="H13">
    <cfRule type="expression" dxfId="100" priority="15">
      <formula>IF(OR($J12="",$J12&lt;&gt;$L12),1,0)</formula>
    </cfRule>
  </conditionalFormatting>
  <conditionalFormatting sqref="H16">
    <cfRule type="expression" dxfId="99" priority="11">
      <formula>IF(OR($J15="",$J15&lt;&gt;$L15),1,0)</formula>
    </cfRule>
  </conditionalFormatting>
  <conditionalFormatting sqref="H19">
    <cfRule type="expression" dxfId="98" priority="7">
      <formula>IF(OR($J18="",$J18&lt;&gt;$L18),1,0)</formula>
    </cfRule>
  </conditionalFormatting>
  <conditionalFormatting sqref="J9 J12 J15 J18">
    <cfRule type="expression" dxfId="97" priority="25">
      <formula>#REF!="G"</formula>
    </cfRule>
    <cfRule type="expression" dxfId="96" priority="24">
      <formula>#REF!="E"</formula>
    </cfRule>
    <cfRule type="expression" dxfId="95" priority="23">
      <formula>#REF!="P"</formula>
    </cfRule>
  </conditionalFormatting>
  <conditionalFormatting sqref="J10">
    <cfRule type="expression" dxfId="94" priority="22">
      <formula>IF(AND($J9&lt;&gt;"",$J9=$L9),1,0)</formula>
    </cfRule>
  </conditionalFormatting>
  <conditionalFormatting sqref="J13">
    <cfRule type="expression" dxfId="93" priority="18">
      <formula>IF(AND($J12&lt;&gt;"",$J12=$L12),1,0)</formula>
    </cfRule>
  </conditionalFormatting>
  <conditionalFormatting sqref="J16">
    <cfRule type="expression" dxfId="92" priority="14">
      <formula>IF(AND($J15&lt;&gt;"",$J15=$L15),1,0)</formula>
    </cfRule>
  </conditionalFormatting>
  <conditionalFormatting sqref="J19">
    <cfRule type="expression" dxfId="91" priority="10">
      <formula>IF(AND($J18&lt;&gt;"",$J18=$L18),1,0)</formula>
    </cfRule>
  </conditionalFormatting>
  <conditionalFormatting sqref="J10:L10">
    <cfRule type="expression" dxfId="90" priority="20">
      <formula>IF(OR($J9="",$J9&lt;&gt;$L9),1,0)</formula>
    </cfRule>
  </conditionalFormatting>
  <conditionalFormatting sqref="J13:L13">
    <cfRule type="expression" dxfId="89" priority="16">
      <formula>IF(OR($J12="",$J12&lt;&gt;$L12),1,0)</formula>
    </cfRule>
  </conditionalFormatting>
  <conditionalFormatting sqref="J16:L16">
    <cfRule type="expression" dxfId="88" priority="12">
      <formula>IF(OR($J15="",$J15&lt;&gt;$L15),1,0)</formula>
    </cfRule>
  </conditionalFormatting>
  <conditionalFormatting sqref="J19:L19">
    <cfRule type="expression" dxfId="87" priority="8">
      <formula>IF(OR($J18="",$J18&lt;&gt;$L18),1,0)</formula>
    </cfRule>
  </conditionalFormatting>
  <conditionalFormatting sqref="L9 L12 L15 L18">
    <cfRule type="expression" dxfId="86" priority="28">
      <formula>M9="G"</formula>
    </cfRule>
    <cfRule type="expression" dxfId="85" priority="26">
      <formula>M9="P"</formula>
    </cfRule>
    <cfRule type="expression" dxfId="84" priority="27">
      <formula>M9="E"</formula>
    </cfRule>
  </conditionalFormatting>
  <conditionalFormatting sqref="L10">
    <cfRule type="expression" dxfId="83" priority="21">
      <formula>IF(AND($J9&lt;&gt;"",$J9=$L9),1,0)</formula>
    </cfRule>
  </conditionalFormatting>
  <conditionalFormatting sqref="L13">
    <cfRule type="expression" dxfId="82" priority="17">
      <formula>IF(AND($J12&lt;&gt;"",$J12=$L12),1,0)</formula>
    </cfRule>
  </conditionalFormatting>
  <conditionalFormatting sqref="L16">
    <cfRule type="expression" dxfId="81" priority="13">
      <formula>IF(AND($J15&lt;&gt;"",$J15=$L15),1,0)</formula>
    </cfRule>
  </conditionalFormatting>
  <conditionalFormatting sqref="L19">
    <cfRule type="expression" dxfId="80" priority="9">
      <formula>IF(AND($J18&lt;&gt;"",$J18=$L18),1,0)</formula>
    </cfRule>
  </conditionalFormatting>
  <conditionalFormatting sqref="S9">
    <cfRule type="cellIs" dxfId="79" priority="6" operator="equal">
      <formula>"Suma los penales"</formula>
    </cfRule>
  </conditionalFormatting>
  <conditionalFormatting sqref="S12">
    <cfRule type="cellIs" dxfId="78" priority="5" operator="equal">
      <formula>"Suma los penales"</formula>
    </cfRule>
  </conditionalFormatting>
  <conditionalFormatting sqref="S15">
    <cfRule type="cellIs" dxfId="77" priority="4" operator="equal">
      <formula>"Suma los penales"</formula>
    </cfRule>
  </conditionalFormatting>
  <conditionalFormatting sqref="S18">
    <cfRule type="cellIs" dxfId="76" priority="3" operator="equal">
      <formula>"Suma los penales"</formula>
    </cfRule>
  </conditionalFormatting>
  <conditionalFormatting sqref="S22:S27">
    <cfRule type="expression" dxfId="75" priority="2">
      <formula>AND($L22&lt;&gt;"",$L23="")</formula>
    </cfRule>
    <cfRule type="expression" dxfId="74" priority="1">
      <formula>$L22&lt;&gt;""</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topLeftCell="L4" zoomScaleNormal="100" workbookViewId="0">
      <selection activeCell="L12" sqref="L12"/>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3:19" ht="18" customHeight="1" x14ac:dyDescent="0.2">
      <c r="C7" s="73" t="s">
        <v>34</v>
      </c>
      <c r="D7" s="74" t="s">
        <v>35</v>
      </c>
      <c r="E7" s="74" t="s">
        <v>36</v>
      </c>
      <c r="F7" s="179"/>
      <c r="G7" s="179"/>
      <c r="H7" s="288" t="s">
        <v>62</v>
      </c>
      <c r="I7" s="288"/>
      <c r="J7" s="288"/>
      <c r="K7" s="288"/>
      <c r="L7" s="288"/>
      <c r="M7" s="288"/>
      <c r="N7" s="288"/>
      <c r="O7" s="177"/>
      <c r="P7" s="177"/>
      <c r="Q7" s="75" t="s">
        <v>38</v>
      </c>
      <c r="S7" s="76" t="s">
        <v>49</v>
      </c>
    </row>
    <row r="8" spans="3:19" ht="15" customHeight="1" thickBot="1" x14ac:dyDescent="0.25">
      <c r="C8" s="5"/>
      <c r="D8" s="69"/>
      <c r="E8" s="70"/>
      <c r="F8" s="6"/>
      <c r="G8" s="6"/>
      <c r="H8" s="6"/>
      <c r="I8" s="6"/>
      <c r="J8" s="6"/>
      <c r="K8" s="6"/>
      <c r="L8" s="6"/>
      <c r="M8" s="6"/>
      <c r="N8" s="6"/>
      <c r="O8" s="6"/>
      <c r="P8" s="6"/>
      <c r="Q8" s="5"/>
    </row>
    <row r="9" spans="3:19" ht="15" customHeight="1" thickBot="1" x14ac:dyDescent="0.25">
      <c r="C9" s="15">
        <v>29</v>
      </c>
      <c r="D9" s="71">
        <f>+VLOOKUP(C9,Aux!F:Z,4,0)</f>
        <v>45482.833333333336</v>
      </c>
      <c r="E9" s="72">
        <f>+VLOOKUP(C9,Aux!F:Z,4,0)</f>
        <v>45482.833333333336</v>
      </c>
      <c r="F9" s="180"/>
      <c r="G9" s="180" t="e" vm="1">
        <f ca="1">IFERROR(VLOOKUP(H9,Aux!$A:$C,3,0),"")</f>
        <v>#VALUE!</v>
      </c>
      <c r="H9" s="7" t="str">
        <f ca="1">+Cuartos!S9</f>
        <v>Argentina</v>
      </c>
      <c r="I9" s="8"/>
      <c r="J9" s="16">
        <v>0</v>
      </c>
      <c r="K9" s="8" t="s">
        <v>41</v>
      </c>
      <c r="L9" s="16">
        <v>1</v>
      </c>
      <c r="M9" s="6"/>
      <c r="N9" s="17" t="str">
        <f ca="1">+Cuartos!S12</f>
        <v>Venezuela</v>
      </c>
      <c r="O9" s="180" t="e" vm="6">
        <f ca="1">IFERROR(VLOOKUP(N9,Aux!$A:$C,3,0),"")</f>
        <v>#VALUE!</v>
      </c>
      <c r="P9" s="17"/>
      <c r="Q9" s="175" t="str">
        <f>+VLOOKUP(C9,Aux!F:L,7,0)</f>
        <v>MetLife Stadium - EAST RUTHERFORD, NJ</v>
      </c>
      <c r="S9" s="18" t="str">
        <f ca="1">IF(OR(J9="",L9=""),"",IF(J9&gt;L9,H9,IF(J9&lt;L9,N9,IF(OR(J10="",L10=""),"",IF(J10&gt;L10,H9,N9)))))</f>
        <v>Venezuela</v>
      </c>
    </row>
    <row r="10" spans="3:19" ht="15" customHeight="1" x14ac:dyDescent="0.2">
      <c r="C10" s="15"/>
      <c r="D10" s="19"/>
      <c r="E10" s="20"/>
      <c r="F10" s="181"/>
      <c r="G10" s="181"/>
      <c r="H10" s="21" t="s">
        <v>51</v>
      </c>
      <c r="I10" s="6"/>
      <c r="J10" s="9"/>
      <c r="K10" s="22" t="s">
        <v>41</v>
      </c>
      <c r="L10" s="9"/>
      <c r="M10" s="23"/>
      <c r="N10" s="23"/>
      <c r="O10" s="23"/>
      <c r="P10" s="23"/>
      <c r="Q10" s="175"/>
      <c r="S10" s="24"/>
    </row>
    <row r="11" spans="3:19" ht="15" customHeight="1" thickBot="1" x14ac:dyDescent="0.25">
      <c r="C11" s="15"/>
      <c r="D11" s="19"/>
      <c r="E11" s="20"/>
      <c r="F11" s="181"/>
      <c r="G11" s="181"/>
      <c r="H11" s="23"/>
      <c r="I11" s="6"/>
      <c r="J11" s="6"/>
      <c r="K11" s="8"/>
      <c r="L11" s="6"/>
      <c r="M11" s="6"/>
      <c r="N11" s="23"/>
      <c r="O11" s="23"/>
      <c r="P11" s="23"/>
      <c r="Q11" s="175"/>
      <c r="S11" s="24"/>
    </row>
    <row r="12" spans="3:19" ht="15" customHeight="1" thickBot="1" x14ac:dyDescent="0.25">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1</v>
      </c>
      <c r="M12" s="6"/>
      <c r="N12" s="17" t="str">
        <f ca="1">+Cuartos!S15</f>
        <v>Brasil</v>
      </c>
      <c r="O12" s="180" t="e" vm="15">
        <f ca="1">IFERROR(VLOOKUP(N12,Aux!$A:$C,3,0),"")</f>
        <v>#VALUE!</v>
      </c>
      <c r="P12" s="17"/>
      <c r="Q12" s="175" t="str">
        <f>+VLOOKUP(C12,Aux!F:L,7,0)</f>
        <v>Bank of America Stadium - CHARLOTTE, NC</v>
      </c>
      <c r="S12" s="18" t="str">
        <f ca="1">IF(OR(J12="",L12=""),"",IF(J12&gt;L12,H12,IF(J12&lt;L12,N12,IF(OR(J13="",L13=""),"",IF(J13&gt;L13,H12,N12)))))</f>
        <v>Uruguay</v>
      </c>
    </row>
    <row r="13" spans="3:19" ht="15" customHeight="1" x14ac:dyDescent="0.2">
      <c r="C13" s="15"/>
      <c r="D13" s="19"/>
      <c r="E13" s="20"/>
      <c r="F13" s="181"/>
      <c r="G13" s="181"/>
      <c r="H13" s="21" t="s">
        <v>51</v>
      </c>
      <c r="I13" s="6"/>
      <c r="J13" s="9"/>
      <c r="K13" s="22" t="s">
        <v>41</v>
      </c>
      <c r="L13" s="9"/>
      <c r="M13" s="23"/>
      <c r="N13" s="23"/>
      <c r="O13" s="23"/>
      <c r="P13" s="23"/>
      <c r="Q13" s="10"/>
      <c r="S13" s="24"/>
    </row>
    <row r="14" spans="3:19" ht="15" customHeight="1" x14ac:dyDescent="0.2">
      <c r="C14" s="11"/>
      <c r="D14" s="12"/>
      <c r="E14" s="13"/>
      <c r="F14" s="14"/>
      <c r="G14" s="14"/>
      <c r="H14" s="14"/>
      <c r="I14" s="14"/>
      <c r="J14" s="14"/>
      <c r="K14" s="26"/>
      <c r="L14" s="14"/>
      <c r="M14" s="14"/>
      <c r="N14" s="14"/>
      <c r="O14" s="14"/>
      <c r="P14" s="14"/>
      <c r="Q14" s="11"/>
    </row>
    <row r="16" spans="3:19" ht="15" customHeight="1" thickBot="1" x14ac:dyDescent="0.25">
      <c r="S16" s="259"/>
    </row>
    <row r="17" spans="19:19" ht="15" customHeight="1" x14ac:dyDescent="0.2">
      <c r="S17" s="286" t="s">
        <v>193</v>
      </c>
    </row>
    <row r="18" spans="19:19" ht="15" customHeight="1" thickBot="1" x14ac:dyDescent="0.25">
      <c r="S18" s="287"/>
    </row>
    <row r="19" spans="19:19" ht="15" customHeight="1" x14ac:dyDescent="0.2">
      <c r="S19" s="276" t="s">
        <v>194</v>
      </c>
    </row>
    <row r="20" spans="19:19" ht="15" customHeight="1" thickBot="1" x14ac:dyDescent="0.25">
      <c r="S20" s="277"/>
    </row>
    <row r="21" spans="19:19" ht="15" customHeight="1" x14ac:dyDescent="0.2">
      <c r="S21" s="50"/>
    </row>
  </sheetData>
  <mergeCells count="3">
    <mergeCell ref="H7:N7"/>
    <mergeCell ref="S17:S18"/>
    <mergeCell ref="S19:S20"/>
  </mergeCells>
  <conditionalFormatting sqref="H10">
    <cfRule type="expression" dxfId="73" priority="9">
      <formula>IF(OR($J9="",$J9&lt;&gt;$L9),1,0)</formula>
    </cfRule>
  </conditionalFormatting>
  <conditionalFormatting sqref="H13">
    <cfRule type="expression" dxfId="72" priority="5">
      <formula>IF(OR($J12="",$J12&lt;&gt;$L12),1,0)</formula>
    </cfRule>
  </conditionalFormatting>
  <conditionalFormatting sqref="J9 J12">
    <cfRule type="expression" dxfId="71" priority="13">
      <formula>#REF!="P"</formula>
    </cfRule>
    <cfRule type="expression" dxfId="70" priority="14">
      <formula>#REF!="E"</formula>
    </cfRule>
    <cfRule type="expression" dxfId="69" priority="15">
      <formula>#REF!="G"</formula>
    </cfRule>
  </conditionalFormatting>
  <conditionalFormatting sqref="J10">
    <cfRule type="expression" dxfId="68" priority="12">
      <formula>IF(AND($J9&lt;&gt;"",$J9=$L9),1,0)</formula>
    </cfRule>
  </conditionalFormatting>
  <conditionalFormatting sqref="J13">
    <cfRule type="expression" dxfId="67" priority="8">
      <formula>IF(AND($J12&lt;&gt;"",$J12=$L12),1,0)</formula>
    </cfRule>
  </conditionalFormatting>
  <conditionalFormatting sqref="J10:L10">
    <cfRule type="expression" dxfId="66" priority="10">
      <formula>IF(OR($J9="",$J9&lt;&gt;$L9),1,0)</formula>
    </cfRule>
  </conditionalFormatting>
  <conditionalFormatting sqref="J13:L13">
    <cfRule type="expression" dxfId="65" priority="6">
      <formula>IF(OR($J12="",$J12&lt;&gt;$L12),1,0)</formula>
    </cfRule>
  </conditionalFormatting>
  <conditionalFormatting sqref="L9 L12">
    <cfRule type="expression" dxfId="64" priority="16">
      <formula>M9="P"</formula>
    </cfRule>
    <cfRule type="expression" dxfId="63" priority="17">
      <formula>M9="E"</formula>
    </cfRule>
    <cfRule type="expression" dxfId="62" priority="18">
      <formula>M9="G"</formula>
    </cfRule>
  </conditionalFormatting>
  <conditionalFormatting sqref="L10">
    <cfRule type="expression" dxfId="61" priority="11">
      <formula>IF(AND($J9&lt;&gt;"",$J9=$L9),1,0)</formula>
    </cfRule>
  </conditionalFormatting>
  <conditionalFormatting sqref="L13">
    <cfRule type="expression" dxfId="60" priority="7">
      <formula>IF(AND($J12&lt;&gt;"",$J12=$L12),1,0)</formula>
    </cfRule>
  </conditionalFormatting>
  <conditionalFormatting sqref="S9">
    <cfRule type="cellIs" dxfId="59" priority="4" operator="equal">
      <formula>"Suma los penales"</formula>
    </cfRule>
  </conditionalFormatting>
  <conditionalFormatting sqref="S12">
    <cfRule type="cellIs" dxfId="58" priority="3" operator="equal">
      <formula>"Suma los penales"</formula>
    </cfRule>
  </conditionalFormatting>
  <conditionalFormatting sqref="S16:S21">
    <cfRule type="expression" dxfId="57" priority="1">
      <formula>$L16&lt;&gt;""</formula>
    </cfRule>
    <cfRule type="expression" dxfId="56"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tabSelected="1" topLeftCell="H25" zoomScaleNormal="100" workbookViewId="0">
      <selection activeCell="L9" sqref="L9"/>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3:17" ht="18" customHeight="1" x14ac:dyDescent="0.2">
      <c r="C7" s="73" t="s">
        <v>34</v>
      </c>
      <c r="D7" s="74" t="s">
        <v>35</v>
      </c>
      <c r="E7" s="74" t="s">
        <v>36</v>
      </c>
      <c r="F7" s="179"/>
      <c r="G7" s="179"/>
      <c r="H7" s="288" t="s">
        <v>166</v>
      </c>
      <c r="I7" s="288"/>
      <c r="J7" s="288"/>
      <c r="K7" s="288"/>
      <c r="L7" s="288"/>
      <c r="M7" s="288"/>
      <c r="N7" s="288"/>
      <c r="O7" s="177"/>
      <c r="P7" s="177"/>
      <c r="Q7" s="75" t="s">
        <v>38</v>
      </c>
    </row>
    <row r="8" spans="3:17" ht="15" customHeight="1" x14ac:dyDescent="0.2">
      <c r="C8" s="5"/>
      <c r="D8" s="69"/>
      <c r="E8" s="70"/>
      <c r="F8" s="6"/>
      <c r="G8" s="6"/>
      <c r="H8" s="6"/>
      <c r="I8" s="6"/>
      <c r="J8" s="6"/>
      <c r="K8" s="6"/>
      <c r="L8" s="6"/>
      <c r="M8" s="6"/>
      <c r="N8" s="6"/>
      <c r="O8" s="6"/>
      <c r="P8" s="6"/>
      <c r="Q8" s="5"/>
    </row>
    <row r="9" spans="3:17" ht="15" customHeight="1" x14ac:dyDescent="0.2">
      <c r="C9" s="15">
        <v>31</v>
      </c>
      <c r="D9" s="71">
        <f>+VLOOKUP(C9,Aux!F:Z,4,0)</f>
        <v>45486.833333333336</v>
      </c>
      <c r="E9" s="72">
        <f>+VLOOKUP(C9,Aux!F:Z,4,0)</f>
        <v>45486.833333333336</v>
      </c>
      <c r="F9" s="180"/>
      <c r="G9" s="180" t="e" vm="1">
        <f ca="1">IFERROR(VLOOKUP(H9,Aux!$A:$C,3,0),"")</f>
        <v>#VALUE!</v>
      </c>
      <c r="H9" s="7" t="str">
        <f ca="1">IF(OR(Semis!J9="",Semis!L9=""),"",IF(Semis!J9&gt;Semis!L9,Semis!N9,IF(Semis!J9&lt;Semis!L9,Semis!H9,IF(OR(Semis!J10="",Semis!L10=""),"",IF(Semis!J10&gt;Semis!L10,Semis!N9,Semis!H9)))))</f>
        <v>Argentina</v>
      </c>
      <c r="I9" s="8"/>
      <c r="J9" s="16">
        <v>2</v>
      </c>
      <c r="K9" s="8" t="s">
        <v>41</v>
      </c>
      <c r="L9" s="16">
        <v>0</v>
      </c>
      <c r="M9" s="6"/>
      <c r="N9" s="17" t="str">
        <f ca="1">IF(OR(Semis!J12="",Semis!L12=""),"",IF(Semis!J12&gt;Semis!L12,Semis!N12,IF(Semis!J12&lt;Semis!L12,Semis!H12,IF(OR(Semis!J13="",Semis!L13=""),"",IF(Semis!J13&gt;Semis!L13,Semis!N12,Semis!H12)))))</f>
        <v>Brasil</v>
      </c>
      <c r="O9" s="180" t="e" vm="15">
        <f ca="1">IFERROR(VLOOKUP(N9,Aux!$A:$C,3,0),"")</f>
        <v>#VALUE!</v>
      </c>
      <c r="P9" s="17"/>
      <c r="Q9" s="175" t="str">
        <f>+VLOOKUP(C9,Aux!F:L,7,0)</f>
        <v>Bank of America Stadium - CHARLOTTE, NC</v>
      </c>
    </row>
    <row r="10" spans="3:17" ht="15" customHeight="1" x14ac:dyDescent="0.2">
      <c r="C10" s="15"/>
      <c r="D10" s="19"/>
      <c r="E10" s="20"/>
      <c r="F10" s="181"/>
      <c r="G10" s="181"/>
      <c r="H10" s="21" t="s">
        <v>51</v>
      </c>
      <c r="I10" s="6"/>
      <c r="J10" s="9"/>
      <c r="K10" s="22" t="s">
        <v>41</v>
      </c>
      <c r="L10" s="9"/>
      <c r="M10" s="23"/>
      <c r="N10" s="23"/>
      <c r="O10" s="23"/>
      <c r="P10" s="23"/>
      <c r="Q10" s="10"/>
    </row>
    <row r="11" spans="3:17" ht="15" customHeight="1" x14ac:dyDescent="0.2">
      <c r="C11" s="11"/>
      <c r="D11" s="12"/>
      <c r="E11" s="13"/>
      <c r="F11" s="14"/>
      <c r="G11" s="14"/>
      <c r="H11" s="14"/>
      <c r="I11" s="14"/>
      <c r="J11" s="14"/>
      <c r="K11" s="26"/>
      <c r="L11" s="14"/>
      <c r="M11" s="14"/>
      <c r="N11" s="14"/>
      <c r="O11" s="14"/>
      <c r="P11" s="14"/>
      <c r="Q11" s="11"/>
    </row>
    <row r="13" spans="3:17" ht="18" customHeight="1" x14ac:dyDescent="0.2">
      <c r="C13" s="73" t="s">
        <v>34</v>
      </c>
      <c r="D13" s="74" t="s">
        <v>35</v>
      </c>
      <c r="E13" s="74" t="s">
        <v>36</v>
      </c>
      <c r="F13" s="179"/>
      <c r="G13" s="179"/>
      <c r="H13" s="288" t="s">
        <v>63</v>
      </c>
      <c r="I13" s="288"/>
      <c r="J13" s="288"/>
      <c r="K13" s="288"/>
      <c r="L13" s="288"/>
      <c r="M13" s="288"/>
      <c r="N13" s="288"/>
      <c r="O13" s="177"/>
      <c r="P13" s="177"/>
      <c r="Q13" s="75" t="s">
        <v>6</v>
      </c>
    </row>
    <row r="14" spans="3:17" ht="15" customHeight="1" x14ac:dyDescent="0.2">
      <c r="C14" s="5"/>
      <c r="D14" s="69"/>
      <c r="E14" s="70"/>
      <c r="F14" s="6"/>
      <c r="G14" s="6"/>
      <c r="H14" s="6"/>
      <c r="I14" s="6"/>
      <c r="J14" s="6"/>
      <c r="K14" s="6"/>
      <c r="L14" s="6"/>
      <c r="M14" s="6"/>
      <c r="N14" s="6"/>
      <c r="O14" s="6"/>
      <c r="P14" s="6"/>
      <c r="Q14" s="5"/>
    </row>
    <row r="15" spans="3:17" ht="15" customHeight="1" x14ac:dyDescent="0.2">
      <c r="C15" s="15">
        <v>32</v>
      </c>
      <c r="D15" s="71">
        <f>+VLOOKUP(C15,Aux!F:Z,4,0)</f>
        <v>45487.833333333336</v>
      </c>
      <c r="E15" s="72">
        <f>+VLOOKUP(C15,Aux!F:Z,4,0)</f>
        <v>45487.833333333336</v>
      </c>
      <c r="F15" s="180"/>
      <c r="G15" s="180" t="e" vm="6">
        <f ca="1">IFERROR(VLOOKUP(H15,Aux!$A:$C,3,0),"")</f>
        <v>#VALUE!</v>
      </c>
      <c r="H15" s="7" t="str">
        <f ca="1">+Semis!S9</f>
        <v>Venezuela</v>
      </c>
      <c r="I15" s="8"/>
      <c r="J15" s="16">
        <v>1</v>
      </c>
      <c r="K15" s="8" t="s">
        <v>41</v>
      </c>
      <c r="L15" s="16">
        <v>2</v>
      </c>
      <c r="M15" s="6"/>
      <c r="N15" s="17" t="str">
        <f ca="1">+Semis!S12</f>
        <v>Uruguay</v>
      </c>
      <c r="O15" s="180" t="e" vm="11">
        <f ca="1">IFERROR(VLOOKUP(N15,Aux!$A:$C,3,0),"")</f>
        <v>#VALUE!</v>
      </c>
      <c r="P15" s="17"/>
      <c r="Q15" s="175" t="str">
        <f>+VLOOKUP(C15,Aux!F:L,7,0)</f>
        <v>Hard Rock Stadium - MIAMI, FL</v>
      </c>
    </row>
    <row r="16" spans="3:17" ht="15" customHeight="1" x14ac:dyDescent="0.2">
      <c r="C16" s="15"/>
      <c r="D16" s="19"/>
      <c r="E16" s="20"/>
      <c r="F16" s="181"/>
      <c r="G16" s="181"/>
      <c r="H16" s="21" t="s">
        <v>51</v>
      </c>
      <c r="I16" s="6"/>
      <c r="J16" s="9"/>
      <c r="K16" s="22" t="s">
        <v>41</v>
      </c>
      <c r="L16" s="9"/>
      <c r="M16" s="23"/>
      <c r="N16" s="23"/>
      <c r="O16" s="23"/>
      <c r="P16" s="23"/>
      <c r="Q16" s="10"/>
    </row>
    <row r="17" spans="3:19" ht="15" customHeight="1" x14ac:dyDescent="0.2">
      <c r="C17" s="11"/>
      <c r="D17" s="12"/>
      <c r="E17" s="13"/>
      <c r="F17" s="14"/>
      <c r="G17" s="14"/>
      <c r="H17" s="14"/>
      <c r="I17" s="14"/>
      <c r="J17" s="14"/>
      <c r="K17" s="26"/>
      <c r="L17" s="14"/>
      <c r="M17" s="14"/>
      <c r="N17" s="14"/>
      <c r="O17" s="14"/>
      <c r="P17" s="14"/>
      <c r="Q17" s="11"/>
    </row>
    <row r="19" spans="3:19" ht="15" customHeight="1" thickBot="1" x14ac:dyDescent="0.25">
      <c r="H19" s="290" t="s">
        <v>164</v>
      </c>
      <c r="I19" s="290"/>
      <c r="J19" s="290"/>
      <c r="K19" s="290"/>
      <c r="L19" s="290"/>
      <c r="M19" s="290"/>
      <c r="N19" s="290"/>
      <c r="S19" s="259"/>
    </row>
    <row r="20" spans="3:19" ht="15" customHeight="1" x14ac:dyDescent="0.2">
      <c r="H20" s="290"/>
      <c r="I20" s="290"/>
      <c r="J20" s="290"/>
      <c r="K20" s="290"/>
      <c r="L20" s="290"/>
      <c r="M20" s="290"/>
      <c r="N20" s="290"/>
      <c r="S20" s="286" t="s">
        <v>193</v>
      </c>
    </row>
    <row r="21" spans="3:19" ht="15" customHeight="1" thickBot="1" x14ac:dyDescent="0.25">
      <c r="S21" s="287"/>
    </row>
    <row r="22" spans="3:19" ht="15" customHeight="1" x14ac:dyDescent="0.2">
      <c r="H22" s="291" t="str">
        <f ca="1">IF(OR(J15="",L15=""),"",IF(J15&gt;L15,H15,IF(J15&lt;L15,N15,IF(OR(J16="",L16=""),"",IF(J16&gt;L16,H15,N15)))))</f>
        <v>Uruguay</v>
      </c>
      <c r="I22" s="291"/>
      <c r="J22" s="291"/>
      <c r="K22" s="291"/>
      <c r="L22" s="291"/>
      <c r="M22" s="291"/>
      <c r="N22" s="291"/>
      <c r="S22" s="276" t="s">
        <v>194</v>
      </c>
    </row>
    <row r="23" spans="3:19" s="82" customFormat="1" ht="15.75" customHeight="1" thickBot="1" x14ac:dyDescent="0.25">
      <c r="C23"/>
      <c r="D23"/>
      <c r="E23"/>
      <c r="F23"/>
      <c r="G23"/>
      <c r="H23" s="291"/>
      <c r="I23" s="291"/>
      <c r="J23" s="291"/>
      <c r="K23" s="291"/>
      <c r="L23" s="291"/>
      <c r="M23" s="291"/>
      <c r="N23" s="291"/>
      <c r="O23" s="178"/>
      <c r="P23" s="178"/>
      <c r="Q23"/>
      <c r="S23" s="277"/>
    </row>
    <row r="24" spans="3:19" s="82" customFormat="1" ht="15.75" customHeight="1" x14ac:dyDescent="0.2">
      <c r="C24"/>
      <c r="D24"/>
      <c r="E24"/>
      <c r="F24"/>
      <c r="G24"/>
      <c r="H24" s="178"/>
      <c r="I24" s="178"/>
      <c r="J24" s="178"/>
      <c r="K24" s="178"/>
      <c r="L24" s="178"/>
      <c r="M24" s="178"/>
      <c r="N24" s="178"/>
      <c r="O24" s="178"/>
      <c r="P24" s="178"/>
      <c r="Q24"/>
      <c r="S24" s="50"/>
    </row>
    <row r="25" spans="3:19" ht="15" customHeight="1" x14ac:dyDescent="0.2">
      <c r="H25" s="289" t="e" vm="11">
        <f ca="1">IFERROR(VLOOKUP(H22,Aux!$A:$C,3,0),"")</f>
        <v>#VALUE!</v>
      </c>
      <c r="I25" s="289"/>
      <c r="J25" s="289"/>
      <c r="K25" s="289"/>
      <c r="L25" s="289"/>
      <c r="M25" s="289"/>
      <c r="N25" s="289"/>
    </row>
    <row r="26" spans="3:19" ht="15" customHeight="1" x14ac:dyDescent="0.2">
      <c r="H26" s="289"/>
      <c r="I26" s="289"/>
      <c r="J26" s="289"/>
      <c r="K26" s="289"/>
      <c r="L26" s="289"/>
      <c r="M26" s="289"/>
      <c r="N26" s="289"/>
    </row>
    <row r="27" spans="3:19" ht="15" customHeight="1" x14ac:dyDescent="0.2">
      <c r="H27" s="289"/>
      <c r="I27" s="289"/>
      <c r="J27" s="289"/>
      <c r="K27" s="289"/>
      <c r="L27" s="289"/>
      <c r="M27" s="289"/>
      <c r="N27" s="289"/>
    </row>
    <row r="28" spans="3:19" ht="15" customHeight="1" x14ac:dyDescent="0.2">
      <c r="H28" s="289"/>
      <c r="I28" s="289"/>
      <c r="J28" s="289"/>
      <c r="K28" s="289"/>
      <c r="L28" s="289"/>
      <c r="M28" s="289"/>
      <c r="N28" s="289"/>
    </row>
  </sheetData>
  <mergeCells count="7">
    <mergeCell ref="H25:N28"/>
    <mergeCell ref="H13:N13"/>
    <mergeCell ref="S20:S21"/>
    <mergeCell ref="S22:S23"/>
    <mergeCell ref="H7:N7"/>
    <mergeCell ref="H19:N20"/>
    <mergeCell ref="H22:N23"/>
  </mergeCells>
  <conditionalFormatting sqref="H10">
    <cfRule type="expression" dxfId="55" priority="3">
      <formula>IF(OR($J9="",$J9&lt;&gt;$L9),1,0)</formula>
    </cfRule>
  </conditionalFormatting>
  <conditionalFormatting sqref="H16">
    <cfRule type="expression" dxfId="54" priority="14">
      <formula>IF(OR($J15="",$J15&lt;&gt;$L15),1,0)</formula>
    </cfRule>
  </conditionalFormatting>
  <conditionalFormatting sqref="H19 O25:P25">
    <cfRule type="expression" dxfId="53" priority="13">
      <formula>IF(OR($J$15="",$L$15=""),1,0)</formula>
    </cfRule>
  </conditionalFormatting>
  <conditionalFormatting sqref="J9">
    <cfRule type="expression" dxfId="52" priority="7">
      <formula>#REF!="P"</formula>
    </cfRule>
    <cfRule type="expression" dxfId="51" priority="8">
      <formula>#REF!="E"</formula>
    </cfRule>
    <cfRule type="expression" dxfId="50" priority="9">
      <formula>#REF!="G"</formula>
    </cfRule>
  </conditionalFormatting>
  <conditionalFormatting sqref="J10">
    <cfRule type="expression" dxfId="49" priority="6">
      <formula>IF(AND($J9&lt;&gt;"",$J9=$L9),1,0)</formula>
    </cfRule>
  </conditionalFormatting>
  <conditionalFormatting sqref="J15">
    <cfRule type="expression" dxfId="48" priority="18">
      <formula>#REF!="P"</formula>
    </cfRule>
    <cfRule type="expression" dxfId="47" priority="19">
      <formula>#REF!="E"</formula>
    </cfRule>
    <cfRule type="expression" dxfId="46" priority="20">
      <formula>#REF!="G"</formula>
    </cfRule>
  </conditionalFormatting>
  <conditionalFormatting sqref="J16">
    <cfRule type="expression" dxfId="45" priority="17">
      <formula>IF(AND($J15&lt;&gt;"",$J15=$L15),1,0)</formula>
    </cfRule>
  </conditionalFormatting>
  <conditionalFormatting sqref="J10:L10">
    <cfRule type="expression" dxfId="44" priority="4">
      <formula>IF(OR($J9="",$J9&lt;&gt;$L9),1,0)</formula>
    </cfRule>
  </conditionalFormatting>
  <conditionalFormatting sqref="J16:L16">
    <cfRule type="expression" dxfId="43" priority="15">
      <formula>IF(OR($J15="",$J15&lt;&gt;$L15),1,0)</formula>
    </cfRule>
  </conditionalFormatting>
  <conditionalFormatting sqref="L9">
    <cfRule type="expression" dxfId="42" priority="10">
      <formula>M9="P"</formula>
    </cfRule>
    <cfRule type="expression" dxfId="41" priority="11">
      <formula>M9="E"</formula>
    </cfRule>
    <cfRule type="expression" dxfId="40" priority="12">
      <formula>M9="G"</formula>
    </cfRule>
  </conditionalFormatting>
  <conditionalFormatting sqref="L10">
    <cfRule type="expression" dxfId="39" priority="5">
      <formula>IF(AND($J9&lt;&gt;"",$J9=$L9),1,0)</formula>
    </cfRule>
  </conditionalFormatting>
  <conditionalFormatting sqref="L15">
    <cfRule type="expression" dxfId="38" priority="21">
      <formula>M15="P"</formula>
    </cfRule>
    <cfRule type="expression" dxfId="37" priority="22">
      <formula>M15="E"</formula>
    </cfRule>
    <cfRule type="expression" dxfId="36" priority="23">
      <formula>M15="G"</formula>
    </cfRule>
  </conditionalFormatting>
  <conditionalFormatting sqref="L16">
    <cfRule type="expression" dxfId="35" priority="16">
      <formula>IF(AND($J15&lt;&gt;"",$J15=$L15),1,0)</formula>
    </cfRule>
  </conditionalFormatting>
  <conditionalFormatting sqref="S19:S24">
    <cfRule type="expression" dxfId="34" priority="1">
      <formula>$L19&lt;&gt;""</formula>
    </cfRule>
    <cfRule type="expression" dxfId="33"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defaultColWidth="10.76171875" defaultRowHeight="15" x14ac:dyDescent="0.2"/>
  <cols>
    <col min="1" max="1" width="24.6171875" style="2" customWidth="1"/>
    <col min="3" max="3" width="14.9296875" customWidth="1"/>
    <col min="6" max="6" width="6.3203125" customWidth="1"/>
    <col min="7" max="7" width="11.56640625" customWidth="1"/>
    <col min="8" max="8" width="20.3125" customWidth="1"/>
    <col min="9" max="9" width="18.4296875" customWidth="1"/>
    <col min="12" max="12" width="37.80078125" bestFit="1" customWidth="1"/>
    <col min="13" max="13" width="10.22265625" style="68" customWidth="1"/>
    <col min="14" max="15" width="10.76171875" style="68"/>
  </cols>
  <sheetData>
    <row r="1" spans="1:27" x14ac:dyDescent="0.2">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3</v>
      </c>
      <c r="O2" s="68">
        <f ca="1">IF(VLOOKUP(F2,INDIRECT(M2&amp;"!B:M"),9,0)="","",VLOOKUP(F2,INDIRECT(M2&amp;"!B:M"),9,0))</f>
        <v>1</v>
      </c>
      <c r="R2" s="1" t="s">
        <v>13</v>
      </c>
      <c r="S2" s="2" t="s">
        <v>18</v>
      </c>
      <c r="T2" s="2" t="s">
        <v>108</v>
      </c>
      <c r="W2" t="s">
        <v>179</v>
      </c>
      <c r="X2">
        <f>+Normas!C7</f>
        <v>0</v>
      </c>
    </row>
    <row r="3" spans="1:27" ht="25.15" customHeight="1" x14ac:dyDescent="0.2">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0</v>
      </c>
      <c r="R3" s="1" t="s">
        <v>13</v>
      </c>
      <c r="S3" s="2" t="s">
        <v>19</v>
      </c>
      <c r="T3" s="2" t="s">
        <v>110</v>
      </c>
      <c r="W3" t="s">
        <v>180</v>
      </c>
      <c r="X3">
        <f>+Normas!C6</f>
        <v>5</v>
      </c>
      <c r="AA3" s="67"/>
    </row>
    <row r="4" spans="1:27" ht="25.15" customHeight="1" x14ac:dyDescent="0.2">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2</v>
      </c>
      <c r="O5" s="68">
        <f t="shared" ca="1" si="3"/>
        <v>1</v>
      </c>
      <c r="R5" s="1" t="s">
        <v>13</v>
      </c>
      <c r="S5" s="2" t="s">
        <v>21</v>
      </c>
      <c r="T5" s="2" t="s">
        <v>134</v>
      </c>
      <c r="W5" t="s">
        <v>182</v>
      </c>
      <c r="X5">
        <f>+Normas!C10</f>
        <v>0</v>
      </c>
    </row>
    <row r="6" spans="1:27" ht="25.15" customHeight="1" x14ac:dyDescent="0.2">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0</v>
      </c>
      <c r="R8" s="1" t="s">
        <v>12</v>
      </c>
      <c r="S8" s="2" t="s">
        <v>24</v>
      </c>
      <c r="T8" s="2" t="s">
        <v>114</v>
      </c>
      <c r="W8" t="s">
        <v>185</v>
      </c>
      <c r="X8">
        <f>+Normas!C13</f>
        <v>0</v>
      </c>
    </row>
    <row r="9" spans="1:27" ht="25.15" customHeight="1" x14ac:dyDescent="0.2">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4</v>
      </c>
      <c r="O9" s="68">
        <f t="shared" ca="1" si="3"/>
        <v>0</v>
      </c>
      <c r="R9" s="1" t="s">
        <v>12</v>
      </c>
      <c r="S9" s="2" t="s">
        <v>25</v>
      </c>
      <c r="T9" s="2" t="s">
        <v>117</v>
      </c>
      <c r="W9" t="s">
        <v>186</v>
      </c>
      <c r="X9">
        <f>+Normas!C12</f>
        <v>5</v>
      </c>
    </row>
    <row r="10" spans="1:27" ht="25.15" customHeight="1" x14ac:dyDescent="0.2">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1</v>
      </c>
      <c r="O10" s="68">
        <f t="shared" ca="1" si="3"/>
        <v>2</v>
      </c>
      <c r="R10" s="1" t="s">
        <v>15</v>
      </c>
      <c r="S10" s="2" t="s">
        <v>26</v>
      </c>
      <c r="T10" s="2" t="s">
        <v>122</v>
      </c>
      <c r="W10" t="s">
        <v>187</v>
      </c>
      <c r="X10">
        <f>+Normas!C14</f>
        <v>5</v>
      </c>
    </row>
    <row r="11" spans="1:27" ht="25.15" customHeight="1" x14ac:dyDescent="0.2">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1</v>
      </c>
      <c r="O11" s="68">
        <f t="shared" ca="1" si="3"/>
        <v>2</v>
      </c>
      <c r="R11" s="1" t="s">
        <v>15</v>
      </c>
      <c r="S11" s="2" t="s">
        <v>27</v>
      </c>
      <c r="T11" s="2" t="s">
        <v>123</v>
      </c>
      <c r="W11" t="s">
        <v>188</v>
      </c>
      <c r="X11">
        <f>+Normas!C16</f>
        <v>0</v>
      </c>
    </row>
    <row r="12" spans="1:27" ht="25.15" customHeight="1" x14ac:dyDescent="0.2">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2</v>
      </c>
      <c r="O12" s="68">
        <f t="shared" ca="1" si="3"/>
        <v>0</v>
      </c>
      <c r="R12" s="1" t="s">
        <v>15</v>
      </c>
      <c r="S12" s="2" t="s">
        <v>28</v>
      </c>
      <c r="T12" s="2" t="s">
        <v>125</v>
      </c>
      <c r="W12" t="s">
        <v>189</v>
      </c>
      <c r="X12">
        <f>+Normas!C15</f>
        <v>5</v>
      </c>
    </row>
    <row r="13" spans="1:27" ht="25.15" customHeight="1" x14ac:dyDescent="0.2">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1</v>
      </c>
      <c r="O14" s="68">
        <f t="shared" ca="1" si="3"/>
        <v>3</v>
      </c>
      <c r="R14" s="1" t="s">
        <v>17</v>
      </c>
      <c r="S14" s="2" t="s">
        <v>30</v>
      </c>
      <c r="T14" s="2" t="s">
        <v>127</v>
      </c>
      <c r="W14" t="s">
        <v>170</v>
      </c>
      <c r="X14">
        <f>+Normas!C18</f>
        <v>15</v>
      </c>
    </row>
    <row r="15" spans="1:27" ht="25.15" customHeight="1" x14ac:dyDescent="0.2">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15" customHeight="1" x14ac:dyDescent="0.2">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1</v>
      </c>
      <c r="R16" s="1" t="s">
        <v>17</v>
      </c>
      <c r="S16" s="2" t="s">
        <v>32</v>
      </c>
      <c r="T16" s="2" t="s">
        <v>130</v>
      </c>
      <c r="W16" t="s">
        <v>172</v>
      </c>
      <c r="X16">
        <f>+Normas!C20</f>
        <v>25</v>
      </c>
    </row>
    <row r="17" spans="1:24" ht="25.15" customHeight="1" x14ac:dyDescent="0.2">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2</v>
      </c>
      <c r="R17" s="1" t="s">
        <v>17</v>
      </c>
      <c r="S17" s="2" t="s">
        <v>33</v>
      </c>
      <c r="T17" s="2" t="s">
        <v>135</v>
      </c>
      <c r="W17" t="s">
        <v>173</v>
      </c>
      <c r="X17">
        <f>+Normas!C21</f>
        <v>30</v>
      </c>
    </row>
    <row r="18" spans="1:24" ht="25.15" customHeight="1" x14ac:dyDescent="0.2">
      <c r="A18" s="3"/>
      <c r="B18" s="67"/>
      <c r="C18" s="1"/>
      <c r="F18">
        <v>17</v>
      </c>
      <c r="G18" s="68">
        <v>-4</v>
      </c>
      <c r="H18" s="172">
        <v>45472.833333333336</v>
      </c>
      <c r="I18" s="174">
        <f t="shared" si="1"/>
        <v>45472.833333333336</v>
      </c>
      <c r="J18" s="171" t="s">
        <v>108</v>
      </c>
      <c r="K18" s="171" t="s">
        <v>110</v>
      </c>
      <c r="L18" s="171" t="s">
        <v>118</v>
      </c>
      <c r="M18" s="1" t="s">
        <v>13</v>
      </c>
      <c r="N18" s="68">
        <f t="shared" ca="1" si="2"/>
        <v>1</v>
      </c>
      <c r="O18" s="68">
        <f t="shared" ca="1" si="3"/>
        <v>1</v>
      </c>
      <c r="R18" s="1"/>
      <c r="S18" s="2"/>
      <c r="T18" s="2"/>
      <c r="W18" t="s">
        <v>94</v>
      </c>
      <c r="X18">
        <f>+Normas!C22</f>
        <v>50</v>
      </c>
    </row>
    <row r="19" spans="1:24" ht="25.15" customHeight="1" x14ac:dyDescent="0.2">
      <c r="A19" s="3"/>
      <c r="B19" s="67"/>
      <c r="C19" s="1"/>
      <c r="F19">
        <v>18</v>
      </c>
      <c r="G19" s="68">
        <v>-4</v>
      </c>
      <c r="H19" s="172">
        <v>45472.833333333336</v>
      </c>
      <c r="I19" s="174">
        <f t="shared" si="1"/>
        <v>45472.833333333336</v>
      </c>
      <c r="J19" s="171" t="s">
        <v>134</v>
      </c>
      <c r="K19" s="171" t="s">
        <v>111</v>
      </c>
      <c r="L19" s="171" t="s">
        <v>131</v>
      </c>
      <c r="M19" s="1" t="s">
        <v>13</v>
      </c>
      <c r="N19" s="68">
        <f t="shared" ca="1" si="2"/>
        <v>3</v>
      </c>
      <c r="O19" s="68">
        <f t="shared" ca="1" si="3"/>
        <v>2</v>
      </c>
      <c r="R19" s="1"/>
      <c r="S19" s="2"/>
      <c r="T19" s="2"/>
    </row>
    <row r="20" spans="1:24" ht="25.15" customHeight="1" x14ac:dyDescent="0.2">
      <c r="A20" s="3"/>
      <c r="B20" s="67"/>
      <c r="C20" s="1"/>
      <c r="F20">
        <v>19</v>
      </c>
      <c r="G20" s="68">
        <v>-7</v>
      </c>
      <c r="H20" s="172">
        <v>45473.708333333336</v>
      </c>
      <c r="I20" s="174">
        <f t="shared" si="1"/>
        <v>45473.833333333336</v>
      </c>
      <c r="J20" s="171" t="s">
        <v>116</v>
      </c>
      <c r="K20" s="171" t="s">
        <v>113</v>
      </c>
      <c r="L20" s="171" t="s">
        <v>129</v>
      </c>
      <c r="M20" s="1" t="s">
        <v>12</v>
      </c>
      <c r="N20" s="68">
        <f t="shared" ca="1" si="2"/>
        <v>1</v>
      </c>
      <c r="O20" s="68">
        <f t="shared" ca="1" si="3"/>
        <v>3</v>
      </c>
      <c r="R20" s="1"/>
      <c r="S20" s="2"/>
      <c r="T20" s="2"/>
    </row>
    <row r="21" spans="1:24" ht="25.15" customHeight="1" x14ac:dyDescent="0.2">
      <c r="A21" s="3"/>
      <c r="B21" s="67"/>
      <c r="C21" s="1"/>
      <c r="F21">
        <v>20</v>
      </c>
      <c r="G21" s="68">
        <v>-5</v>
      </c>
      <c r="H21" s="172">
        <v>45473.791666666664</v>
      </c>
      <c r="I21" s="174">
        <f t="shared" si="1"/>
        <v>45473.833333333336</v>
      </c>
      <c r="J21" s="171" t="s">
        <v>117</v>
      </c>
      <c r="K21" s="171" t="s">
        <v>114</v>
      </c>
      <c r="L21" s="171" t="s">
        <v>132</v>
      </c>
      <c r="M21" s="1" t="s">
        <v>12</v>
      </c>
      <c r="N21" s="68">
        <f t="shared" ca="1" si="2"/>
        <v>1</v>
      </c>
      <c r="O21" s="68">
        <f t="shared" ca="1" si="3"/>
        <v>2</v>
      </c>
      <c r="R21" s="1"/>
      <c r="S21" s="2"/>
    </row>
    <row r="22" spans="1:24" ht="25.15" customHeight="1" x14ac:dyDescent="0.2">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
      <c r="A23" s="3"/>
      <c r="B23" s="67"/>
      <c r="C23" s="1"/>
      <c r="F23">
        <v>22</v>
      </c>
      <c r="G23" s="68">
        <v>-4</v>
      </c>
      <c r="H23" s="172">
        <v>45474.875</v>
      </c>
      <c r="I23" s="174">
        <f t="shared" si="1"/>
        <v>45474.875</v>
      </c>
      <c r="J23" s="171" t="s">
        <v>126</v>
      </c>
      <c r="K23" s="171" t="s">
        <v>125</v>
      </c>
      <c r="L23" s="171" t="s">
        <v>131</v>
      </c>
      <c r="M23" s="68" t="s">
        <v>15</v>
      </c>
      <c r="N23" s="68">
        <f t="shared" ca="1" si="2"/>
        <v>2</v>
      </c>
      <c r="O23" s="68">
        <f t="shared" ca="1" si="3"/>
        <v>1</v>
      </c>
      <c r="R23" s="1"/>
      <c r="S23" s="2"/>
    </row>
    <row r="24" spans="1:24" ht="25.15" customHeight="1" x14ac:dyDescent="0.2">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
      <c r="A25" s="3"/>
      <c r="B25" s="67"/>
      <c r="C25" s="1"/>
      <c r="F25">
        <v>24</v>
      </c>
      <c r="G25" s="68">
        <v>-5</v>
      </c>
      <c r="H25" s="172">
        <v>45475.833333333336</v>
      </c>
      <c r="I25" s="174">
        <f t="shared" si="1"/>
        <v>45475.875000000007</v>
      </c>
      <c r="J25" s="171" t="s">
        <v>135</v>
      </c>
      <c r="K25" s="171" t="s">
        <v>130</v>
      </c>
      <c r="L25" s="171" t="s">
        <v>132</v>
      </c>
      <c r="M25" s="68" t="s">
        <v>17</v>
      </c>
      <c r="N25" s="68">
        <f t="shared" ca="1" si="2"/>
        <v>1</v>
      </c>
      <c r="O25" s="68">
        <f t="shared" ca="1" si="3"/>
        <v>2</v>
      </c>
      <c r="R25" s="1"/>
      <c r="S25" s="2"/>
    </row>
    <row r="26" spans="1:24" ht="25.15" customHeight="1" x14ac:dyDescent="0.2">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0</v>
      </c>
      <c r="R26" s="1"/>
      <c r="S26" s="2"/>
    </row>
    <row r="27" spans="1:24" ht="25.15" customHeight="1" x14ac:dyDescent="0.2">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2</v>
      </c>
      <c r="O27" s="68">
        <f t="shared" ref="O27:O33" ca="1" si="5">IF(VLOOKUP(F27,INDIRECT(M27&amp;"!C:M"),10,0)="","",VLOOKUP(F27,INDIRECT(M27&amp;"!C:M"),10,0))</f>
        <v>1</v>
      </c>
      <c r="R27" s="1"/>
      <c r="S27" s="2"/>
    </row>
    <row r="28" spans="1:24" ht="25.15" customHeight="1" x14ac:dyDescent="0.2">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15" customHeight="1" x14ac:dyDescent="0.2">
      <c r="F29">
        <v>28</v>
      </c>
      <c r="G29" s="68">
        <v>-7</v>
      </c>
      <c r="H29" s="172">
        <v>45480.75</v>
      </c>
      <c r="I29" s="174">
        <f t="shared" si="1"/>
        <v>45480.875</v>
      </c>
      <c r="J29" s="171" t="s">
        <v>52</v>
      </c>
      <c r="K29" s="171" t="s">
        <v>53</v>
      </c>
      <c r="L29" s="171" t="s">
        <v>129</v>
      </c>
      <c r="M29" s="68" t="s">
        <v>60</v>
      </c>
      <c r="N29" s="68">
        <f t="shared" ca="1" si="4"/>
        <v>2</v>
      </c>
      <c r="O29" s="68">
        <f t="shared" ca="1" si="5"/>
        <v>1</v>
      </c>
      <c r="R29" s="1"/>
      <c r="S29" s="2"/>
    </row>
    <row r="30" spans="1:24" ht="25.15" customHeight="1" x14ac:dyDescent="0.2">
      <c r="F30">
        <v>29</v>
      </c>
      <c r="G30" s="68">
        <v>-4</v>
      </c>
      <c r="H30" s="172">
        <v>45482.833333333336</v>
      </c>
      <c r="I30" s="174">
        <f t="shared" si="1"/>
        <v>45482.833333333336</v>
      </c>
      <c r="J30" s="171" t="s">
        <v>136</v>
      </c>
      <c r="K30" s="171" t="s">
        <v>137</v>
      </c>
      <c r="L30" s="171" t="s">
        <v>120</v>
      </c>
      <c r="M30" s="68" t="s">
        <v>64</v>
      </c>
      <c r="N30" s="68">
        <f t="shared" ca="1" si="4"/>
        <v>0</v>
      </c>
      <c r="O30" s="68">
        <f t="shared" ca="1" si="5"/>
        <v>1</v>
      </c>
      <c r="R30" s="1"/>
      <c r="S30" s="2"/>
    </row>
    <row r="31" spans="1:24" ht="25.15" customHeight="1" x14ac:dyDescent="0.2">
      <c r="F31">
        <v>30</v>
      </c>
      <c r="G31" s="68">
        <v>-4</v>
      </c>
      <c r="H31" s="172">
        <v>45483.833333333336</v>
      </c>
      <c r="I31" s="174">
        <f t="shared" si="1"/>
        <v>45483.833333333336</v>
      </c>
      <c r="J31" s="171" t="s">
        <v>138</v>
      </c>
      <c r="K31" s="171" t="s">
        <v>139</v>
      </c>
      <c r="L31" s="171" t="s">
        <v>165</v>
      </c>
      <c r="M31" s="68" t="s">
        <v>64</v>
      </c>
      <c r="N31" s="68">
        <f t="shared" ca="1" si="4"/>
        <v>2</v>
      </c>
      <c r="O31" s="68">
        <f t="shared" ca="1" si="5"/>
        <v>1</v>
      </c>
      <c r="R31" s="1"/>
      <c r="S31" s="2"/>
    </row>
    <row r="32" spans="1:24" ht="25.15" customHeight="1" x14ac:dyDescent="0.2">
      <c r="F32">
        <v>31</v>
      </c>
      <c r="G32" s="68">
        <v>-4</v>
      </c>
      <c r="H32" s="172">
        <v>45486.833333333336</v>
      </c>
      <c r="I32" s="174">
        <f t="shared" si="1"/>
        <v>45486.833333333336</v>
      </c>
      <c r="J32" s="171" t="s">
        <v>140</v>
      </c>
      <c r="K32" s="171" t="s">
        <v>141</v>
      </c>
      <c r="L32" s="171" t="s">
        <v>165</v>
      </c>
      <c r="M32" s="68" t="s">
        <v>11</v>
      </c>
      <c r="N32" s="68">
        <f t="shared" ca="1" si="4"/>
        <v>2</v>
      </c>
      <c r="O32" s="68">
        <f t="shared" ca="1" si="5"/>
        <v>0</v>
      </c>
      <c r="R32" s="1"/>
      <c r="S32" s="2"/>
    </row>
    <row r="33" spans="6:15" ht="25.15" customHeight="1" x14ac:dyDescent="0.2">
      <c r="F33">
        <v>32</v>
      </c>
      <c r="G33" s="68">
        <v>-4</v>
      </c>
      <c r="H33" s="172">
        <v>45487.833333333336</v>
      </c>
      <c r="I33" s="174">
        <f t="shared" si="1"/>
        <v>45487.833333333336</v>
      </c>
      <c r="J33" s="171" t="s">
        <v>142</v>
      </c>
      <c r="K33" s="171" t="s">
        <v>143</v>
      </c>
      <c r="L33" s="171" t="s">
        <v>118</v>
      </c>
      <c r="M33" s="68" t="s">
        <v>11</v>
      </c>
      <c r="N33" s="68">
        <f t="shared" ca="1" si="4"/>
        <v>1</v>
      </c>
      <c r="O33" s="68">
        <f t="shared" ca="1" si="5"/>
        <v>2</v>
      </c>
    </row>
  </sheetData>
  <autoFilter ref="E1:O33" xr:uid="{F39B011E-B077-4AB3-A1A0-17DAD78EA483}"/>
  <sortState xmlns:xlrd2="http://schemas.microsoft.com/office/spreadsheetml/2017/richdata2" ref="A2:C17">
    <sortCondition ref="A17"/>
  </sortState>
  <conditionalFormatting sqref="N2:O33">
    <cfRule type="expression" dxfId="32" priority="1">
      <formula>#REF!="P"</formula>
    </cfRule>
    <cfRule type="expression" dxfId="31" priority="2">
      <formula>#REF!="E"</formula>
    </cfRule>
    <cfRule type="expression" dxfId="30" priority="3">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defaultColWidth="10.76171875" defaultRowHeight="15" x14ac:dyDescent="0.2"/>
  <cols>
    <col min="1" max="1" width="4.5703125" customWidth="1"/>
    <col min="2" max="2" width="1.8828125" customWidth="1"/>
    <col min="3" max="3" width="4.9765625" customWidth="1"/>
    <col min="4" max="4" width="22.8671875" customWidth="1"/>
    <col min="5" max="14" width="8.875" customWidth="1"/>
    <col min="15" max="15" width="1.8828125" customWidth="1"/>
    <col min="16" max="16" width="10.76171875" style="82"/>
    <col min="17" max="17" width="10.76171875" style="119"/>
    <col min="18" max="18" width="12.5078125" style="120" customWidth="1"/>
    <col min="19" max="23" width="7.93359375" style="120" customWidth="1"/>
    <col min="24" max="25" width="10.76171875" style="121"/>
    <col min="26" max="26" width="10.76171875" style="122"/>
    <col min="27" max="27" width="11.43359375" style="122" customWidth="1"/>
    <col min="28" max="31" width="10.76171875" style="121"/>
  </cols>
  <sheetData>
    <row r="1" spans="3:28" x14ac:dyDescent="0.2">
      <c r="Q1" s="286" t="s">
        <v>193</v>
      </c>
    </row>
    <row r="2" spans="3:28" ht="14.65" customHeight="1" thickBot="1" x14ac:dyDescent="0.25">
      <c r="Q2" s="287"/>
    </row>
    <row r="3" spans="3:28" ht="56.65" customHeight="1" x14ac:dyDescent="0.2">
      <c r="C3" s="143"/>
      <c r="D3" s="144"/>
      <c r="E3" s="292" t="s">
        <v>177</v>
      </c>
      <c r="F3" s="292"/>
      <c r="G3" s="292"/>
      <c r="H3" s="292"/>
      <c r="I3" s="292"/>
      <c r="J3" s="292"/>
      <c r="K3" s="292"/>
      <c r="L3" s="144"/>
      <c r="M3" s="144"/>
      <c r="N3" s="145"/>
      <c r="P3" s="196"/>
      <c r="Q3" s="260" t="s">
        <v>194</v>
      </c>
      <c r="R3" s="261"/>
    </row>
    <row r="4" spans="3:28" ht="27.4" customHeight="1" thickBot="1" x14ac:dyDescent="0.25">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25">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25">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
      <c r="Q29"/>
    </row>
    <row r="30" spans="3:28" x14ac:dyDescent="0.2">
      <c r="Q30"/>
    </row>
    <row r="31" spans="3:28" x14ac:dyDescent="0.2">
      <c r="Q31"/>
    </row>
    <row r="32" spans="3:28" ht="14.25" customHeight="1" x14ac:dyDescent="0.2">
      <c r="Q32"/>
    </row>
    <row r="33" spans="17:18" x14ac:dyDescent="0.2">
      <c r="Q33"/>
      <c r="R33" s="82"/>
    </row>
    <row r="34" spans="17:18" x14ac:dyDescent="0.2">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defaultColWidth="10.76171875" defaultRowHeight="15" x14ac:dyDescent="0.2"/>
  <cols>
    <col min="1" max="1" width="4.5703125" customWidth="1"/>
    <col min="2" max="2" width="2.5546875" customWidth="1"/>
    <col min="3" max="3" width="15.6015625" customWidth="1"/>
    <col min="4" max="4" width="10.625" customWidth="1"/>
    <col min="5" max="5" width="7.53125" customWidth="1"/>
    <col min="6" max="7" width="10.625" customWidth="1"/>
    <col min="8" max="8" width="7.53125" customWidth="1"/>
    <col min="9" max="10" width="10.625" customWidth="1"/>
    <col min="11" max="11" width="7.53125" customWidth="1"/>
    <col min="12" max="13" width="10.625" customWidth="1"/>
    <col min="14" max="14" width="7.53125" customWidth="1"/>
    <col min="15" max="15" width="10.625" customWidth="1"/>
    <col min="16" max="16" width="2.5546875" customWidth="1"/>
    <col min="18" max="18" width="2.5546875" customWidth="1"/>
    <col min="19" max="19" width="11.703125" customWidth="1"/>
    <col min="20" max="27" width="14.52734375" customWidth="1"/>
    <col min="28" max="28" width="2.5546875" customWidth="1"/>
    <col min="30" max="30" width="18.83203125" style="207" bestFit="1" customWidth="1"/>
    <col min="31" max="31" width="10.76171875" style="207"/>
  </cols>
  <sheetData>
    <row r="1" spans="1:31" ht="15" customHeight="1" x14ac:dyDescent="0.2">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25">
      <c r="C2" s="207"/>
      <c r="D2" s="207"/>
      <c r="E2" s="207"/>
      <c r="F2" s="207"/>
      <c r="G2" s="207"/>
      <c r="H2" s="207"/>
      <c r="I2" s="207"/>
      <c r="J2" s="207"/>
      <c r="K2" s="207"/>
      <c r="L2" s="207"/>
      <c r="M2" s="207"/>
      <c r="AD2" s="207" t="s">
        <v>60</v>
      </c>
      <c r="AE2" s="207">
        <v>8</v>
      </c>
    </row>
    <row r="3" spans="1:31" ht="15" customHeight="1" thickBot="1" x14ac:dyDescent="0.25">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
      <c r="B4" s="214"/>
      <c r="C4" s="293" t="s">
        <v>191</v>
      </c>
      <c r="D4" s="294"/>
      <c r="E4" s="294"/>
      <c r="F4" s="294"/>
      <c r="G4" s="294"/>
      <c r="H4" s="294"/>
      <c r="I4" s="294"/>
      <c r="J4" s="294"/>
      <c r="K4" s="294"/>
      <c r="L4" s="294"/>
      <c r="M4" s="294"/>
      <c r="N4" s="294"/>
      <c r="O4" s="295"/>
      <c r="P4" s="123"/>
      <c r="R4" s="214"/>
      <c r="S4" s="296" t="s">
        <v>175</v>
      </c>
      <c r="T4" s="297"/>
      <c r="U4" s="297"/>
      <c r="V4" s="297"/>
      <c r="W4" s="297"/>
      <c r="X4" s="297"/>
      <c r="Y4" s="297"/>
      <c r="Z4" s="297"/>
      <c r="AA4" s="298"/>
      <c r="AB4" s="123"/>
      <c r="AD4" s="207" t="s">
        <v>11</v>
      </c>
      <c r="AE4" s="207">
        <v>3</v>
      </c>
    </row>
    <row r="5" spans="1:31" ht="20.100000000000001" customHeight="1" x14ac:dyDescent="0.2">
      <c r="B5" s="214"/>
      <c r="C5" s="146"/>
      <c r="D5" s="299" t="str">
        <f>"Grupo "&amp;VLOOKUP(D1,Aux!$F:$O,8,0)</f>
        <v>Grupo A</v>
      </c>
      <c r="E5" s="300"/>
      <c r="F5" s="301"/>
      <c r="G5" s="299" t="str">
        <f>"Grupo "&amp;VLOOKUP(G1,Aux!$F:$O,8,0)</f>
        <v>Grupo A</v>
      </c>
      <c r="H5" s="300"/>
      <c r="I5" s="301"/>
      <c r="J5" s="299" t="str">
        <f>"Grupo "&amp;VLOOKUP(J1,Aux!$F:$O,8,0)</f>
        <v>Grupo B</v>
      </c>
      <c r="K5" s="300"/>
      <c r="L5" s="301"/>
      <c r="M5" s="299" t="str">
        <f>"Grupo "&amp;VLOOKUP(M1,Aux!$F:$O,8,0)</f>
        <v>Grupo B</v>
      </c>
      <c r="N5" s="300"/>
      <c r="O5" s="301"/>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
      <c r="B6" s="214"/>
      <c r="C6" s="146"/>
      <c r="D6" s="302" t="str">
        <f>VLOOKUP(D1,Aux!$F:$O,5,0)</f>
        <v>Argentina</v>
      </c>
      <c r="E6" s="217">
        <f>VLOOKUP(D1,Aux!$F:$O,3,0)</f>
        <v>45463.833333333336</v>
      </c>
      <c r="F6" s="302" t="str">
        <f>VLOOKUP(D1,Aux!$F:$O,6,0)</f>
        <v>Canadá</v>
      </c>
      <c r="G6" s="302" t="str">
        <f>VLOOKUP(G1,Aux!$F:$O,5,0)</f>
        <v>Perú</v>
      </c>
      <c r="H6" s="217">
        <f>VLOOKUP(G1,Aux!$F:$O,3,0)</f>
        <v>45464.791666666664</v>
      </c>
      <c r="I6" s="302" t="str">
        <f>VLOOKUP(G1,Aux!$F:$O,6,0)</f>
        <v>Chile</v>
      </c>
      <c r="J6" s="302" t="str">
        <f>VLOOKUP(J1,Aux!$F:$O,5,0)</f>
        <v>Ecuador</v>
      </c>
      <c r="K6" s="217">
        <f>VLOOKUP(J1,Aux!$F:$O,3,0)</f>
        <v>45465.625</v>
      </c>
      <c r="L6" s="302" t="str">
        <f>VLOOKUP(J1,Aux!$F:$O,6,0)</f>
        <v>Venezuela</v>
      </c>
      <c r="M6" s="302" t="str">
        <f>VLOOKUP(M1,Aux!$F:$O,5,0)</f>
        <v>México</v>
      </c>
      <c r="N6" s="217">
        <f>VLOOKUP(M1,Aux!$F:$O,3,0)</f>
        <v>45465.833333333336</v>
      </c>
      <c r="O6" s="302"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
      <c r="B7" s="214"/>
      <c r="C7" s="146"/>
      <c r="D7" s="302"/>
      <c r="E7" s="220">
        <f>+E6</f>
        <v>45463.833333333336</v>
      </c>
      <c r="F7" s="302"/>
      <c r="G7" s="302"/>
      <c r="H7" s="220">
        <f>+H6</f>
        <v>45464.791666666664</v>
      </c>
      <c r="I7" s="302"/>
      <c r="J7" s="302"/>
      <c r="K7" s="220">
        <f>+K6</f>
        <v>45465.625</v>
      </c>
      <c r="L7" s="302"/>
      <c r="M7" s="302"/>
      <c r="N7" s="220">
        <f>+N6</f>
        <v>45465.833333333336</v>
      </c>
      <c r="O7" s="302"/>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25">
      <c r="B8" s="214"/>
      <c r="C8" s="112" t="s">
        <v>99</v>
      </c>
      <c r="D8" s="221">
        <f ca="1">VLOOKUP(D1,Aux!$F:$O,9,0)</f>
        <v>3</v>
      </c>
      <c r="E8" s="222">
        <f ca="1">+IF(D8="","",IF(D8&gt;F8,1,IF(D8=F8,"X",2)))</f>
        <v>1</v>
      </c>
      <c r="F8" s="223">
        <f ca="1">VLOOKUP(D1,Aux!$F:$O,10,0)</f>
        <v>1</v>
      </c>
      <c r="G8" s="221">
        <f ca="1">VLOOKUP(G1,Aux!$F:$O,9,0)</f>
        <v>1</v>
      </c>
      <c r="H8" s="222">
        <f ca="1">+IF(G8="","",IF(G8&gt;I8,1,IF(G8=I8,"X",2)))</f>
        <v>1</v>
      </c>
      <c r="I8" s="223">
        <f ca="1">VLOOKUP(G1,Aux!$F:$O,10,0)</f>
        <v>0</v>
      </c>
      <c r="J8" s="221">
        <f ca="1">VLOOKUP(J1,Aux!$F:$O,9,0)</f>
        <v>1</v>
      </c>
      <c r="K8" s="222">
        <f ca="1">+IF(J8="","",IF(J8&gt;L8,1,IF(J8=L8,"X",2)))</f>
        <v>2</v>
      </c>
      <c r="L8" s="223">
        <f ca="1">VLOOKUP(J1,Aux!$F:$O,10,0)</f>
        <v>2</v>
      </c>
      <c r="M8" s="221">
        <f ca="1">VLOOKUP(M1,Aux!$F:$O,9,0)</f>
        <v>2</v>
      </c>
      <c r="N8" s="222">
        <f ca="1">+IF(M8="","",IF(M8&gt;O8,1,IF(M8=O8,"X",2)))</f>
        <v>1</v>
      </c>
      <c r="O8" s="223">
        <f ca="1">VLOOKUP(M1,Aux!$F:$O,10,0)</f>
        <v>1</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25">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25">
      <c r="B30" s="237"/>
      <c r="C30" s="238"/>
      <c r="D30" s="238"/>
      <c r="E30" s="238"/>
      <c r="F30" s="238"/>
      <c r="G30" s="238"/>
      <c r="H30" s="238"/>
      <c r="I30" s="238"/>
      <c r="J30" s="238"/>
      <c r="K30" s="238"/>
      <c r="L30" s="238"/>
      <c r="M30" s="238"/>
      <c r="N30" s="238"/>
      <c r="O30" s="238"/>
      <c r="P30" s="99"/>
    </row>
    <row r="32" spans="2:31" ht="15.75" thickBot="1" x14ac:dyDescent="0.25">
      <c r="Q32" s="259"/>
    </row>
    <row r="33" spans="17:17" x14ac:dyDescent="0.2">
      <c r="Q33" s="286" t="s">
        <v>193</v>
      </c>
    </row>
    <row r="34" spans="17:17" ht="15.75" thickBot="1" x14ac:dyDescent="0.25">
      <c r="Q34" s="287"/>
    </row>
    <row r="35" spans="17:17" x14ac:dyDescent="0.2">
      <c r="Q35" s="276" t="s">
        <v>194</v>
      </c>
    </row>
    <row r="36" spans="17:17" ht="15.75" thickBot="1" x14ac:dyDescent="0.25">
      <c r="Q36" s="277"/>
    </row>
    <row r="37" spans="17:17" x14ac:dyDescent="0.2">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bottomLeft" activeCell="AA17" sqref="AA17"/>
      <selection pane="topRight" activeCell="AA17" sqref="AA17"/>
      <selection pane="bottomRight"/>
    </sheetView>
  </sheetViews>
  <sheetFormatPr defaultColWidth="10.76171875" defaultRowHeight="15" x14ac:dyDescent="0.2"/>
  <cols>
    <col min="1" max="1" width="13.71875" bestFit="1" customWidth="1"/>
    <col min="2" max="10" width="10.0859375" bestFit="1" customWidth="1"/>
    <col min="11" max="78" width="11.1640625" bestFit="1" customWidth="1"/>
    <col min="79" max="79" width="12.5078125" bestFit="1" customWidth="1"/>
    <col min="80" max="85" width="11.1640625" bestFit="1" customWidth="1"/>
    <col min="86" max="87" width="12.5078125" bestFit="1" customWidth="1"/>
    <col min="88" max="90" width="11.1640625" bestFit="1" customWidth="1"/>
    <col min="91" max="92" width="12.5078125" bestFit="1" customWidth="1"/>
    <col min="93" max="93" width="11.1640625" bestFit="1" customWidth="1"/>
    <col min="94" max="94" width="12.5078125" bestFit="1" customWidth="1"/>
    <col min="95" max="100" width="11.1640625" bestFit="1" customWidth="1"/>
    <col min="101" max="119" width="12.10546875" bestFit="1" customWidth="1"/>
    <col min="120" max="194" width="10.76171875" bestFit="1" customWidth="1"/>
    <col min="195" max="212" width="9.28125" customWidth="1"/>
    <col min="232" max="279" width="4.976562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defaultColWidth="10.76171875" defaultRowHeight="15" x14ac:dyDescent="0.2"/>
  <cols>
    <col min="2" max="2" width="17.21875" customWidth="1"/>
    <col min="5" max="76" width="6.05078125" customWidth="1"/>
    <col min="81" max="95" width="10.76171875" customWidth="1"/>
    <col min="96" max="119" width="6.05078125" customWidth="1"/>
    <col min="139" max="161" width="4.9765625" customWidth="1"/>
  </cols>
  <sheetData>
    <row r="1" spans="2:119" x14ac:dyDescent="0.2">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
      <c r="B3" s="85" t="s">
        <v>99</v>
      </c>
      <c r="E3" s="191">
        <f ca="1">VLOOKUP(E2,Aux!$F:$O,9,0)</f>
        <v>3</v>
      </c>
      <c r="F3" s="191">
        <f ca="1">VLOOKUP(E2,Aux!$F:$O,10,0)</f>
        <v>1</v>
      </c>
      <c r="G3" s="191">
        <f ca="1">IF(OR(E3="",F3=""),"",IF(E3&gt;F3,1,IF(E3=F3,"x",2)))</f>
        <v>1</v>
      </c>
      <c r="H3" s="191">
        <f ca="1">VLOOKUP(H2,Aux!$F:$O,9,0)</f>
        <v>1</v>
      </c>
      <c r="I3" s="191">
        <f ca="1">VLOOKUP(H2,Aux!$F:$O,10,0)</f>
        <v>0</v>
      </c>
      <c r="J3" s="191">
        <f t="shared" ref="J3" ca="1" si="0">IF(OR(H3="",I3=""),"",IF(H3&gt;I3,1,IF(H3=I3,"x",2)))</f>
        <v>1</v>
      </c>
      <c r="K3" s="191">
        <f ca="1">VLOOKUP(K2,Aux!$F:$O,9,0)</f>
        <v>1</v>
      </c>
      <c r="L3" s="191">
        <f ca="1">VLOOKUP(K2,Aux!$F:$O,10,0)</f>
        <v>2</v>
      </c>
      <c r="M3" s="191">
        <f t="shared" ref="M3" ca="1" si="1">IF(OR(K3="",L3=""),"",IF(K3&gt;L3,1,IF(K3=L3,"x",2)))</f>
        <v>2</v>
      </c>
      <c r="N3" s="191">
        <f ca="1">VLOOKUP(N2,Aux!$F:$O,9,0)</f>
        <v>2</v>
      </c>
      <c r="O3" s="191">
        <f ca="1">VLOOKUP(N2,Aux!$F:$O,10,0)</f>
        <v>1</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0</v>
      </c>
      <c r="Y3" s="191">
        <f t="shared" ref="Y3" ca="1" si="5">IF(OR(W3="",X3=""),"",IF(W3&gt;X3,1,IF(W3=X3,"x",2)))</f>
        <v>1</v>
      </c>
      <c r="Z3" s="191">
        <f ca="1">VLOOKUP(Z2,Aux!$F:$O,9,0)</f>
        <v>4</v>
      </c>
      <c r="AA3" s="191">
        <f ca="1">VLOOKUP(Z2,Aux!$F:$O,10,0)</f>
        <v>0</v>
      </c>
      <c r="AB3" s="191">
        <f t="shared" ref="AB3" ca="1" si="6">IF(OR(Z3="",AA3=""),"",IF(Z3&gt;AA3,1,IF(Z3=AA3,"x",2)))</f>
        <v>1</v>
      </c>
      <c r="AC3" s="191">
        <f ca="1">VLOOKUP(AC2,Aux!$F:$O,9,0)</f>
        <v>1</v>
      </c>
      <c r="AD3" s="191">
        <f ca="1">VLOOKUP(AC2,Aux!$F:$O,10,0)</f>
        <v>2</v>
      </c>
      <c r="AE3" s="191">
        <f t="shared" ref="AE3" ca="1" si="7">IF(OR(AC3="",AD3=""),"",IF(AC3&gt;AD3,1,IF(AC3=AD3,"x",2)))</f>
        <v>2</v>
      </c>
      <c r="AF3" s="191">
        <f ca="1">VLOOKUP(AF2,Aux!$F:$O,9,0)</f>
        <v>1</v>
      </c>
      <c r="AG3" s="191">
        <f ca="1">VLOOKUP(AF2,Aux!$F:$O,10,0)</f>
        <v>2</v>
      </c>
      <c r="AH3" s="191">
        <f t="shared" ref="AH3" ca="1" si="8">IF(OR(AF3="",AG3=""),"",IF(AF3&gt;AG3,1,IF(AF3=AG3,"x",2)))</f>
        <v>2</v>
      </c>
      <c r="AI3" s="191">
        <f ca="1">VLOOKUP(AI2,Aux!$F:$O,9,0)</f>
        <v>2</v>
      </c>
      <c r="AJ3" s="191">
        <f ca="1">VLOOKUP(AI2,Aux!$F:$O,10,0)</f>
        <v>0</v>
      </c>
      <c r="AK3" s="191">
        <f t="shared" ref="AK3" ca="1" si="9">IF(OR(AI3="",AJ3=""),"",IF(AI3&gt;AJ3,1,IF(AI3=AJ3,"x",2)))</f>
        <v>1</v>
      </c>
      <c r="AL3" s="191">
        <f ca="1">VLOOKUP(AL2,Aux!$F:$O,9,0)</f>
        <v>1</v>
      </c>
      <c r="AM3" s="191">
        <f ca="1">VLOOKUP(AL2,Aux!$F:$O,10,0)</f>
        <v>0</v>
      </c>
      <c r="AN3" s="191">
        <f t="shared" ref="AN3" ca="1" si="10">IF(OR(AL3="",AM3=""),"",IF(AL3&gt;AM3,1,IF(AL3=AM3,"x",2)))</f>
        <v>1</v>
      </c>
      <c r="AO3" s="191">
        <f ca="1">VLOOKUP(AO2,Aux!$F:$O,9,0)</f>
        <v>1</v>
      </c>
      <c r="AP3" s="191">
        <f ca="1">VLOOKUP(AO2,Aux!$F:$O,10,0)</f>
        <v>3</v>
      </c>
      <c r="AQ3" s="191">
        <f t="shared" ref="AQ3" ca="1" si="11">IF(OR(AO3="",AP3=""),"",IF(AO3&gt;AP3,1,IF(AO3=AP3,"x",2)))</f>
        <v>2</v>
      </c>
      <c r="AR3" s="191">
        <f ca="1">VLOOKUP(AR2,Aux!$F:$O,9,0)</f>
        <v>3</v>
      </c>
      <c r="AS3" s="191">
        <f ca="1">VLOOKUP(AR2,Aux!$F:$O,10,0)</f>
        <v>0</v>
      </c>
      <c r="AT3" s="191">
        <f t="shared" ref="AT3" ca="1" si="12">IF(OR(AR3="",AS3=""),"",IF(AR3&gt;AS3,1,IF(AR3=AS3,"x",2)))</f>
        <v>1</v>
      </c>
      <c r="AU3" s="191">
        <f ca="1">VLOOKUP(AU2,Aux!$F:$O,9,0)</f>
        <v>3</v>
      </c>
      <c r="AV3" s="191">
        <f ca="1">VLOOKUP(AU2,Aux!$F:$O,10,0)</f>
        <v>1</v>
      </c>
      <c r="AW3" s="191">
        <f t="shared" ref="AW3" ca="1" si="13">IF(OR(AU3="",AV3=""),"",IF(AU3&gt;AV3,1,IF(AU3=AV3,"x",2)))</f>
        <v>1</v>
      </c>
      <c r="AX3" s="191">
        <f ca="1">VLOOKUP(AX2,Aux!$F:$O,9,0)</f>
        <v>1</v>
      </c>
      <c r="AY3" s="191">
        <f ca="1">VLOOKUP(AX2,Aux!$F:$O,10,0)</f>
        <v>2</v>
      </c>
      <c r="AZ3" s="191">
        <f t="shared" ref="AZ3" ca="1" si="14">IF(OR(AX3="",AY3=""),"",IF(AX3&gt;AY3,1,IF(AX3=AY3,"x",2)))</f>
        <v>2</v>
      </c>
      <c r="BA3" s="191">
        <f ca="1">VLOOKUP(BA2,Aux!$F:$O,9,0)</f>
        <v>1</v>
      </c>
      <c r="BB3" s="191">
        <f ca="1">VLOOKUP(BA2,Aux!$F:$O,10,0)</f>
        <v>1</v>
      </c>
      <c r="BC3" s="191" t="str">
        <f t="shared" ref="BC3" ca="1" si="15">IF(OR(BA3="",BB3=""),"",IF(BA3&gt;BB3,1,IF(BA3=BB3,"x",2)))</f>
        <v>x</v>
      </c>
      <c r="BD3" s="191">
        <f ca="1">VLOOKUP(BD2,Aux!$F:$O,9,0)</f>
        <v>3</v>
      </c>
      <c r="BE3" s="191">
        <f ca="1">VLOOKUP(BD2,Aux!$F:$O,10,0)</f>
        <v>2</v>
      </c>
      <c r="BF3" s="191">
        <f t="shared" ref="BF3" ca="1" si="16">IF(OR(BD3="",BE3=""),"",IF(BD3&gt;BE3,1,IF(BD3=BE3,"x",2)))</f>
        <v>1</v>
      </c>
      <c r="BG3" s="191">
        <f ca="1">VLOOKUP(BG2,Aux!$F:$O,9,0)</f>
        <v>1</v>
      </c>
      <c r="BH3" s="191">
        <f ca="1">VLOOKUP(BG2,Aux!$F:$O,10,0)</f>
        <v>3</v>
      </c>
      <c r="BI3" s="191">
        <f t="shared" ref="BI3" ca="1" si="17">IF(OR(BG3="",BH3=""),"",IF(BG3&gt;BH3,1,IF(BG3=BH3,"x",2)))</f>
        <v>2</v>
      </c>
      <c r="BJ3" s="191">
        <f ca="1">VLOOKUP(BJ2,Aux!$F:$O,9,0)</f>
        <v>1</v>
      </c>
      <c r="BK3" s="191">
        <f ca="1">VLOOKUP(BJ2,Aux!$F:$O,10,0)</f>
        <v>2</v>
      </c>
      <c r="BL3" s="191">
        <f t="shared" ref="BL3" ca="1" si="18">IF(OR(BJ3="",BK3=""),"",IF(BJ3&gt;BK3,1,IF(BJ3=BK3,"x",2)))</f>
        <v>2</v>
      </c>
      <c r="BM3" s="191">
        <f ca="1">VLOOKUP(BM2,Aux!$F:$O,9,0)</f>
        <v>1</v>
      </c>
      <c r="BN3" s="191">
        <f ca="1">VLOOKUP(BM2,Aux!$F:$O,10,0)</f>
        <v>2</v>
      </c>
      <c r="BO3" s="191">
        <f t="shared" ref="BO3" ca="1" si="19">IF(OR(BM3="",BN3=""),"",IF(BM3&gt;BN3,1,IF(BM3=BN3,"x",2)))</f>
        <v>2</v>
      </c>
      <c r="BP3" s="191">
        <f ca="1">VLOOKUP(BP2,Aux!$F:$O,9,0)</f>
        <v>2</v>
      </c>
      <c r="BQ3" s="191">
        <f ca="1">VLOOKUP(BP2,Aux!$F:$O,10,0)</f>
        <v>1</v>
      </c>
      <c r="BR3" s="191">
        <f t="shared" ref="BR3" ca="1" si="20">IF(OR(BP3="",BQ3=""),"",IF(BP3&gt;BQ3,1,IF(BP3=BQ3,"x",2)))</f>
        <v>1</v>
      </c>
      <c r="BS3" s="191">
        <f ca="1">VLOOKUP(BS2,Aux!$F:$O,9,0)</f>
        <v>1</v>
      </c>
      <c r="BT3" s="191">
        <f ca="1">VLOOKUP(BS2,Aux!$F:$O,10,0)</f>
        <v>1</v>
      </c>
      <c r="BU3" s="191" t="str">
        <f t="shared" ref="BU3" ca="1" si="21">IF(OR(BS3="",BT3=""),"",IF(BS3&gt;BT3,1,IF(BS3=BT3,"x",2)))</f>
        <v>x</v>
      </c>
      <c r="BV3" s="191">
        <f ca="1">VLOOKUP(BV2,Aux!$F:$O,9,0)</f>
        <v>1</v>
      </c>
      <c r="BW3" s="191">
        <f ca="1">VLOOKUP(BV2,Aux!$F:$O,10,0)</f>
        <v>2</v>
      </c>
      <c r="BX3" s="191">
        <f t="shared" ref="BX3" ca="1" si="22">IF(OR(BV3="",BW3=""),"",IF(BV3&gt;BW3,1,IF(BV3=BW3,"x",2)))</f>
        <v>2</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Ecuador</v>
      </c>
      <c r="CE3" s="191" t="str">
        <f ca="1">IF(CB3="","",Cuartos!H12)</f>
        <v>Venezuela</v>
      </c>
      <c r="CF3" s="191" t="str">
        <f ca="1">IF(CB3="","",Cuartos!N12)</f>
        <v>Canadá</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Venezuela</v>
      </c>
      <c r="CM3" s="191" t="str">
        <f ca="1">Semis!H12</f>
        <v>Uruguay</v>
      </c>
      <c r="CN3" s="191" t="str">
        <f ca="1">Semis!N12</f>
        <v>Brasil</v>
      </c>
      <c r="CO3" s="191" t="str">
        <f ca="1">Final!H15</f>
        <v>Venezuela</v>
      </c>
      <c r="CP3" s="191" t="str">
        <f ca="1">Final!N15</f>
        <v>Uruguay</v>
      </c>
      <c r="CQ3" s="191" t="str">
        <f ca="1">Final!H22</f>
        <v>Uruguay</v>
      </c>
      <c r="CR3" s="191">
        <f ca="1">VLOOKUP(CR2,Aux!$F:$O,9,0)</f>
        <v>2</v>
      </c>
      <c r="CS3" s="191">
        <f ca="1">VLOOKUP(CR2,Aux!$F:$O,10,0)</f>
        <v>0</v>
      </c>
      <c r="CT3" s="191">
        <f t="shared" ref="CT3" ca="1" si="23">IF(OR(CR3="",CS3=""),"",IF(CR3&gt;CS3,1,IF(CR3=CS3,"x",2)))</f>
        <v>1</v>
      </c>
      <c r="CU3" s="191">
        <f ca="1">VLOOKUP(CU2,Aux!$F:$O,9,0)</f>
        <v>2</v>
      </c>
      <c r="CV3" s="191">
        <f ca="1">VLOOKUP(CU2,Aux!$F:$O,10,0)</f>
        <v>1</v>
      </c>
      <c r="CW3" s="191">
        <f t="shared" ref="CW3" ca="1" si="24">IF(OR(CU3="",CV3=""),"",IF(CU3&gt;CV3,1,IF(CU3=CV3,"x",2)))</f>
        <v>1</v>
      </c>
      <c r="CX3" s="191">
        <f ca="1">VLOOKUP(CX2,Aux!$F:$O,9,0)</f>
        <v>3</v>
      </c>
      <c r="CY3" s="191">
        <f ca="1">VLOOKUP(CX2,Aux!$F:$O,10,0)</f>
        <v>1</v>
      </c>
      <c r="CZ3" s="191">
        <f t="shared" ref="CZ3" ca="1" si="25">IF(OR(CX3="",CY3=""),"",IF(CX3&gt;CY3,1,IF(CX3=CY3,"x",2)))</f>
        <v>1</v>
      </c>
      <c r="DA3" s="191">
        <f ca="1">VLOOKUP(DA2,Aux!$F:$O,9,0)</f>
        <v>2</v>
      </c>
      <c r="DB3" s="191">
        <f ca="1">VLOOKUP(DA2,Aux!$F:$O,10,0)</f>
        <v>1</v>
      </c>
      <c r="DC3" s="191">
        <f t="shared" ref="DC3" ca="1" si="26">IF(OR(DA3="",DB3=""),"",IF(DA3&gt;DB3,1,IF(DA3=DB3,"x",2)))</f>
        <v>1</v>
      </c>
      <c r="DD3" s="191">
        <f ca="1">VLOOKUP(DD2,Aux!$F:$O,9,0)</f>
        <v>0</v>
      </c>
      <c r="DE3" s="191">
        <f ca="1">VLOOKUP(DD2,Aux!$F:$O,10,0)</f>
        <v>1</v>
      </c>
      <c r="DF3" s="191">
        <f t="shared" ref="DF3" ca="1" si="27">IF(OR(DD3="",DE3=""),"",IF(DD3&gt;DE3,1,IF(DD3=DE3,"x",2)))</f>
        <v>2</v>
      </c>
      <c r="DG3" s="191">
        <f ca="1">VLOOKUP(DG2,Aux!$F:$O,9,0)</f>
        <v>2</v>
      </c>
      <c r="DH3" s="191">
        <f ca="1">VLOOKUP(DG2,Aux!$F:$O,10,0)</f>
        <v>1</v>
      </c>
      <c r="DI3" s="191">
        <f t="shared" ref="DI3" ca="1" si="28">IF(OR(DG3="",DH3=""),"",IF(DG3&gt;DH3,1,IF(DG3=DH3,"x",2)))</f>
        <v>1</v>
      </c>
      <c r="DJ3" s="191">
        <f ca="1">VLOOKUP(DJ2,Aux!$F:$O,9,0)</f>
        <v>2</v>
      </c>
      <c r="DK3" s="191">
        <f ca="1">VLOOKUP(DJ2,Aux!$F:$O,10,0)</f>
        <v>0</v>
      </c>
      <c r="DL3" s="191">
        <f t="shared" ref="DL3" ca="1" si="29">IF(OR(DJ3="",DK3=""),"",IF(DJ3&gt;DK3,1,IF(DJ3=DK3,"x",2)))</f>
        <v>1</v>
      </c>
      <c r="DM3" s="191">
        <f ca="1">VLOOKUP(DM2,Aux!$F:$O,9,0)</f>
        <v>1</v>
      </c>
      <c r="DN3" s="191">
        <f ca="1">VLOOKUP(DM2,Aux!$F:$O,10,0)</f>
        <v>2</v>
      </c>
      <c r="DO3" s="191">
        <f t="shared" ref="DO3" ca="1" si="30">IF(OR(DM3="",DN3=""),"",IF(DM3&gt;DN3,1,IF(DM3=DN3,"x",2)))</f>
        <v>2</v>
      </c>
    </row>
    <row r="4" spans="2:119" x14ac:dyDescent="0.2">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
      <c r="B6" s="141" t="s">
        <v>95</v>
      </c>
      <c r="C6" s="141" t="s">
        <v>96</v>
      </c>
      <c r="D6" s="141" t="s">
        <v>97</v>
      </c>
    </row>
    <row r="7" spans="2:119" x14ac:dyDescent="0.2">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defaultColWidth="10.76171875" defaultRowHeight="15" x14ac:dyDescent="0.2"/>
  <cols>
    <col min="5" max="119" width="6.05078125" customWidth="1"/>
    <col min="120" max="220" width="5.6484375" customWidth="1"/>
  </cols>
  <sheetData>
    <row r="1" spans="2:119" x14ac:dyDescent="0.2">
      <c r="B1" s="85" t="str">
        <f>Normas!C33</f>
        <v xml:space="preserve">Luis Rondón </v>
      </c>
      <c r="C1" s="118" t="str">
        <f>Normas!C35</f>
        <v>Luis.grondon01@gmail.com</v>
      </c>
      <c r="D1" s="118">
        <f>Normas!C37</f>
        <v>4242820801</v>
      </c>
      <c r="E1" s="84">
        <f ca="1">+Resultado!E3</f>
        <v>3</v>
      </c>
      <c r="F1" s="84">
        <f ca="1">+Resultado!F3</f>
        <v>1</v>
      </c>
      <c r="G1" s="84">
        <f ca="1">+Resultado!G3</f>
        <v>1</v>
      </c>
      <c r="H1" s="84">
        <f ca="1">+Resultado!H3</f>
        <v>1</v>
      </c>
      <c r="I1" s="84">
        <f ca="1">+Resultado!I3</f>
        <v>0</v>
      </c>
      <c r="J1" s="84">
        <f ca="1">+Resultado!J3</f>
        <v>1</v>
      </c>
      <c r="K1" s="84">
        <f ca="1">+Resultado!K3</f>
        <v>1</v>
      </c>
      <c r="L1" s="84">
        <f ca="1">+Resultado!L3</f>
        <v>2</v>
      </c>
      <c r="M1" s="84">
        <f ca="1">+Resultado!M3</f>
        <v>2</v>
      </c>
      <c r="N1" s="84">
        <f ca="1">+Resultado!N3</f>
        <v>2</v>
      </c>
      <c r="O1" s="84">
        <f ca="1">+Resultado!O3</f>
        <v>1</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0</v>
      </c>
      <c r="Y1" s="84">
        <f ca="1">+Resultado!Y3</f>
        <v>1</v>
      </c>
      <c r="Z1" s="84">
        <f ca="1">+Resultado!Z3</f>
        <v>4</v>
      </c>
      <c r="AA1" s="84">
        <f ca="1">+Resultado!AA3</f>
        <v>0</v>
      </c>
      <c r="AB1" s="84">
        <f ca="1">+Resultado!AB3</f>
        <v>1</v>
      </c>
      <c r="AC1" s="84">
        <f ca="1">+Resultado!AC3</f>
        <v>1</v>
      </c>
      <c r="AD1" s="84">
        <f ca="1">+Resultado!AD3</f>
        <v>2</v>
      </c>
      <c r="AE1" s="84">
        <f ca="1">+Resultado!AE3</f>
        <v>2</v>
      </c>
      <c r="AF1" s="84">
        <f ca="1">+Resultado!AF3</f>
        <v>1</v>
      </c>
      <c r="AG1" s="84">
        <f ca="1">+Resultado!AG3</f>
        <v>2</v>
      </c>
      <c r="AH1" s="84">
        <f ca="1">+Resultado!AH3</f>
        <v>2</v>
      </c>
      <c r="AI1" s="84">
        <f ca="1">+Resultado!AI3</f>
        <v>2</v>
      </c>
      <c r="AJ1" s="84">
        <f ca="1">+Resultado!AJ3</f>
        <v>0</v>
      </c>
      <c r="AK1" s="84">
        <f ca="1">+Resultado!AK3</f>
        <v>1</v>
      </c>
      <c r="AL1" s="84">
        <f ca="1">+Resultado!AL3</f>
        <v>1</v>
      </c>
      <c r="AM1" s="84">
        <f ca="1">+Resultado!AM3</f>
        <v>0</v>
      </c>
      <c r="AN1" s="84">
        <f ca="1">+Resultado!AN3</f>
        <v>1</v>
      </c>
      <c r="AO1" s="84">
        <f ca="1">+Resultado!AO3</f>
        <v>1</v>
      </c>
      <c r="AP1" s="84">
        <f ca="1">+Resultado!AP3</f>
        <v>3</v>
      </c>
      <c r="AQ1" s="84">
        <f ca="1">+Resultado!AQ3</f>
        <v>2</v>
      </c>
      <c r="AR1" s="84">
        <f ca="1">+Resultado!AR3</f>
        <v>3</v>
      </c>
      <c r="AS1" s="84">
        <f ca="1">+Resultado!AS3</f>
        <v>0</v>
      </c>
      <c r="AT1" s="84">
        <f ca="1">+Resultado!AT3</f>
        <v>1</v>
      </c>
      <c r="AU1" s="84">
        <f ca="1">+Resultado!AU3</f>
        <v>3</v>
      </c>
      <c r="AV1" s="84">
        <f ca="1">+Resultado!AV3</f>
        <v>1</v>
      </c>
      <c r="AW1" s="84">
        <f ca="1">+Resultado!AW3</f>
        <v>1</v>
      </c>
      <c r="AX1" s="84">
        <f ca="1">+Resultado!AX3</f>
        <v>1</v>
      </c>
      <c r="AY1" s="84">
        <f ca="1">+Resultado!AY3</f>
        <v>2</v>
      </c>
      <c r="AZ1" s="84">
        <f ca="1">+Resultado!AZ3</f>
        <v>2</v>
      </c>
      <c r="BA1" s="84">
        <f ca="1">+Resultado!BA3</f>
        <v>1</v>
      </c>
      <c r="BB1" s="84">
        <f ca="1">+Resultado!BB3</f>
        <v>1</v>
      </c>
      <c r="BC1" s="84" t="str">
        <f ca="1">+Resultado!BC3</f>
        <v>x</v>
      </c>
      <c r="BD1" s="84">
        <f ca="1">+Resultado!BD3</f>
        <v>3</v>
      </c>
      <c r="BE1" s="84">
        <f ca="1">+Resultado!BE3</f>
        <v>2</v>
      </c>
      <c r="BF1" s="84">
        <f ca="1">+Resultado!BF3</f>
        <v>1</v>
      </c>
      <c r="BG1" s="84">
        <f ca="1">+Resultado!BG3</f>
        <v>1</v>
      </c>
      <c r="BH1" s="84">
        <f ca="1">+Resultado!BH3</f>
        <v>3</v>
      </c>
      <c r="BI1" s="84">
        <f ca="1">+Resultado!BI3</f>
        <v>2</v>
      </c>
      <c r="BJ1" s="84">
        <f ca="1">+Resultado!BJ3</f>
        <v>1</v>
      </c>
      <c r="BK1" s="84">
        <f ca="1">+Resultado!BK3</f>
        <v>2</v>
      </c>
      <c r="BL1" s="84">
        <f ca="1">+Resultado!BL3</f>
        <v>2</v>
      </c>
      <c r="BM1" s="84">
        <f ca="1">+Resultado!BM3</f>
        <v>1</v>
      </c>
      <c r="BN1" s="84">
        <f ca="1">+Resultado!BN3</f>
        <v>2</v>
      </c>
      <c r="BO1" s="84">
        <f ca="1">+Resultado!BO3</f>
        <v>2</v>
      </c>
      <c r="BP1" s="84">
        <f ca="1">+Resultado!BP3</f>
        <v>2</v>
      </c>
      <c r="BQ1" s="84">
        <f ca="1">+Resultado!BQ3</f>
        <v>1</v>
      </c>
      <c r="BR1" s="84">
        <f ca="1">+Resultado!BR3</f>
        <v>1</v>
      </c>
      <c r="BS1" s="84">
        <f ca="1">+Resultado!BS3</f>
        <v>1</v>
      </c>
      <c r="BT1" s="84">
        <f ca="1">+Resultado!BT3</f>
        <v>1</v>
      </c>
      <c r="BU1" s="84" t="str">
        <f ca="1">+Resultado!BU3</f>
        <v>x</v>
      </c>
      <c r="BV1" s="84">
        <f ca="1">+Resultado!BV3</f>
        <v>1</v>
      </c>
      <c r="BW1" s="84">
        <f ca="1">+Resultado!BW3</f>
        <v>2</v>
      </c>
      <c r="BX1" s="84">
        <f ca="1">+Resultado!BX3</f>
        <v>2</v>
      </c>
      <c r="BY1" s="84" t="str">
        <f ca="1">+Resultado!BY3</f>
        <v>Argentina</v>
      </c>
      <c r="BZ1" s="84" t="str">
        <f ca="1">+Resultado!BZ3</f>
        <v>Venezuela</v>
      </c>
      <c r="CA1" s="84" t="str">
        <f ca="1">+Resultado!CA3</f>
        <v>Uruguay</v>
      </c>
      <c r="CB1" s="84" t="str">
        <f ca="1">+Resultado!CB3</f>
        <v>Brasil</v>
      </c>
      <c r="CC1" s="84" t="str">
        <f ca="1">+Resultado!CC3</f>
        <v>Argentina</v>
      </c>
      <c r="CD1" s="84" t="str">
        <f ca="1">+Resultado!CD3</f>
        <v>Ecuador</v>
      </c>
      <c r="CE1" s="84" t="str">
        <f ca="1">+Resultado!CE3</f>
        <v>Venezuela</v>
      </c>
      <c r="CF1" s="84" t="str">
        <f ca="1">+Resultado!CF3</f>
        <v>Canadá</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Venezuela</v>
      </c>
      <c r="CM1" s="84" t="str">
        <f ca="1">+Resultado!CM3</f>
        <v>Uruguay</v>
      </c>
      <c r="CN1" s="84" t="str">
        <f ca="1">+Resultado!CN3</f>
        <v>Brasil</v>
      </c>
      <c r="CO1" s="84" t="str">
        <f ca="1">+Resultado!CO3</f>
        <v>Venezuela</v>
      </c>
      <c r="CP1" s="84" t="str">
        <f ca="1">+Resultado!CP3</f>
        <v>Uruguay</v>
      </c>
      <c r="CQ1" s="84" t="str">
        <f ca="1">+Resultado!CQ3</f>
        <v>Uruguay</v>
      </c>
      <c r="CR1" s="84">
        <f ca="1">+Resultado!CR3</f>
        <v>2</v>
      </c>
      <c r="CS1" s="84">
        <f ca="1">+Resultado!CS3</f>
        <v>0</v>
      </c>
      <c r="CT1" s="84">
        <f ca="1">+Resultado!CT3</f>
        <v>1</v>
      </c>
      <c r="CU1" s="84">
        <f ca="1">+Resultado!CU3</f>
        <v>2</v>
      </c>
      <c r="CV1" s="84">
        <f ca="1">+Resultado!CV3</f>
        <v>1</v>
      </c>
      <c r="CW1" s="84">
        <f ca="1">+Resultado!CW3</f>
        <v>1</v>
      </c>
      <c r="CX1" s="84">
        <f ca="1">+Resultado!CX3</f>
        <v>3</v>
      </c>
      <c r="CY1" s="84">
        <f ca="1">+Resultado!CY3</f>
        <v>1</v>
      </c>
      <c r="CZ1" s="84">
        <f ca="1">+Resultado!CZ3</f>
        <v>1</v>
      </c>
      <c r="DA1" s="84">
        <f ca="1">+Resultado!DA3</f>
        <v>2</v>
      </c>
      <c r="DB1" s="84">
        <f ca="1">+Resultado!DB3</f>
        <v>1</v>
      </c>
      <c r="DC1" s="84">
        <f ca="1">+Resultado!DC3</f>
        <v>1</v>
      </c>
      <c r="DD1" s="84">
        <f ca="1">+Resultado!DD3</f>
        <v>0</v>
      </c>
      <c r="DE1" s="84">
        <f ca="1">+Resultado!DE3</f>
        <v>1</v>
      </c>
      <c r="DF1" s="84">
        <f ca="1">+Resultado!DF3</f>
        <v>2</v>
      </c>
      <c r="DG1" s="84">
        <f ca="1">+Resultado!DG3</f>
        <v>2</v>
      </c>
      <c r="DH1" s="84">
        <f ca="1">+Resultado!DH3</f>
        <v>1</v>
      </c>
      <c r="DI1" s="84">
        <f ca="1">+Resultado!DI3</f>
        <v>1</v>
      </c>
      <c r="DJ1" s="84">
        <f ca="1">+Resultado!DJ3</f>
        <v>2</v>
      </c>
      <c r="DK1" s="84">
        <f ca="1">+Resultado!DK3</f>
        <v>0</v>
      </c>
      <c r="DL1" s="84">
        <f ca="1">+Resultado!DL3</f>
        <v>1</v>
      </c>
      <c r="DM1" s="84">
        <f ca="1">+Resultado!DM3</f>
        <v>1</v>
      </c>
      <c r="DN1" s="84">
        <f ca="1">+Resultado!DN3</f>
        <v>2</v>
      </c>
      <c r="DO1" s="84">
        <f ca="1">+Resultado!DO3</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2024-06-20T00:01:06Z</dcterms:modified>
</cp:coreProperties>
</file>