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AA1D53B9-8669-46B1-9708-03F02F52D80C}" xr6:coauthVersionLast="47" xr6:coauthVersionMax="47" xr10:uidLastSave="{00000000-0000-0000-0000-000000000000}"/>
  <bookViews>
    <workbookView xWindow="-120" yWindow="-120" windowWidth="29040" windowHeight="15720" activeTab="9"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33" i="1"/>
  <c r="N29" i="1"/>
  <c r="N26" i="1"/>
  <c r="O32" i="1"/>
  <c r="O26" i="1"/>
  <c r="O33" i="1"/>
  <c r="O31" i="1"/>
  <c r="N31" i="1"/>
  <c r="N27" i="1"/>
  <c r="O30" i="1"/>
  <c r="O29" i="1"/>
  <c r="N28" i="1"/>
  <c r="O27" i="1"/>
  <c r="O28" i="1"/>
  <c r="N30" i="1"/>
  <c r="N32"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0" i="1"/>
  <c r="O8" i="1"/>
  <c r="O22" i="1"/>
  <c r="N4" i="1"/>
  <c r="N23" i="1"/>
  <c r="O21" i="1"/>
  <c r="O5" i="1"/>
  <c r="N9" i="1"/>
  <c r="O12" i="1"/>
  <c r="O24" i="1"/>
  <c r="N5" i="1"/>
  <c r="O23" i="1"/>
  <c r="O10" i="1"/>
  <c r="N18" i="1"/>
  <c r="N16" i="1"/>
  <c r="O7" i="1"/>
  <c r="N24" i="1"/>
  <c r="O9" i="1"/>
  <c r="O13" i="1"/>
  <c r="N20" i="1"/>
  <c r="O25" i="1"/>
  <c r="O11" i="1"/>
  <c r="N11" i="1"/>
  <c r="N2" i="1"/>
  <c r="N3" i="1"/>
  <c r="N7" i="1"/>
  <c r="O19" i="1"/>
  <c r="N15" i="1"/>
  <c r="O14" i="1"/>
  <c r="O16" i="1"/>
  <c r="O20" i="1"/>
  <c r="N13" i="1"/>
  <c r="N14" i="1"/>
  <c r="N25" i="1"/>
  <c r="O18" i="1"/>
  <c r="N22" i="1"/>
  <c r="N19" i="1"/>
  <c r="O4" i="1"/>
  <c r="N12" i="1"/>
  <c r="O6" i="1"/>
  <c r="O3" i="1"/>
  <c r="O15" i="1"/>
  <c r="O17" i="1"/>
  <c r="N8" i="1"/>
  <c r="N17" i="1"/>
  <c r="O2" i="1"/>
  <c r="N6" i="1"/>
  <c r="N21"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15" i="33" a="1"/>
  <c r="H18" i="33" a="1"/>
  <c r="BZ3" i="38" a="1"/>
  <c r="H15" i="33" a="1"/>
  <c r="N18" i="33" a="1"/>
  <c r="N9" i="33" a="1"/>
  <c r="H12" i="33" a="1"/>
  <c r="CA3" i="38"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X7" i="39" s="1"/>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8" i="39" l="1"/>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K11" i="40" s="1"/>
  <c r="M11" i="40"/>
  <c r="O11" i="40" a="1"/>
  <c r="O11" i="40" s="1"/>
  <c r="C15" i="40"/>
  <c r="S11" i="40"/>
  <c r="C29" i="40"/>
  <c r="S25" i="40"/>
  <c r="S17" i="40"/>
  <c r="C21" i="40"/>
  <c r="C26" i="40"/>
  <c r="S22" i="40"/>
  <c r="S13" i="40"/>
  <c r="C17" i="40"/>
  <c r="C20" i="40"/>
  <c r="S16" i="40"/>
  <c r="I14" i="40" a="1"/>
  <c r="I14" i="40" s="1"/>
  <c r="D14" i="40"/>
  <c r="F14" i="40" a="1"/>
  <c r="F14" i="40" s="1"/>
  <c r="J14" i="40"/>
  <c r="G14" i="40"/>
  <c r="H14" i="40" s="1"/>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2" i="40" l="1"/>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E18" i="40" s="1"/>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K18" i="40" l="1"/>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<sst xmlns="http://schemas.openxmlformats.org/spreadsheetml/2006/main" count="1028" uniqueCount="346">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</sst>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N26" sqref="N2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6</v>
      </c>
      <c r="AS5" s="245">
        <f>+VLOOKUP(AS7,$AD$9:$AF$15,3,0)</f>
        <v>1</v>
      </c>
      <c r="AT5" s="245">
        <f>+VLOOKUP(AT7,$AD$9:$AF$15,3,0)</f>
        <v>1</v>
      </c>
      <c r="AU5" s="245">
        <f>+VLOOKUP(AU7,$AD$9:$AF$15,3,0)</f>
        <v>3</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6</v>
      </c>
      <c r="T9" s="160">
        <f>+VLOOKUP($P9,$AD$9:$AK$15,4,0)</f>
        <v>2</v>
      </c>
      <c r="U9" s="160">
        <f>+VLOOKUP($P9,$AD$9:$AK$15,5,0)</f>
        <v>0</v>
      </c>
      <c r="V9" s="160">
        <f>+VLOOKUP($P9,$AD$9:$AK$15,6,0)</f>
        <v>0</v>
      </c>
      <c r="W9" s="161">
        <f>+VLOOKUP($P9,$AD$9:$AK$15,7,0)</f>
        <v>3</v>
      </c>
      <c r="X9" s="161">
        <f>+VLOOKUP($P9,$AD$9:$AK$15,8,0)</f>
        <v>0</v>
      </c>
      <c r="Y9" s="161">
        <f>+W9-X9</f>
        <v>3</v>
      </c>
      <c r="Z9" s="60"/>
      <c r="AA9" s="57"/>
      <c r="AB9" s="53"/>
      <c r="AC9" s="53">
        <v>1</v>
      </c>
      <c r="AD9" s="251" t="str">
        <f>+VLOOKUP($AD$5&amp;AC9,Aux!S:T,2,0)</f>
        <v>Argentina</v>
      </c>
      <c r="AE9" s="53">
        <f>+AG9+AH9+AI9</f>
        <v>2</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0</v>
      </c>
      <c r="AJ9" s="53" cm="1">
        <f t="array" ref="AJ9">SUM(($G$9:$G$22=$AD9)*($H$9:$H$22)+($K$9:$K$22=$AD9)*($J$9:$J$22))</f>
        <v>3</v>
      </c>
      <c r="AK9" s="53" cm="1">
        <f t="array" ref="AK9">SUM(($G$9:$G$22=$AD9)*($J$9:$J$22)+($K$9:$K$22=$AD9)*($H$9:$H$22))</f>
        <v>0</v>
      </c>
      <c r="AL9" s="252">
        <f>+SUMIFS($AR9:$AU9,$AR$5:$AU$5,AF9)</f>
        <v>0</v>
      </c>
      <c r="AM9" s="252">
        <f>+AJ9-AK9</f>
        <v>3</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3</v>
      </c>
      <c r="T11" s="160">
        <f>+VLOOKUP($P11,$AD$9:$AK$15,4,0)</f>
        <v>1</v>
      </c>
      <c r="U11" s="160">
        <f>+VLOOKUP($P11,$AD$9:$AK$15,5,0)</f>
        <v>0</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2</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1</v>
      </c>
      <c r="AJ11" s="53" cm="1">
        <f t="array" ref="AJ11">SUM(($G$9:$G$22=$AD11)*($H$9:$H$22)+($K$9:$K$22=$AD11)*($J$9:$J$22))</f>
        <v>0</v>
      </c>
      <c r="AK11" s="53" cm="1">
        <f t="array" ref="AK11">SUM(($G$9:$G$22=$AD11)*($J$9:$J$22)+($K$9:$K$22=$AD11)*($H$9:$H$22))</f>
        <v>1</v>
      </c>
      <c r="AL11" s="252">
        <f>+SUMIFS($AR11:$AU11,$AR$5:$AU$5,AF11)</f>
        <v>100</v>
      </c>
      <c r="AM11" s="252">
        <f>+AJ11-AK11</f>
        <v>-1</v>
      </c>
      <c r="AN11" s="53">
        <f>+_xlfn.RANK.EQ(AF11,$AF$9:$AF$15)+_xlfn.RANK.EQ(AM11,$AM$9:$AM$15)/10+_xlfn.RANK.EQ(AJ11,$AJ$9:$AJ$15)/100+_xlfn.RANK.EQ(AL11,$AL$9:$AL$15)/1000+ROW()/1000000</f>
        <v>3.2310110000000001</v>
      </c>
      <c r="AO11" s="53">
        <f t="shared" ref="AO11:AO15"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Perú</v>
      </c>
      <c r="Q13" s="157" t="e" vm="3">
        <f>IFERROR(VLOOKUP(P13,Aux!A:C,3,0),"")</f>
        <v>#VALUE!</v>
      </c>
      <c r="R13" s="158"/>
      <c r="S13" s="159">
        <f>+VLOOKUP($P13,$AD$9:$AK$15,3,0)</f>
        <v>1</v>
      </c>
      <c r="T13" s="160">
        <f>+VLOOKUP($P13,$AD$9:$AK$15,4,0)</f>
        <v>0</v>
      </c>
      <c r="U13" s="160">
        <f>+VLOOKUP($P13,$AD$9:$AK$15,5,0)</f>
        <v>1</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2</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1</v>
      </c>
      <c r="AJ13" s="53" cm="1">
        <f t="array" ref="AJ13">SUM(($G$9:$G$22=$AD13)*($H$9:$H$22)+($K$9:$K$22=$AD13)*($J$9:$J$22))</f>
        <v>0</v>
      </c>
      <c r="AK13" s="53" cm="1">
        <f t="array" ref="AK13">SUM(($G$9:$G$22=$AD13)*($J$9:$J$22)+($K$9:$K$22=$AD13)*($H$9:$H$22))</f>
        <v>1</v>
      </c>
      <c r="AL13" s="252">
        <f>+SUMIFS($AR13:$AU13,$AR$5:$AU$5,AF13)</f>
        <v>100</v>
      </c>
      <c r="AM13" s="252">
        <f>+AJ13-AK13</f>
        <v>-1</v>
      </c>
      <c r="AN13" s="53">
        <f>+_xlfn.RANK.EQ(AF13,$AF$9:$AF$15)+_xlfn.RANK.EQ(AM13,$AM$9:$AM$15)/10+_xlfn.RANK.EQ(AJ13,$AJ$9:$AJ$15)/100+_xlfn.RANK.EQ(AL13,$AL$9:$AL$15)/1000+ROW()/1000000</f>
        <v>3.2310129999999999</v>
      </c>
      <c r="AO13" s="53">
        <f t="shared" si="2"/>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Chile</v>
      </c>
      <c r="Q15" s="157" t="e" vm="4">
        <f>IFERROR(VLOOKUP(P15,Aux!A:C,3,0),"")</f>
        <v>#VALUE!</v>
      </c>
      <c r="R15" s="158"/>
      <c r="S15" s="159">
        <f>+VLOOKUP($P15,$AD$9:$AK$15,3,0)</f>
        <v>1</v>
      </c>
      <c r="T15" s="160">
        <f>+VLOOKUP($P15,$AD$9:$AK$15,4,0)</f>
        <v>0</v>
      </c>
      <c r="U15" s="160">
        <f>+VLOOKUP($P15,$AD$9:$AK$15,5,0)</f>
        <v>1</v>
      </c>
      <c r="V15" s="160">
        <f>+VLOOKUP($P15,$AD$9:$AK$15,6,0)</f>
        <v>1</v>
      </c>
      <c r="W15" s="161">
        <f>+VLOOKUP($P15,$AD$9:$AK$15,7,0)</f>
        <v>0</v>
      </c>
      <c r="X15" s="161">
        <f>+VLOOKUP($P15,$AD$9:$AK$15,8,0)</f>
        <v>1</v>
      </c>
      <c r="Y15" s="161">
        <f>+W15-X15</f>
        <v>-1</v>
      </c>
      <c r="Z15" s="60"/>
      <c r="AA15" s="59"/>
      <c r="AB15" s="245"/>
      <c r="AC15" s="53">
        <v>4</v>
      </c>
      <c r="AD15" s="251" t="str">
        <f>+VLOOKUP($AD$5&amp;AC15,Aux!S:T,2,0)</f>
        <v>Canadá</v>
      </c>
      <c r="AE15" s="53">
        <f t="shared" si="0"/>
        <v>2</v>
      </c>
      <c r="AF15" s="53">
        <f t="shared" si="1"/>
        <v>3</v>
      </c>
      <c r="AG15" s="53" cm="1">
        <f t="array" ref="AG15">SUM(($G$9:$G$22=$AD15)*($H$9:$H$22&gt;$J$9:$J$22)+($K$9:$K$22=$AD15)*($H$9:$H$22&lt;$J$9:$J$22))</f>
        <v>1</v>
      </c>
      <c r="AH15" s="53" cm="1">
        <f t="array" ref="AH15">SUM(($G$9:$G$22=$AD15)*($H$9:$H$22=$J$9:$J$22)*($H$9:$H$22&lt;&gt;"")+($K$9:$K$22=$AD15)*($H$9:$H$22=$J$9:$J$22)*($H$9:$H$22&lt;&gt;""))</f>
        <v>0</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2.2230150000000002</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0</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México</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1</v>
      </c>
      <c r="AK9" s="53" cm="1">
        <f t="array" ref="AK9">SUM(($G$9:$G$22=$AD9)*($J$9:$J$22)+($K$9:$K$22=$AD9)*($H$9:$H$22))</f>
        <v>0</v>
      </c>
      <c r="AL9" s="252">
        <f>+SUMIFS($AR9:$AU9,$AR$5:$AU$5,AF9)</f>
        <v>100</v>
      </c>
      <c r="AM9" s="252">
        <f>+AJ9-AK9</f>
        <v>1</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México</v>
      </c>
      <c r="Q11" s="157" t="e" vm="7">
        <f>IFERROR(VLOOKUP(P11,Aux!A:C,3,0),"")</f>
        <v>#VALUE!</v>
      </c>
      <c r="R11" s="158"/>
      <c r="S11" s="159">
        <f>+VLOOKUP($P11,$AD$9:$AK$15,3,0)</f>
        <v>3</v>
      </c>
      <c r="T11" s="160">
        <f>+VLOOKUP($P11,$AD$9:$AK$15,4,0)</f>
        <v>1</v>
      </c>
      <c r="U11" s="160">
        <f>+VLOOKUP($P11,$AD$9:$AK$15,5,0)</f>
        <v>0</v>
      </c>
      <c r="V11" s="160">
        <f>+VLOOKUP($P11,$AD$9:$AK$15,6,0)</f>
        <v>0</v>
      </c>
      <c r="W11" s="161">
        <f>+VLOOKUP($P11,$AD$9:$AK$15,7,0)</f>
        <v>1</v>
      </c>
      <c r="X11" s="161">
        <f>+VLOOKUP($P11,$AD$9:$AK$15,8,0)</f>
        <v>0</v>
      </c>
      <c r="Y11" s="161">
        <f>+W11-X11</f>
        <v>1</v>
      </c>
      <c r="Z11" s="60"/>
      <c r="AA11" s="59"/>
      <c r="AB11" s="245"/>
      <c r="AC11" s="53">
        <v>2</v>
      </c>
      <c r="AD11" s="251" t="str">
        <f>+VLOOKUP($AD$5&amp;AC11,Aux!S:T,2,0)</f>
        <v>Ecuador</v>
      </c>
      <c r="AE11" s="53">
        <f t="shared" ref="AE11" si="0">+AG11+AH11+AI11</f>
        <v>1</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1</v>
      </c>
      <c r="AJ11" s="53" cm="1">
        <f t="array" ref="AJ11">SUM(($G$9:$G$22=$AD11)*($H$9:$H$22)+($K$9:$K$22=$AD11)*($J$9:$J$22))</f>
        <v>1</v>
      </c>
      <c r="AK11" s="53" cm="1">
        <f t="array" ref="AK11">SUM(($G$9:$G$22=$AD11)*($J$9:$J$22)+($K$9:$K$22=$AD11)*($H$9:$H$22))</f>
        <v>2</v>
      </c>
      <c r="AL11" s="252">
        <f>+SUMIFS($AR11:$AU11,$AR$5:$AU$5,AF11)</f>
        <v>100</v>
      </c>
      <c r="AM11" s="252">
        <f>+AJ11-AK11</f>
        <v>-1</v>
      </c>
      <c r="AN11" s="53">
        <f>+_xlfn.RANK.EQ(AF11,$AF$9:$AF$15)+_xlfn.RANK.EQ(AM11,$AM$9:$AM$15)/10+_xlfn.RANK.EQ(AJ11,$AJ$9:$AJ$15)/100+_xlfn.RANK.EQ(AL11,$AL$9:$AL$15)/1000+ROW()/1000000</f>
        <v>3.3210109999999999</v>
      </c>
      <c r="AO11" s="53">
        <f t="shared" ref="AO11"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Ecuador</v>
      </c>
      <c r="Q13" s="157" t="e" vm="5">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2</v>
      </c>
      <c r="Y13" s="161">
        <f>+W13-X13</f>
        <v>-1</v>
      </c>
      <c r="Z13" s="60"/>
      <c r="AA13" s="57"/>
      <c r="AB13" s="53"/>
      <c r="AC13" s="53">
        <v>3</v>
      </c>
      <c r="AD13" s="251" t="str">
        <f>+VLOOKUP($AD$5&amp;AC13,Aux!S:T,2,0)</f>
        <v>Venezuela</v>
      </c>
      <c r="AE13" s="53">
        <f t="shared" ref="AE13" si="3">+AG13+AH13+AI13</f>
        <v>1</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0</v>
      </c>
      <c r="AJ13" s="53" cm="1">
        <f t="array" ref="AJ13">SUM(($G$9:$G$22=$AD13)*($H$9:$H$22)+($K$9:$K$22=$AD13)*($J$9:$J$22))</f>
        <v>2</v>
      </c>
      <c r="AK13" s="53" cm="1">
        <f t="array" ref="AK13">SUM(($G$9:$G$22=$AD13)*($J$9:$J$22)+($K$9:$K$22=$AD13)*($H$9:$H$22))</f>
        <v>1</v>
      </c>
      <c r="AL13" s="252">
        <f>+SUMIFS($AR13:$AU13,$AR$5:$AU$5,AF13)</f>
        <v>100</v>
      </c>
      <c r="AM13" s="252">
        <f>+AJ13-AK13</f>
        <v>1</v>
      </c>
      <c r="AN13" s="53">
        <f>+_xlfn.RANK.EQ(AF13,$AF$9:$AF$15)+_xlfn.RANK.EQ(AM13,$AM$9:$AM$15)/10+_xlfn.RANK.EQ(AJ13,$AJ$9:$AJ$15)/100+_xlfn.RANK.EQ(AL13,$AL$9:$AL$15)/1000+ROW()/1000000</f>
        <v>1.111013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1</v>
      </c>
      <c r="Y15" s="161">
        <f>+W15-X15</f>
        <v>-1</v>
      </c>
      <c r="Z15" s="60"/>
      <c r="AA15" s="59"/>
      <c r="AB15" s="245"/>
      <c r="AC15" s="53">
        <v>4</v>
      </c>
      <c r="AD15" s="251" t="str">
        <f>+VLOOKUP($AD$5&amp;AC15,Aux!S:T,2,0)</f>
        <v>Jamaica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1</v>
      </c>
      <c r="AL15" s="252">
        <f>+SUMIFS($AR15:$AU15,$AR$5:$AU$5,AF15)</f>
        <v>100</v>
      </c>
      <c r="AM15" s="252">
        <f>+AJ15-AK15</f>
        <v>-1</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11" sqref="H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3</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3</v>
      </c>
      <c r="T9" s="160">
        <f>+VLOOKUP($P9,$AD$9:$AK$15,4,0)</f>
        <v>1</v>
      </c>
      <c r="U9" s="160">
        <f>+VLOOKUP($P9,$AD$9:$AK$15,5,0)</f>
        <v>0</v>
      </c>
      <c r="V9" s="160">
        <f>+VLOOKUP($P9,$AD$9:$AK$15,6,0)</f>
        <v>0</v>
      </c>
      <c r="W9" s="161">
        <f>+VLOOKUP($P9,$AD$9:$AK$15,7,0)</f>
        <v>3</v>
      </c>
      <c r="X9" s="161">
        <f>+VLOOKUP($P9,$AD$9:$AK$15,8,0)</f>
        <v>1</v>
      </c>
      <c r="Y9" s="161">
        <f>+W9-X9</f>
        <v>2</v>
      </c>
      <c r="Z9" s="60"/>
      <c r="AA9" s="57"/>
      <c r="AB9" s="53"/>
      <c r="AC9" s="53">
        <v>1</v>
      </c>
      <c r="AD9" s="251" t="str">
        <f>+VLOOKUP($AD$5&amp;AC9,Aux!S:T,2,0)</f>
        <v>Estados Unidos</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100</v>
      </c>
      <c r="AM9" s="252">
        <f>+AJ9-AK9</f>
        <v>2</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0</v>
      </c>
      <c r="W11" s="161">
        <f>+VLOOKUP($P11,$AD$9:$AK$15,7,0)</f>
        <v>2</v>
      </c>
      <c r="X11" s="161">
        <f>+VLOOKUP($P11,$AD$9:$AK$15,8,0)</f>
        <v>0</v>
      </c>
      <c r="Y11" s="161">
        <f>+W11-X11</f>
        <v>2</v>
      </c>
      <c r="Z11" s="60"/>
      <c r="AA11" s="59"/>
      <c r="AB11" s="245"/>
      <c r="AC11" s="53">
        <v>2</v>
      </c>
      <c r="AD11" s="251" t="str">
        <f>+VLOOKUP($AD$5&amp;AC11,Aux!S:T,2,0)</f>
        <v>Uruguay</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3</v>
      </c>
      <c r="AK11" s="53" cm="1">
        <f t="array" ref="AK11">SUM(($G$9:$G$22=$AD11)*($J$9:$J$22)+($K$9:$K$22=$AD11)*($H$9:$H$22))</f>
        <v>1</v>
      </c>
      <c r="AL11" s="252">
        <f>+SUMIFS($AR11:$AU11,$AR$5:$AU$5,AF11)</f>
        <v>100</v>
      </c>
      <c r="AM11" s="252">
        <f>+AJ11-AK11</f>
        <v>2</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3</v>
      </c>
      <c r="Y13" s="161">
        <f>+W13-X13</f>
        <v>-2</v>
      </c>
      <c r="Z13" s="60"/>
      <c r="AA13" s="57"/>
      <c r="AB13" s="53"/>
      <c r="AC13" s="53">
        <v>3</v>
      </c>
      <c r="AD13" s="251" t="str">
        <f>+VLOOKUP($AD$5&amp;AC13,Aux!S:T,2,0)</f>
        <v>Panamá</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3</v>
      </c>
      <c r="AL13" s="252">
        <f>+SUMIFS($AR13:$AU13,$AR$5:$AU$5,AF13)</f>
        <v>100</v>
      </c>
      <c r="AM13" s="252">
        <f>+AJ13-AK13</f>
        <v>-2</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Bolivia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100</v>
      </c>
      <c r="AM15" s="252">
        <f>+AJ15-AK15</f>
        <v>-2</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1</v>
      </c>
      <c r="AS5" s="245">
        <f>+VLOOKUP(AS7,$AD$9:$AF$15,3,0)</f>
        <v>3</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Brasil</v>
      </c>
      <c r="AE9" s="53">
        <f>+AG9+AH9+AI9</f>
        <v>1</v>
      </c>
      <c r="AF9" s="53">
        <f>+AG9*3+AH9</f>
        <v>1</v>
      </c>
      <c r="AG9" s="53" cm="1">
        <f t="array" ref="AG9">SUM(($G$9:$G$22=$AD9)*($H$9:$H$22&gt;$J$9:$J$22)+($K$9:$K$22=$AD9)*($H$9:$H$22&lt;$J$9:$J$22))</f>
        <v>0</v>
      </c>
      <c r="AH9" s="53" cm="1">
        <f t="array" ref="AH9">SUM(($G$9:$G$22=$AD9)*($H$9:$H$22=$J$9:$J$22)*($H$9:$H$22&lt;&gt;"")+($K$9:$K$22=$AD9)*($H$9:$H$22=$J$9:$J$22)*($H$9:$H$22&lt;&gt;""))</f>
        <v>1</v>
      </c>
      <c r="AI9" s="53" cm="1">
        <f t="array" ref="AI9">SUM(($G$9:$G$22=$AD9)*($H$9:$H$22&lt;$J$9:$J$22)+($K$9:$K$22=$AD9)*($H$9:$H$22&gt;$J$9:$J$22))</f>
        <v>0</v>
      </c>
      <c r="AJ9" s="53" cm="1">
        <f t="array" ref="AJ9">SUM(($G$9:$G$22=$AD9)*($H$9:$H$22)+($K$9:$K$22=$AD9)*($J$9:$J$22))</f>
        <v>0</v>
      </c>
      <c r="AK9" s="53" cm="1">
        <f t="array" ref="AK9">SUM(($G$9:$G$22=$AD9)*($J$9:$J$22)+($K$9:$K$22=$AD9)*($H$9:$H$22))</f>
        <v>0</v>
      </c>
      <c r="AL9" s="252">
        <f>+SUMIFS($AR9:$AU9,$AR$5:$AU$5,AF9)</f>
        <v>100</v>
      </c>
      <c r="AM9" s="252">
        <f>+AJ9-AK9</f>
        <v>0</v>
      </c>
      <c r="AN9" s="53">
        <f>+_xlfn.RANK.EQ(AF9,$AF$9:$AF$15)+_xlfn.RANK.EQ(AM9,$AM$9:$AM$15)/10+_xlfn.RANK.EQ(AJ9,$AJ$9:$AJ$15)/100+_xlfn.RANK.EQ(AL9,$AL$9:$AL$15)/1000+ROW()/1000000</f>
        <v>2.2310089999999998</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2</v>
      </c>
      <c r="AK11" s="53" cm="1">
        <f t="array" ref="AK11">SUM(($G$9:$G$22=$AD11)*($J$9:$J$22)+($K$9:$K$22=$AD11)*($H$9:$H$22))</f>
        <v>1</v>
      </c>
      <c r="AL11" s="252">
        <f>+SUMIFS($AR11:$AU11,$AR$5:$AU$5,AF11)</f>
        <v>0</v>
      </c>
      <c r="AM11" s="252">
        <f>+AJ11-AK11</f>
        <v>1</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2</v>
      </c>
      <c r="AL13" s="252">
        <f>+SUMIFS($AR13:$AU13,$AR$5:$AU$5,AF13)</f>
        <v>0</v>
      </c>
      <c r="AM13" s="252">
        <f>+AJ13-AK13</f>
        <v>-1</v>
      </c>
      <c r="AN13" s="53">
        <f>+_xlfn.RANK.EQ(AF13,$AF$9:$AF$15)+_xlfn.RANK.EQ(AM13,$AM$9:$AM$15)/10+_xlfn.RANK.EQ(AJ13,$AJ$9:$AJ$15)/100+_xlfn.RANK.EQ(AL13,$AL$9:$AL$15)/1000+ROW()/1000000</f>
        <v>4.4230130000000001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1</v>
      </c>
      <c r="W15" s="161">
        <f>+VLOOKUP($P15,$AD$9:$AK$15,7,0)</f>
        <v>1</v>
      </c>
      <c r="X15" s="161">
        <f>+VLOOKUP($P15,$AD$9:$AK$15,8,0)</f>
        <v>2</v>
      </c>
      <c r="Y15" s="161">
        <f>+W15-X15</f>
        <v>-1</v>
      </c>
      <c r="Z15" s="60"/>
      <c r="AA15" s="59"/>
      <c r="AB15" s="245"/>
      <c r="AC15" s="53">
        <v>4</v>
      </c>
      <c r="AD15" s="251" t="str">
        <f>+VLOOKUP($AD$5&amp;AC15,Aux!S:T,2,0)</f>
        <v>Costa Rica</v>
      </c>
      <c r="AE15" s="53">
        <f t="shared" ref="AE15" si="6">+AG15+AH15+AI15</f>
        <v>1</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0</v>
      </c>
      <c r="AJ15" s="53" cm="1">
        <f t="array" ref="AJ15">SUM(($G$9:$G$22=$AD15)*($H$9:$H$22)+($K$9:$K$22=$AD15)*($J$9:$J$22))</f>
        <v>0</v>
      </c>
      <c r="AK15" s="53" cm="1">
        <f t="array" ref="AK15">SUM(($G$9:$G$22=$AD15)*($J$9:$J$22)+($K$9:$K$22=$AD15)*($H$9:$H$22))</f>
        <v>0</v>
      </c>
      <c r="AL15" s="252">
        <f>+SUMIFS($AR15:$AU15,$AR$5:$AU$5,AF15)</f>
        <v>100</v>
      </c>
      <c r="AM15" s="252">
        <f>+AJ15-AK15</f>
        <v>0</v>
      </c>
      <c r="AN15" s="53">
        <f>+_xlfn.RANK.EQ(AF15,$AF$9:$AF$15)+_xlfn.RANK.EQ(AM15,$AM$9:$AM$15)/10+_xlfn.RANK.EQ(AJ15,$AJ$9:$AJ$15)/100+_xlfn.RANK.EQ(AL15,$AL$9:$AL$15)/1000+ROW()/1000000</f>
        <v>2.2310149999999997</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México</v>
      </c>
      <c r="O9" s="180" t="e" vm="7">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abSelected="1" topLeftCell="A3" zoomScaleNormal="100" workbookViewId="0">
      <selection activeCell="M30" sqref="M3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25</v>
      </c>
      <c r="F5" s="198">
        <f ca="1">+IF($D5=0,"",VLOOKUP($C5,$Q:$AB,COLUMNS($C$4:F4),0))</f>
        <v>20</v>
      </c>
      <c r="G5" s="198">
        <f ca="1">+IF($D5=0,"",VLOOKUP($C5,$Q:$AB,COLUMNS($C$4:G4),0))</f>
        <v>10</v>
      </c>
      <c r="H5" s="198">
        <f ca="1">+IF($D5=0,"",VLOOKUP($C5,$Q:$AB,COLUMNS($C$4:H4),0))</f>
        <v>5</v>
      </c>
      <c r="I5" s="199">
        <f ca="1">+IF($D5=0,"",VLOOKUP($C5,$Q:$AB,COLUMNS($C$4:I4),0))</f>
        <v>60</v>
      </c>
      <c r="J5" s="127">
        <f ca="1">+IF($D5=0,"",VLOOKUP($C5,$Q:$AB,COLUMNS($C$4:J4),0))</f>
        <v>0</v>
      </c>
      <c r="K5" s="127">
        <f ca="1">+IF($D5=0,"",VLOOKUP($C5,$Q:$AB,COLUMNS($C$4:K4),0))</f>
        <v>0</v>
      </c>
      <c r="L5" s="127">
        <f ca="1">+IF($D5=0,"",VLOOKUP($C5,$Q:$AB,COLUMNS($C$4:L4),0))</f>
        <v>0</v>
      </c>
      <c r="M5" s="128">
        <f ca="1">+IF($D5=0,"",VLOOKUP($C5,$Q:$AB,COLUMNS($C$4:M4),0))</f>
        <v>0</v>
      </c>
      <c r="N5" s="129">
        <f ca="1">+IF($D5=0,"",VLOOKUP($C5,$Q:$AB,COLUMNS($C$4:N4),0))</f>
        <v>60.011000000000003</v>
      </c>
      <c r="P5" s="196">
        <f ca="1">IFERROR(M5-ROW()/10000,"")</f>
        <v>-5.0000000000000001E-4</v>
      </c>
      <c r="Q5" s="119">
        <f t="shared" ref="Q5:Q26" ca="1" si="0">+_xlfn.RANK.EQ(AB5,$AB$5:$AB$26)</f>
        <v>7</v>
      </c>
      <c r="R5" s="126" t="str">
        <f>Resultado!B7</f>
        <v>Carlos Hurtado</v>
      </c>
      <c r="S5" s="120">
        <f ca="1">+SUMIFS(Resultado!7:7,Resultado!$1:$1,ClasificaciónPorra!S$4)</f>
        <v>15</v>
      </c>
      <c r="T5" s="120">
        <f ca="1">+SUMIFS(Resultado!7:7,Resultado!$1:$1,ClasificaciónPorra!T$4)</f>
        <v>5</v>
      </c>
      <c r="U5" s="120">
        <f ca="1">+SUMIFS(Resultado!7:7,Resultado!$1:$1,ClasificaciónPorra!U$4)</f>
        <v>15</v>
      </c>
      <c r="V5" s="120">
        <f ca="1">+SUMIFS(Resultado!7:7,Resultado!$1:$1,ClasificaciónPorra!V$4)</f>
        <v>5</v>
      </c>
      <c r="W5" s="120">
        <f t="shared" ref="W5:W26" ca="1" si="1">+SUM(S5:V5)</f>
        <v>40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40.005000000000003</v>
      </c>
    </row>
    <row r="6" spans="3:28" ht="13.5" customHeight="1" x14ac:dyDescent="0.25">
      <c r="C6" s="150">
        <f t="shared" ref="C6:C26" si="4">+C5+1</f>
        <v>2</v>
      </c>
      <c r="D6" s="151" t="str">
        <f ca="1">+VLOOKUP($C6,$Q:$AB,COLUMNS($C$4:D5),0)</f>
        <v xml:space="preserve">Luis Rondón </v>
      </c>
      <c r="E6" s="197">
        <f ca="1">+IF($D6=0,"",VLOOKUP($C6,$Q:$AB,COLUMNS($C$4:E5),0))</f>
        <v>15</v>
      </c>
      <c r="F6" s="198">
        <f ca="1">+IF($D6=0,"",VLOOKUP($C6,$Q:$AB,COLUMNS($C$4:F5),0))</f>
        <v>15</v>
      </c>
      <c r="G6" s="198">
        <f ca="1">+IF($D6=0,"",VLOOKUP($C6,$Q:$AB,COLUMNS($C$4:G5),0))</f>
        <v>20</v>
      </c>
      <c r="H6" s="198">
        <f ca="1">+IF($D6=0,"",VLOOKUP($C6,$Q:$AB,COLUMNS($C$4:H5),0))</f>
        <v>5</v>
      </c>
      <c r="I6" s="200">
        <f ca="1">+IF($D6=0,"",VLOOKUP($C6,$Q:$AB,COLUMNS($C$4:I5),0))</f>
        <v>55</v>
      </c>
      <c r="J6" s="127">
        <f ca="1">+IF($D6=0,"",VLOOKUP($C6,$Q:$AB,COLUMNS($C$4:J5),0))</f>
        <v>0</v>
      </c>
      <c r="K6" s="127">
        <f ca="1">+IF($D6=0,"",VLOOKUP($C6,$Q:$AB,COLUMNS($C$4:K5),0))</f>
        <v>0</v>
      </c>
      <c r="L6" s="127">
        <f ca="1">+IF($D6=0,"",VLOOKUP($C6,$Q:$AB,COLUMNS($C$4:L5),0))</f>
        <v>0</v>
      </c>
      <c r="M6" s="128">
        <f ca="1">+IF($D6=0,"",VLOOKUP($C6,$Q:$AB,COLUMNS($C$4:M5),0))</f>
        <v>0</v>
      </c>
      <c r="N6" s="129">
        <f ca="1">+IF($D6=0,"",VLOOKUP($C6,$Q:$AB,COLUMNS($C$4:N5),0))</f>
        <v>55.012</v>
      </c>
      <c r="P6" s="196">
        <f t="shared" ref="P6:P26" ca="1" si="5">IFERROR(M6-ROW()/10000,"")</f>
        <v>-5.9999999999999995E-4</v>
      </c>
      <c r="Q6" s="119">
        <f t="shared" ca="1" si="0"/>
        <v>6</v>
      </c>
      <c r="R6" s="126" t="str">
        <f>Resultado!B8</f>
        <v>Cazaputas69</v>
      </c>
      <c r="S6" s="120">
        <f ca="1">+SUMIFS(Resultado!8:8,Resultado!$1:$1,ClasificaciónPorra!S$4)</f>
        <v>15</v>
      </c>
      <c r="T6" s="120">
        <f ca="1">+SUMIFS(Resultado!8:8,Resultado!$1:$1,ClasificaciónPorra!T$4)</f>
        <v>5</v>
      </c>
      <c r="U6" s="120">
        <f ca="1">+SUMIFS(Resultado!8:8,Resultado!$1:$1,ClasificaciónPorra!U$4)</f>
        <v>15</v>
      </c>
      <c r="V6" s="120">
        <f ca="1">+SUMIFS(Resultado!8:8,Resultado!$1:$1,ClasificaciónPorra!V$4)</f>
        <v>5</v>
      </c>
      <c r="W6" s="120">
        <f t="shared" ca="1" si="1"/>
        <v>40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40.006</v>
      </c>
    </row>
    <row r="7" spans="3:28" x14ac:dyDescent="0.25">
      <c r="C7" s="150">
        <f t="shared" si="4"/>
        <v>3</v>
      </c>
      <c r="D7" s="151" t="str">
        <f ca="1">+VLOOKUP($C7,$Q:$AB,COLUMNS($C$4:D6),0)</f>
        <v>Moises</v>
      </c>
      <c r="E7" s="197">
        <f ca="1">+IF($D7=0,"",VLOOKUP($C7,$Q:$AB,COLUMNS($C$4:E6),0))</f>
        <v>20</v>
      </c>
      <c r="F7" s="198">
        <f ca="1">+IF($D7=0,"",VLOOKUP($C7,$Q:$AB,COLUMNS($C$4:F6),0))</f>
        <v>5</v>
      </c>
      <c r="G7" s="198">
        <f ca="1">+IF($D7=0,"",VLOOKUP($C7,$Q:$AB,COLUMNS($C$4:G6),0))</f>
        <v>10</v>
      </c>
      <c r="H7" s="198">
        <f ca="1">+IF($D7=0,"",VLOOKUP($C7,$Q:$AB,COLUMNS($C$4:H6),0))</f>
        <v>10</v>
      </c>
      <c r="I7" s="200">
        <f ca="1">+IF($D7=0,"",VLOOKUP($C7,$Q:$AB,COLUMNS($C$4:I6),0))</f>
        <v>45</v>
      </c>
      <c r="J7" s="127">
        <f ca="1">+IF($D7=0,"",VLOOKUP($C7,$Q:$AB,COLUMNS($C$4:J6),0))</f>
        <v>0</v>
      </c>
      <c r="K7" s="127">
        <f ca="1">+IF($D7=0,"",VLOOKUP($C7,$Q:$AB,COLUMNS($C$4:K6),0))</f>
        <v>0</v>
      </c>
      <c r="L7" s="127">
        <f ca="1">+IF($D7=0,"",VLOOKUP($C7,$Q:$AB,COLUMNS($C$4:L6),0))</f>
        <v>0</v>
      </c>
      <c r="M7" s="128">
        <f ca="1">+IF($D7=0,"",VLOOKUP($C7,$Q:$AB,COLUMNS($C$4:M6),0))</f>
        <v>0</v>
      </c>
      <c r="N7" s="129">
        <f ca="1">+IF($D7=0,"",VLOOKUP($C7,$Q:$AB,COLUMNS($C$4:N6),0))</f>
        <v>45.012999999999998</v>
      </c>
      <c r="P7" s="196">
        <f t="shared" ca="1" si="5"/>
        <v>-6.9999999999999999E-4</v>
      </c>
      <c r="Q7" s="119">
        <f t="shared" ca="1" si="0"/>
        <v>5</v>
      </c>
      <c r="R7" s="126" t="str">
        <f>Resultado!B9</f>
        <v xml:space="preserve">  German Rodriguez</v>
      </c>
      <c r="S7" s="120">
        <f ca="1">+SUMIFS(Resultado!9:9,Resultado!$1:$1,ClasificaciónPorra!S$4)</f>
        <v>20</v>
      </c>
      <c r="T7" s="120">
        <f ca="1">+SUMIFS(Resultado!9:9,Resultado!$1:$1,ClasificaciónPorra!T$4)</f>
        <v>5</v>
      </c>
      <c r="U7" s="120">
        <f ca="1">+SUMIFS(Resultado!9:9,Resultado!$1:$1,ClasificaciónPorra!U$4)</f>
        <v>10</v>
      </c>
      <c r="V7" s="120">
        <f ca="1">+SUMIFS(Resultado!9:9,Resultado!$1:$1,ClasificaciónPorra!V$4)</f>
        <v>10</v>
      </c>
      <c r="W7" s="120">
        <f t="shared" ca="1" si="1"/>
        <v>45</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45.006999999999998</v>
      </c>
    </row>
    <row r="8" spans="3:28" x14ac:dyDescent="0.25">
      <c r="C8" s="150">
        <f t="shared" si="4"/>
        <v>4</v>
      </c>
      <c r="D8" s="152" t="str">
        <f ca="1">+VLOOKUP($C8,$Q:$AB,COLUMNS($C$4:D7),0)</f>
        <v>YUTA</v>
      </c>
      <c r="E8" s="201">
        <f ca="1">+IF($D8=0,"",VLOOKUP($C8,$Q:$AB,COLUMNS($C$4:E7),0))</f>
        <v>20</v>
      </c>
      <c r="F8" s="202">
        <f ca="1">+IF($D8=0,"",VLOOKUP($C8,$Q:$AB,COLUMNS($C$4:F7),0))</f>
        <v>10</v>
      </c>
      <c r="G8" s="202">
        <f ca="1">+IF($D8=0,"",VLOOKUP($C8,$Q:$AB,COLUMNS($C$4:G7),0))</f>
        <v>10</v>
      </c>
      <c r="H8" s="202">
        <f ca="1">+IF($D8=0,"",VLOOKUP($C8,$Q:$AB,COLUMNS($C$4:H7),0))</f>
        <v>5</v>
      </c>
      <c r="I8" s="203">
        <f ca="1">+IF($D8=0,"",VLOOKUP($C8,$Q:$AB,COLUMNS($C$4:I7),0))</f>
        <v>45</v>
      </c>
      <c r="J8" s="130">
        <f ca="1">+IF($D8=0,"",VLOOKUP($C8,$Q:$AB,COLUMNS($C$4:J7),0))</f>
        <v>0</v>
      </c>
      <c r="K8" s="130">
        <f ca="1">+IF($D8=0,"",VLOOKUP($C8,$Q:$AB,COLUMNS($C$4:K7),0))</f>
        <v>0</v>
      </c>
      <c r="L8" s="130">
        <f ca="1">+IF($D8=0,"",VLOOKUP($C8,$Q:$AB,COLUMNS($C$4:L7),0))</f>
        <v>0</v>
      </c>
      <c r="M8" s="131">
        <f ca="1">+IF($D8=0,"",VLOOKUP($C8,$Q:$AB,COLUMNS($C$4:M7),0))</f>
        <v>0</v>
      </c>
      <c r="N8" s="132">
        <f ca="1">+IF($D8=0,"",VLOOKUP($C8,$Q:$AB,COLUMNS($C$4:N7),0))</f>
        <v>45.009</v>
      </c>
      <c r="P8" s="196">
        <f t="shared" ca="1" si="5"/>
        <v>-8.0000000000000004E-4</v>
      </c>
      <c r="Q8" s="119">
        <f t="shared" ca="1" si="0"/>
        <v>9</v>
      </c>
      <c r="R8" s="126" t="str">
        <f>Resultado!B10</f>
        <v>ISAAC BERMUDEZ</v>
      </c>
      <c r="S8" s="120">
        <f ca="1">+SUMIFS(Resultado!10:10,Resultado!$1:$1,ClasificaciónPorra!S$4)</f>
        <v>15</v>
      </c>
      <c r="T8" s="120">
        <f ca="1">+SUMIFS(Resultado!10:10,Resultado!$1:$1,ClasificaciónPorra!T$4)</f>
        <v>5</v>
      </c>
      <c r="U8" s="120">
        <f ca="1">+SUMIFS(Resultado!10:10,Resultado!$1:$1,ClasificaciónPorra!U$4)</f>
        <v>10</v>
      </c>
      <c r="V8" s="120">
        <f ca="1">+SUMIFS(Resultado!10:10,Resultado!$1:$1,ClasificaciónPorra!V$4)</f>
        <v>5</v>
      </c>
      <c r="W8" s="120">
        <f t="shared" ca="1" si="1"/>
        <v>35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35.008000000000003</v>
      </c>
    </row>
    <row r="9" spans="3:28" x14ac:dyDescent="0.25">
      <c r="C9" s="150">
        <f t="shared" si="4"/>
        <v>5</v>
      </c>
      <c r="D9" s="153" t="str">
        <f ca="1">+VLOOKUP($C9,$Q:$AB,COLUMNS($C$4:D8),0)</f>
        <v xml:space="preserve">  German Rodriguez</v>
      </c>
      <c r="E9" s="204">
        <f ca="1">+IF($D9=0,"",VLOOKUP($C9,$Q:$AB,COLUMNS($C$4:E8),0))</f>
        <v>20</v>
      </c>
      <c r="F9" s="205">
        <f ca="1">+IF($D9=0,"",VLOOKUP($C9,$Q:$AB,COLUMNS($C$4:F8),0))</f>
        <v>5</v>
      </c>
      <c r="G9" s="205">
        <f ca="1">+IF($D9=0,"",VLOOKUP($C9,$Q:$AB,COLUMNS($C$4:G8),0))</f>
        <v>10</v>
      </c>
      <c r="H9" s="205">
        <f ca="1">+IF($D9=0,"",VLOOKUP($C9,$Q:$AB,COLUMNS($C$4:H8),0))</f>
        <v>10</v>
      </c>
      <c r="I9" s="206">
        <f ca="1">+IF($D9=0,"",VLOOKUP($C9,$Q:$AB,COLUMNS($C$4:I8),0))</f>
        <v>45</v>
      </c>
      <c r="J9" s="133">
        <f ca="1">+IF($D9=0,"",VLOOKUP($C9,$Q:$AB,COLUMNS($C$4:J8),0))</f>
        <v>0</v>
      </c>
      <c r="K9" s="133">
        <f ca="1">+IF($D9=0,"",VLOOKUP($C9,$Q:$AB,COLUMNS($C$4:K8),0))</f>
        <v>0</v>
      </c>
      <c r="L9" s="133">
        <f ca="1">+IF($D9=0,"",VLOOKUP($C9,$Q:$AB,COLUMNS($C$4:L8),0))</f>
        <v>0</v>
      </c>
      <c r="M9" s="134">
        <f ca="1">+IF($D9=0,"",VLOOKUP($C9,$Q:$AB,COLUMNS($C$4:M8),0))</f>
        <v>0</v>
      </c>
      <c r="N9" s="135">
        <f ca="1">+IF($D9=0,"",VLOOKUP($C9,$Q:$AB,COLUMNS($C$4:N8),0))</f>
        <v>45.006999999999998</v>
      </c>
      <c r="P9" s="196">
        <f t="shared" ca="1" si="5"/>
        <v>-8.9999999999999998E-4</v>
      </c>
      <c r="Q9" s="119">
        <f t="shared" ca="1" si="0"/>
        <v>4</v>
      </c>
      <c r="R9" s="126" t="str">
        <f>Resultado!B11</f>
        <v>YUTA</v>
      </c>
      <c r="S9" s="120">
        <f ca="1">+SUMIFS(Resultado!11:11,Resultado!$1:$1,ClasificaciónPorra!S$4)</f>
        <v>20</v>
      </c>
      <c r="T9" s="120">
        <f ca="1">+SUMIFS(Resultado!11:11,Resultado!$1:$1,ClasificaciónPorra!T$4)</f>
        <v>10</v>
      </c>
      <c r="U9" s="120">
        <f ca="1">+SUMIFS(Resultado!11:11,Resultado!$1:$1,ClasificaciónPorra!U$4)</f>
        <v>10</v>
      </c>
      <c r="V9" s="120">
        <f ca="1">+SUMIFS(Resultado!11:11,Resultado!$1:$1,ClasificaciónPorra!V$4)</f>
        <v>5</v>
      </c>
      <c r="W9" s="120">
        <f t="shared" ca="1" si="1"/>
        <v>45</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45.009</v>
      </c>
    </row>
    <row r="10" spans="3:28" x14ac:dyDescent="0.25">
      <c r="C10" s="150">
        <f t="shared" si="4"/>
        <v>6</v>
      </c>
      <c r="D10" s="151" t="str">
        <f ca="1">+VLOOKUP($C10,$Q:$AB,COLUMNS($C$4:D9),0)</f>
        <v>Cazaputas69</v>
      </c>
      <c r="E10" s="197">
        <f ca="1">+IF($D10=0,"",VLOOKUP($C10,$Q:$AB,COLUMNS($C$4:E9),0))</f>
        <v>15</v>
      </c>
      <c r="F10" s="198">
        <f ca="1">+IF($D10=0,"",VLOOKUP($C10,$Q:$AB,COLUMNS($C$4:F9),0))</f>
        <v>5</v>
      </c>
      <c r="G10" s="198">
        <f ca="1">+IF($D10=0,"",VLOOKUP($C10,$Q:$AB,COLUMNS($C$4:G9),0))</f>
        <v>15</v>
      </c>
      <c r="H10" s="198">
        <f ca="1">+IF($D10=0,"",VLOOKUP($C10,$Q:$AB,COLUMNS($C$4:H9),0))</f>
        <v>5</v>
      </c>
      <c r="I10" s="200">
        <f ca="1">+IF($D10=0,"",VLOOKUP($C10,$Q:$AB,COLUMNS($C$4:I9),0))</f>
        <v>40</v>
      </c>
      <c r="J10" s="127">
        <f ca="1">+IF($D10=0,"",VLOOKUP($C10,$Q:$AB,COLUMNS($C$4:J9),0))</f>
        <v>0</v>
      </c>
      <c r="K10" s="127">
        <f ca="1">+IF($D10=0,"",VLOOKUP($C10,$Q:$AB,COLUMNS($C$4:K9),0))</f>
        <v>0</v>
      </c>
      <c r="L10" s="127">
        <f ca="1">+IF($D10=0,"",VLOOKUP($C10,$Q:$AB,COLUMNS($C$4:L9),0))</f>
        <v>0</v>
      </c>
      <c r="M10" s="128">
        <f ca="1">+IF($D10=0,"",VLOOKUP($C10,$Q:$AB,COLUMNS($C$4:M9),0))</f>
        <v>0</v>
      </c>
      <c r="N10" s="129">
        <f ca="1">+IF($D10=0,"",VLOOKUP($C10,$Q:$AB,COLUMNS($C$4:N9),0))</f>
        <v>40.006</v>
      </c>
      <c r="P10" s="196">
        <f t="shared" ca="1" si="5"/>
        <v>-1E-3</v>
      </c>
      <c r="Q10" s="119">
        <f t="shared" ca="1" si="0"/>
        <v>8</v>
      </c>
      <c r="R10" s="126" t="str">
        <f>Resultado!B12</f>
        <v>Juan Diego De Abreu</v>
      </c>
      <c r="S10" s="120">
        <f ca="1">+SUMIFS(Resultado!12:12,Resultado!$1:$1,ClasificaciónPorra!S$4)</f>
        <v>20</v>
      </c>
      <c r="T10" s="120">
        <f ca="1">+SUMIFS(Resultado!12:12,Resultado!$1:$1,ClasificaciónPorra!T$4)</f>
        <v>0</v>
      </c>
      <c r="U10" s="120">
        <f ca="1">+SUMIFS(Resultado!12:12,Resultado!$1:$1,ClasificaciónPorra!U$4)</f>
        <v>15</v>
      </c>
      <c r="V10" s="120">
        <f ca="1">+SUMIFS(Resultado!12:12,Resultado!$1:$1,ClasificaciónPorra!V$4)</f>
        <v>0</v>
      </c>
      <c r="W10" s="120">
        <f t="shared" ca="1" si="1"/>
        <v>35</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35.01</v>
      </c>
    </row>
    <row r="11" spans="3:28" x14ac:dyDescent="0.25">
      <c r="C11" s="150">
        <f t="shared" si="4"/>
        <v>7</v>
      </c>
      <c r="D11" s="151" t="str">
        <f ca="1">+VLOOKUP($C11,$Q:$AB,COLUMNS($C$4:D10),0)</f>
        <v>Carlos Hurtado</v>
      </c>
      <c r="E11" s="197">
        <f ca="1">+IF($D11=0,"",VLOOKUP($C11,$Q:$AB,COLUMNS($C$4:E10),0))</f>
        <v>15</v>
      </c>
      <c r="F11" s="198">
        <f ca="1">+IF($D11=0,"",VLOOKUP($C11,$Q:$AB,COLUMNS($C$4:F10),0))</f>
        <v>5</v>
      </c>
      <c r="G11" s="198">
        <f ca="1">+IF($D11=0,"",VLOOKUP($C11,$Q:$AB,COLUMNS($C$4:G10),0))</f>
        <v>15</v>
      </c>
      <c r="H11" s="198">
        <f ca="1">+IF($D11=0,"",VLOOKUP($C11,$Q:$AB,COLUMNS($C$4:H10),0))</f>
        <v>5</v>
      </c>
      <c r="I11" s="200">
        <f ca="1">+IF($D11=0,"",VLOOKUP($C11,$Q:$AB,COLUMNS($C$4:I10),0))</f>
        <v>40</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40.005000000000003</v>
      </c>
      <c r="P11" s="196">
        <f t="shared" ca="1" si="5"/>
        <v>-1.1000000000000001E-3</v>
      </c>
      <c r="Q11" s="119">
        <f t="shared" ca="1" si="0"/>
        <v>1</v>
      </c>
      <c r="R11" s="126" t="str">
        <f>Resultado!B13</f>
        <v>Leiner</v>
      </c>
      <c r="S11" s="120">
        <f ca="1">+SUMIFS(Resultado!13:13,Resultado!$1:$1,ClasificaciónPorra!S$4)</f>
        <v>25</v>
      </c>
      <c r="T11" s="120">
        <f ca="1">+SUMIFS(Resultado!13:13,Resultado!$1:$1,ClasificaciónPorra!T$4)</f>
        <v>20</v>
      </c>
      <c r="U11" s="120">
        <f ca="1">+SUMIFS(Resultado!13:13,Resultado!$1:$1,ClasificaciónPorra!U$4)</f>
        <v>10</v>
      </c>
      <c r="V11" s="120">
        <f ca="1">+SUMIFS(Resultado!13:13,Resultado!$1:$1,ClasificaciónPorra!V$4)</f>
        <v>5</v>
      </c>
      <c r="W11" s="120">
        <f t="shared" ca="1" si="1"/>
        <v>60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60.011000000000003</v>
      </c>
    </row>
    <row r="12" spans="3:28" x14ac:dyDescent="0.25">
      <c r="C12" s="150">
        <f t="shared" si="4"/>
        <v>8</v>
      </c>
      <c r="D12" s="151" t="str">
        <f ca="1">+VLOOKUP($C12,$Q:$AB,COLUMNS($C$4:D11),0)</f>
        <v>Juan Diego De Abreu</v>
      </c>
      <c r="E12" s="197">
        <f ca="1">+IF($D12=0,"",VLOOKUP($C12,$Q:$AB,COLUMNS($C$4:E11),0))</f>
        <v>20</v>
      </c>
      <c r="F12" s="198">
        <f ca="1">+IF($D12=0,"",VLOOKUP($C12,$Q:$AB,COLUMNS($C$4:F11),0))</f>
        <v>0</v>
      </c>
      <c r="G12" s="198">
        <f ca="1">+IF($D12=0,"",VLOOKUP($C12,$Q:$AB,COLUMNS($C$4:G11),0))</f>
        <v>15</v>
      </c>
      <c r="H12" s="198">
        <f ca="1">+IF($D12=0,"",VLOOKUP($C12,$Q:$AB,COLUMNS($C$4:H11),0))</f>
        <v>0</v>
      </c>
      <c r="I12" s="200">
        <f ca="1">+IF($D12=0,"",VLOOKUP($C12,$Q:$AB,COLUMNS($C$4:I11),0))</f>
        <v>35</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35.01</v>
      </c>
      <c r="P12" s="196">
        <f t="shared" ca="1" si="5"/>
        <v>-1.1999999999999999E-3</v>
      </c>
      <c r="Q12" s="119">
        <f t="shared" ca="1" si="0"/>
        <v>2</v>
      </c>
      <c r="R12" s="126" t="str">
        <f>Resultado!B14</f>
        <v xml:space="preserve">Luis Rondón </v>
      </c>
      <c r="S12" s="120">
        <f ca="1">+SUMIFS(Resultado!14:14,Resultado!$1:$1,ClasificaciónPorra!S$4)</f>
        <v>15</v>
      </c>
      <c r="T12" s="120">
        <f ca="1">+SUMIFS(Resultado!14:14,Resultado!$1:$1,ClasificaciónPorra!T$4)</f>
        <v>15</v>
      </c>
      <c r="U12" s="120">
        <f ca="1">+SUMIFS(Resultado!14:14,Resultado!$1:$1,ClasificaciónPorra!U$4)</f>
        <v>20</v>
      </c>
      <c r="V12" s="120">
        <f ca="1">+SUMIFS(Resultado!14:14,Resultado!$1:$1,ClasificaciónPorra!V$4)</f>
        <v>5</v>
      </c>
      <c r="W12" s="120">
        <f t="shared" ca="1" si="1"/>
        <v>55</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55.012</v>
      </c>
    </row>
    <row r="13" spans="3:28" x14ac:dyDescent="0.25">
      <c r="C13" s="150">
        <f t="shared" si="4"/>
        <v>9</v>
      </c>
      <c r="D13" s="152" t="str">
        <f ca="1">+VLOOKUP($C13,$Q:$AB,COLUMNS($C$4:D12),0)</f>
        <v>ISAAC BERMUDEZ</v>
      </c>
      <c r="E13" s="201">
        <f ca="1">+IF($D13=0,"",VLOOKUP($C13,$Q:$AB,COLUMNS($C$4:E12),0))</f>
        <v>15</v>
      </c>
      <c r="F13" s="202">
        <f ca="1">+IF($D13=0,"",VLOOKUP($C13,$Q:$AB,COLUMNS($C$4:F12),0))</f>
        <v>5</v>
      </c>
      <c r="G13" s="202">
        <f ca="1">+IF($D13=0,"",VLOOKUP($C13,$Q:$AB,COLUMNS($C$4:G12),0))</f>
        <v>10</v>
      </c>
      <c r="H13" s="202">
        <f ca="1">+IF($D13=0,"",VLOOKUP($C13,$Q:$AB,COLUMNS($C$4:H12),0))</f>
        <v>5</v>
      </c>
      <c r="I13" s="203">
        <f ca="1">+IF($D13=0,"",VLOOKUP($C13,$Q:$AB,COLUMNS($C$4:I12),0))</f>
        <v>35</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35.008000000000003</v>
      </c>
      <c r="P13" s="196">
        <f t="shared" ca="1" si="5"/>
        <v>-1.2999999999999999E-3</v>
      </c>
      <c r="Q13" s="119">
        <f t="shared" ca="1" si="0"/>
        <v>3</v>
      </c>
      <c r="R13" s="126" t="str">
        <f>Resultado!B15</f>
        <v>Moises</v>
      </c>
      <c r="S13" s="120">
        <f ca="1">+SUMIFS(Resultado!15:15,Resultado!$1:$1,ClasificaciónPorra!S$4)</f>
        <v>20</v>
      </c>
      <c r="T13" s="120">
        <f ca="1">+SUMIFS(Resultado!15:15,Resultado!$1:$1,ClasificaciónPorra!T$4)</f>
        <v>5</v>
      </c>
      <c r="U13" s="120">
        <f ca="1">+SUMIFS(Resultado!15:15,Resultado!$1:$1,ClasificaciónPorra!U$4)</f>
        <v>10</v>
      </c>
      <c r="V13" s="120">
        <f ca="1">+SUMIFS(Resultado!15:15,Resultado!$1:$1,ClasificaciónPorra!V$4)</f>
        <v>10</v>
      </c>
      <c r="W13" s="120">
        <f t="shared" ca="1" si="1"/>
        <v>45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45.012999999999998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H35" sqref="H35"/>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9</v>
      </c>
      <c r="C1" s="207"/>
      <c r="D1" s="207">
        <f>+A1</f>
        <v>9</v>
      </c>
      <c r="E1" s="207"/>
      <c r="F1" s="207"/>
      <c r="G1" s="207">
        <f>+D1+1</f>
        <v>10</v>
      </c>
      <c r="H1" s="207"/>
      <c r="I1" s="207"/>
      <c r="J1" s="207">
        <f t="shared" ref="J1" si="0">+G1+1</f>
        <v>11</v>
      </c>
      <c r="K1" s="207"/>
      <c r="L1" s="207"/>
      <c r="M1" s="207">
        <f t="shared" ref="M1" si="1">+J1+1</f>
        <v>12</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Perú</v>
      </c>
      <c r="E6" s="217">
        <f>VLOOKUP(D1,Aux!$F:$O,3,0)</f>
        <v>45468.708333333336</v>
      </c>
      <c r="F6" s="299" t="str">
        <f>VLOOKUP(D1,Aux!$F:$O,6,0)</f>
        <v>Canadá</v>
      </c>
      <c r="G6" s="299" t="str">
        <f>VLOOKUP(G1,Aux!$F:$O,5,0)</f>
        <v>Chile</v>
      </c>
      <c r="H6" s="217">
        <f>VLOOKUP(G1,Aux!$F:$O,3,0)</f>
        <v>45468.875</v>
      </c>
      <c r="I6" s="299" t="str">
        <f>VLOOKUP(G1,Aux!$F:$O,6,0)</f>
        <v>Argentina</v>
      </c>
      <c r="J6" s="299" t="str">
        <f>VLOOKUP(J1,Aux!$F:$O,5,0)</f>
        <v>Ecuador</v>
      </c>
      <c r="K6" s="217">
        <f>VLOOKUP(J1,Aux!$F:$O,3,0)</f>
        <v>45469.625</v>
      </c>
      <c r="L6" s="299" t="str">
        <f>VLOOKUP(J1,Aux!$F:$O,6,0)</f>
        <v>Jamaica</v>
      </c>
      <c r="M6" s="299" t="str">
        <f>VLOOKUP(M1,Aux!$F:$O,5,0)</f>
        <v>Venezuela</v>
      </c>
      <c r="N6" s="217">
        <f>VLOOKUP(M1,Aux!$F:$O,3,0)</f>
        <v>45469.75</v>
      </c>
      <c r="O6" s="299" t="str">
        <f>VLOOKUP(M1,Aux!$F:$O,6,0)</f>
        <v>México</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Chile</v>
      </c>
      <c r="X6" s="171" t="str" cm="1">
        <f t="array" aca="1" ref="X6" ca="1">IF(OR(X$5="",$S6=""),"",IFERROR(INDEX(TotalApuestas!$A$1:$GL$50000,MATCH(Seguimiento!$S6,TotalApuestas!$B$1:$B$50000,0),MATCH("Equipos"&amp;Seguimiento!$S$1,Resultado!$4:$4,0)+COLUMNS($T$1:X$1)-1),0))</f>
        <v>Colombia</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Brasil</v>
      </c>
      <c r="AB6" s="123"/>
      <c r="AD6"/>
      <c r="AE6"/>
    </row>
    <row r="7" spans="1:31" ht="20.100000000000001" customHeight="1" x14ac:dyDescent="0.25">
      <c r="B7" s="214"/>
      <c r="C7" s="146"/>
      <c r="D7" s="299"/>
      <c r="E7" s="220">
        <f>+E6</f>
        <v>45468.708333333336</v>
      </c>
      <c r="F7" s="299"/>
      <c r="G7" s="299"/>
      <c r="H7" s="220">
        <f>+H6</f>
        <v>45468.875</v>
      </c>
      <c r="I7" s="299"/>
      <c r="J7" s="299"/>
      <c r="K7" s="220">
        <f>+K6</f>
        <v>45469.625</v>
      </c>
      <c r="L7" s="299"/>
      <c r="M7" s="299"/>
      <c r="N7" s="220">
        <f>+N6</f>
        <v>45469.75</v>
      </c>
      <c r="O7" s="299"/>
      <c r="P7" s="123"/>
      <c r="R7" s="214"/>
      <c r="S7" s="218" t="str">
        <f ca="1">IF(ClasificaciónPorra!D6=0,"",ClasificaciónPorra!D6)</f>
        <v xml:space="preserve">Luis Rondón </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Canadá</v>
      </c>
      <c r="X7" s="171" t="str" cm="1">
        <f t="array" aca="1" ref="X7" ca="1">IF(OR(X$5="",$S7=""),"",IFERROR(INDEX(TotalApuestas!$A$1:$GL$50000,MATCH(Seguimiento!$S7,TotalApuestas!$B$1:$B$50000,0),MATCH("Equipos"&amp;Seguimiento!$S$1,Resultado!$4:$4,0)+COLUMNS($T$1:X$1)-1),0))</f>
        <v>Brasil</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Colombia</v>
      </c>
      <c r="AB7" s="123"/>
      <c r="AD7"/>
      <c r="AE7"/>
    </row>
    <row r="8" spans="1:31" ht="15" customHeight="1" thickBot="1" x14ac:dyDescent="0.3">
      <c r="B8" s="214"/>
      <c r="C8" s="112" t="s">
        <v>99</v>
      </c>
      <c r="D8" s="221">
        <f ca="1">VLOOKUP(D1,Aux!$F:$O,9,0)</f>
        <v>0</v>
      </c>
      <c r="E8" s="222">
        <f ca="1">+IF(D8="","",IF(D8&gt;F8,1,IF(D8=F8,"X",2)))</f>
        <v>2</v>
      </c>
      <c r="F8" s="223">
        <f ca="1">VLOOKUP(D1,Aux!$F:$O,10,0)</f>
        <v>1</v>
      </c>
      <c r="G8" s="221">
        <f ca="1">VLOOKUP(G1,Aux!$F:$O,9,0)</f>
        <v>0</v>
      </c>
      <c r="H8" s="222">
        <f ca="1">+IF(G8="","",IF(G8&gt;I8,1,IF(G8=I8,"X",2)))</f>
        <v>2</v>
      </c>
      <c r="I8" s="223">
        <f ca="1">VLOOKUP(G1,Aux!$F:$O,10,0)</f>
        <v>1</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YUTA</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0</v>
      </c>
      <c r="E10" s="226">
        <f t="shared" ref="E10" ca="1" si="2">+IF(D10="","",IF(D10&gt;F10,1,IF(D10=F10,"X",2)))</f>
        <v>2</v>
      </c>
      <c r="F10" s="225" cm="1">
        <f t="array" aca="1" ref="F10" ca="1">IF($C10="","",INDEX(TotalApuestas!$A$1:$GL$50000,MATCH(Seguimiento!$C10,TotalApuestas!$B$1:$B$50000,0),MATCH(Seguimiento!D$1,Resultado!$2:$2,0)+1))</f>
        <v>1</v>
      </c>
      <c r="G10" s="227">
        <f ca="1">IF($C10="","",INDEX(TotalApuestas!$A$1:$GL$50000,MATCH(Seguimiento!$C10,TotalApuestas!$B$1:$B$50000,0),MATCH(Seguimiento!G$1,Resultado!$2:$2,0)))</f>
        <v>2</v>
      </c>
      <c r="H10" s="226">
        <f t="shared" ref="H10" ca="1" si="3">+IF(G10="","",IF(G10&gt;I10,1,IF(G10=I10,"X",2)))</f>
        <v>2</v>
      </c>
      <c r="I10" s="228" cm="1">
        <f t="array" aca="1" ref="I10" ca="1">IF($C10="","",INDEX(TotalApuestas!$A$1:$GL$50000,MATCH(Seguimiento!$C10,TotalApuestas!$B$1:$B$50000,0),MATCH(Seguimiento!G$1,Resultado!$2:$2,0)+1))</f>
        <v>3</v>
      </c>
      <c r="J10" s="225">
        <f ca="1">IF($C10="","",INDEX(TotalApuestas!$A$1:$GL$50000,MATCH(Seguimiento!$C10,TotalApuestas!$B$1:$B$50000,0),MATCH(Seguimiento!J$1,Resultado!$2:$2,0)))</f>
        <v>3</v>
      </c>
      <c r="K10" s="226">
        <f t="shared" ref="K10" ca="1" si="4">+IF(J10="","",IF(J10&gt;L10,1,IF(J10=L10,"X",2)))</f>
        <v>1</v>
      </c>
      <c r="L10" s="225" cm="1">
        <f t="array" aca="1" ref="L10" ca="1">IF($C10="","",INDEX(TotalApuestas!$A$1:$GL$50000,MATCH(Seguimiento!$C10,TotalApuestas!$B$1:$B$50000,0),MATCH(Seguimiento!J$1,Resultado!$2:$2,0)+1))</f>
        <v>1</v>
      </c>
      <c r="M10" s="227">
        <f ca="1">IF($C10="","",INDEX(TotalApuestas!$A$1:$GL$50000,MATCH(Seguimiento!$C10,TotalApuestas!$B$1:$B$50000,0),MATCH(Seguimiento!M$1,Resultado!$2:$2,0)))</f>
        <v>0</v>
      </c>
      <c r="N10" s="226" t="str">
        <f t="shared" ref="N10" ca="1" si="5">+IF(M10="","",IF(M10&gt;O10,1,IF(M10=O10,"X",2)))</f>
        <v>X</v>
      </c>
      <c r="O10" s="228" cm="1">
        <f t="array" aca="1" ref="O10" ca="1">IF($C10="","",INDEX(TotalApuestas!$A$1:$GL$50000,MATCH(Seguimiento!$C10,TotalApuestas!$B$1:$B$50000,0),MATCH(Seguimiento!M$1,Resultado!$2:$2,0)+1))</f>
        <v>0</v>
      </c>
      <c r="P10" s="123"/>
      <c r="R10" s="214"/>
      <c r="S10" s="218" t="str">
        <f ca="1">IF(ClasificaciónPorra!D9=0,"",ClasificaciónPorra!D9)</f>
        <v xml:space="preserve">  German Rodriguez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Venezuela</v>
      </c>
      <c r="V10" s="171" t="str" cm="1">
        <f t="array" aca="1" ref="V10" ca="1">IF(OR(V$5="",$S10=""),"",IFERROR(INDEX(TotalApuestas!$A$1:$GL$50000,MATCH(Seguimiento!$S10,TotalApuestas!$B$1:$B$50000,0),MATCH("Equipos"&amp;Seguimiento!$S$1,Resultado!$4:$4,0)+COLUMNS($T$1:V$1)-1),0))</f>
        <v>Ecuador</v>
      </c>
      <c r="W10" s="171" t="str" cm="1">
        <f t="array" aca="1" ref="W10" ca="1">IF(OR(W$5="",$S10=""),"",IFERROR(INDEX(TotalApuestas!$A$1:$GL$50000,MATCH(Seguimiento!$S10,TotalApuestas!$B$1:$B$50000,0),MATCH("Equipos"&amp;Seguimiento!$S$1,Resultado!$4:$4,0)+COLUMNS($T$1:W$1)-1),0))</f>
        <v>Chile</v>
      </c>
      <c r="X10" s="171" t="str" cm="1">
        <f t="array" aca="1" ref="X10" ca="1">IF(OR(X$5="",$S10=""),"",IFERROR(INDEX(TotalApuestas!$A$1:$GL$50000,MATCH(Seguimiento!$S10,TotalApuestas!$B$1:$B$50000,0),MATCH("Equipos"&amp;Seguimiento!$S$1,Resultado!$4:$4,0)+COLUMNS($T$1:X$1)-1),0))</f>
        <v>Colombia</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Brasil</v>
      </c>
      <c r="AB10" s="123"/>
      <c r="AD10"/>
      <c r="AE10"/>
    </row>
    <row r="11" spans="1:31" ht="15" customHeight="1" x14ac:dyDescent="0.25">
      <c r="B11" s="214"/>
      <c r="C11" s="229" t="str">
        <f ca="1">IF(ClasificaciónPorra!D6=0,"",ClasificaciónPorra!D6)</f>
        <v xml:space="preserve">Luis Rondón </v>
      </c>
      <c r="D11" s="230">
        <f ca="1">IF($C11="","",INDEX(TotalApuestas!$A$1:$GL$50000,MATCH(Seguimiento!$C11,TotalApuestas!$B$1:$B$50000,0),MATCH(Seguimiento!D$1,Resultado!$2:$2,0)))</f>
        <v>1</v>
      </c>
      <c r="E11" s="231">
        <f t="shared" ref="E11:E29" ca="1" si="6">+IF(D11="","",IF(D11&gt;F11,1,IF(D11=F11,"X",2)))</f>
        <v>2</v>
      </c>
      <c r="F11" s="230" cm="1">
        <f t="array" aca="1" ref="F11" ca="1">IF($C11="","",INDEX(TotalApuestas!$A$1:$GL$50000,MATCH(Seguimiento!$C11,TotalApuestas!$B$1:$B$50000,0),MATCH(Seguimiento!D$1,Resultado!$2:$2,0)+1))</f>
        <v>2</v>
      </c>
      <c r="G11" s="232">
        <f ca="1">IF($C11="","",INDEX(TotalApuestas!$A$1:$GL$50000,MATCH(Seguimiento!$C11,TotalApuestas!$B$1:$B$50000,0),MATCH(Seguimiento!G$1,Resultado!$2:$2,0)))</f>
        <v>1</v>
      </c>
      <c r="H11" s="231">
        <f t="shared" ref="H11:H29" ca="1" si="7">+IF(G11="","",IF(G11&gt;I11,1,IF(G11=I11,"X",2)))</f>
        <v>2</v>
      </c>
      <c r="I11" s="233" cm="1">
        <f t="array" aca="1" ref="I11" ca="1">IF($C11="","",INDEX(TotalApuestas!$A$1:$GL$50000,MATCH(Seguimiento!$C11,TotalApuestas!$B$1:$B$50000,0),MATCH(Seguimiento!G$1,Resultado!$2:$2,0)+1))</f>
        <v>2</v>
      </c>
      <c r="J11" s="230">
        <f ca="1">IF($C11="","",INDEX(TotalApuestas!$A$1:$GL$50000,MATCH(Seguimiento!$C11,TotalApuestas!$B$1:$B$50000,0),MATCH(Seguimiento!J$1,Resultado!$2:$2,0)))</f>
        <v>2</v>
      </c>
      <c r="K11" s="231">
        <f t="shared" ref="K11:K29" ca="1" si="8">+IF(J11="","",IF(J11&gt;L11,1,IF(J11=L11,"X",2)))</f>
        <v>1</v>
      </c>
      <c r="L11" s="230" cm="1">
        <f t="array" aca="1" ref="L11" ca="1">IF($C11="","",INDEX(TotalApuestas!$A$1:$GL$50000,MATCH(Seguimiento!$C11,TotalApuestas!$B$1:$B$50000,0),MATCH(Seguimiento!J$1,Resultado!$2:$2,0)+1))</f>
        <v>0</v>
      </c>
      <c r="M11" s="232">
        <f ca="1">IF($C11="","",INDEX(TotalApuestas!$A$1:$GL$50000,MATCH(Seguimiento!$C11,TotalApuestas!$B$1:$B$50000,0),MATCH(Seguimiento!M$1,Resultado!$2:$2,0)))</f>
        <v>1</v>
      </c>
      <c r="N11" s="231">
        <f t="shared" ref="N11:N29" ca="1" si="9">+IF(M11="","",IF(M11&gt;O11,1,IF(M11=O11,"X",2)))</f>
        <v>1</v>
      </c>
      <c r="O11" s="233" cm="1">
        <f t="array" aca="1" ref="O11" ca="1">IF($C11="","",INDEX(TotalApuestas!$A$1:$GL$50000,MATCH(Seguimiento!$C11,TotalApuestas!$B$1:$B$50000,0),MATCH(Seguimiento!M$1,Resultado!$2:$2,0)+1))</f>
        <v>0</v>
      </c>
      <c r="P11" s="123"/>
      <c r="R11" s="214"/>
      <c r="S11" s="218" t="str">
        <f ca="1">IF(ClasificaciónPorra!D10=0,"",ClasificaciónPorra!D10)</f>
        <v>Cazaputas69</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Chile</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0</v>
      </c>
      <c r="E12" s="231">
        <f t="shared" ca="1" si="6"/>
        <v>2</v>
      </c>
      <c r="F12" s="230" cm="1">
        <f t="array" aca="1" ref="F12" ca="1">IF($C12="","",INDEX(TotalApuestas!$A$1:$GL$50000,MATCH(Seguimiento!$C12,TotalApuestas!$B$1:$B$50000,0),MATCH(Seguimiento!D$1,Resultado!$2:$2,0)+1))</f>
        <v>2</v>
      </c>
      <c r="G12" s="232">
        <f ca="1">IF($C12="","",INDEX(TotalApuestas!$A$1:$GL$50000,MATCH(Seguimiento!$C12,TotalApuestas!$B$1:$B$50000,0),MATCH(Seguimiento!G$1,Resultado!$2:$2,0)))</f>
        <v>0</v>
      </c>
      <c r="H12" s="231">
        <f t="shared" ca="1" si="7"/>
        <v>2</v>
      </c>
      <c r="I12" s="233" cm="1">
        <f t="array" aca="1" ref="I12" ca="1">IF($C12="","",INDEX(TotalApuestas!$A$1:$GL$50000,MATCH(Seguimiento!$C12,TotalApuestas!$B$1:$B$50000,0),MATCH(Seguimiento!G$1,Resultado!$2:$2,0)+1))</f>
        <v>2</v>
      </c>
      <c r="J12" s="230">
        <f ca="1">IF($C12="","",INDEX(TotalApuestas!$A$1:$GL$50000,MATCH(Seguimiento!$C12,TotalApuestas!$B$1:$B$50000,0),MATCH(Seguimiento!J$1,Resultado!$2:$2,0)))</f>
        <v>1</v>
      </c>
      <c r="K12" s="231">
        <f t="shared" ca="1" si="8"/>
        <v>1</v>
      </c>
      <c r="L12" s="230" cm="1">
        <f t="array" aca="1" ref="L12" ca="1">IF($C12="","",INDEX(TotalApuestas!$A$1:$GL$50000,MATCH(Seguimiento!$C12,TotalApuestas!$B$1:$B$50000,0),MATCH(Seguimiento!J$1,Resultado!$2:$2,0)+1))</f>
        <v>0</v>
      </c>
      <c r="M12" s="232">
        <f ca="1">IF($C12="","",INDEX(TotalApuestas!$A$1:$GL$50000,MATCH(Seguimiento!$C12,TotalApuestas!$B$1:$B$50000,0),MATCH(Seguimiento!M$1,Resultado!$2:$2,0)))</f>
        <v>1</v>
      </c>
      <c r="N12" s="231">
        <f t="shared" ca="1" si="9"/>
        <v>1</v>
      </c>
      <c r="O12" s="233" cm="1">
        <f t="array" aca="1" ref="O12" ca="1">IF($C12="","",INDEX(TotalApuestas!$A$1:$GL$50000,MATCH(Seguimiento!$C12,TotalApuestas!$B$1:$B$50000,0),MATCH(Seguimiento!M$1,Resultado!$2:$2,0)+1))</f>
        <v>0</v>
      </c>
      <c r="P12" s="123"/>
      <c r="R12" s="214"/>
      <c r="S12" s="218" t="str">
        <f ca="1">IF(ClasificaciónPorra!D11=0,"",ClasificaciónPorra!D11)</f>
        <v>Carlos Hurtado</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Chile</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YUTA</v>
      </c>
      <c r="D13" s="230">
        <f ca="1">IF($C13="","",INDEX(TotalApuestas!$A$1:$GL$50000,MATCH(Seguimiento!$C13,TotalApuestas!$B$1:$B$50000,0),MATCH(Seguimiento!D$1,Resultado!$2:$2,0)))</f>
        <v>0</v>
      </c>
      <c r="E13" s="231">
        <f t="shared" ca="1" si="6"/>
        <v>2</v>
      </c>
      <c r="F13" s="230" cm="1">
        <f t="array" aca="1" ref="F13" ca="1">IF($C13="","",INDEX(TotalApuestas!$A$1:$GL$50000,MATCH(Seguimiento!$C13,TotalApuestas!$B$1:$B$50000,0),MATCH(Seguimiento!D$1,Resultado!$2:$2,0)+1))</f>
        <v>1</v>
      </c>
      <c r="G13" s="232">
        <f ca="1">IF($C13="","",INDEX(TotalApuestas!$A$1:$GL$50000,MATCH(Seguimiento!$C13,TotalApuestas!$B$1:$B$50000,0),MATCH(Seguimiento!G$1,Resultado!$2:$2,0)))</f>
        <v>1</v>
      </c>
      <c r="H13" s="231">
        <f t="shared" ca="1" si="7"/>
        <v>2</v>
      </c>
      <c r="I13" s="233" cm="1">
        <f t="array" aca="1" ref="I13" ca="1">IF($C13="","",INDEX(TotalApuestas!$A$1:$GL$50000,MATCH(Seguimiento!$C13,TotalApuestas!$B$1:$B$50000,0),MATCH(Seguimiento!G$1,Resultado!$2:$2,0)+1))</f>
        <v>2</v>
      </c>
      <c r="J13" s="230">
        <f ca="1">IF($C13="","",INDEX(TotalApuestas!$A$1:$GL$50000,MATCH(Seguimiento!$C13,TotalApuestas!$B$1:$B$50000,0),MATCH(Seguimiento!J$1,Resultado!$2:$2,0)))</f>
        <v>3</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2</v>
      </c>
      <c r="N13" s="231">
        <f t="shared" ca="1" si="9"/>
        <v>1</v>
      </c>
      <c r="O13" s="233" cm="1">
        <f t="array" aca="1" ref="O13" ca="1">IF($C13="","",INDEX(TotalApuestas!$A$1:$GL$50000,MATCH(Seguimiento!$C13,TotalApuestas!$B$1:$B$50000,0),MATCH(Seguimiento!M$1,Resultado!$2:$2,0)+1))</f>
        <v>0</v>
      </c>
      <c r="P13" s="123"/>
      <c r="R13" s="214"/>
      <c r="S13" s="218" t="str">
        <f ca="1">IF(ClasificaciónPorra!D12=0,"",ClasificaciónPorra!D12)</f>
        <v>Juan Diego De Abreu</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Canadá</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 xml:space="preserve">  German Rodriguez</v>
      </c>
      <c r="D14" s="230">
        <f ca="1">IF($C14="","",INDEX(TotalApuestas!$A$1:$GL$50000,MATCH(Seguimiento!$C14,TotalApuestas!$B$1:$B$50000,0),MATCH(Seguimiento!D$1,Resultado!$2:$2,0)))</f>
        <v>0</v>
      </c>
      <c r="E14" s="231">
        <f t="shared" ca="1" si="6"/>
        <v>2</v>
      </c>
      <c r="F14" s="230" cm="1">
        <f t="array" aca="1" ref="F14" ca="1">IF($C14="","",INDEX(TotalApuestas!$A$1:$GL$50000,MATCH(Seguimiento!$C14,TotalApuestas!$B$1:$B$50000,0),MATCH(Seguimiento!D$1,Resultado!$2:$2,0)+1))</f>
        <v>1</v>
      </c>
      <c r="G14" s="232">
        <f ca="1">IF($C14="","",INDEX(TotalApuestas!$A$1:$GL$50000,MATCH(Seguimiento!$C14,TotalApuestas!$B$1:$B$50000,0),MATCH(Seguimiento!G$1,Resultado!$2:$2,0)))</f>
        <v>0</v>
      </c>
      <c r="H14" s="231">
        <f t="shared" ca="1" si="7"/>
        <v>2</v>
      </c>
      <c r="I14" s="233" cm="1">
        <f t="array" aca="1" ref="I14" ca="1">IF($C14="","",INDEX(TotalApuestas!$A$1:$GL$50000,MATCH(Seguimiento!$C14,TotalApuestas!$B$1:$B$50000,0),MATCH(Seguimiento!G$1,Resultado!$2:$2,0)+1))</f>
        <v>2</v>
      </c>
      <c r="J14" s="230">
        <f ca="1">IF($C14="","",INDEX(TotalApuestas!$A$1:$GL$50000,MATCH(Seguimiento!$C14,TotalApuestas!$B$1:$B$50000,0),MATCH(Seguimiento!J$1,Resultado!$2:$2,0)))</f>
        <v>2</v>
      </c>
      <c r="K14" s="231">
        <f t="shared" ca="1" si="8"/>
        <v>1</v>
      </c>
      <c r="L14" s="230" cm="1">
        <f t="array" aca="1" ref="L14" ca="1">IF($C14="","",INDEX(TotalApuestas!$A$1:$GL$50000,MATCH(Seguimiento!$C14,TotalApuestas!$B$1:$B$50000,0),MATCH(Seguimiento!J$1,Resultado!$2:$2,0)+1))</f>
        <v>0</v>
      </c>
      <c r="M14" s="232">
        <f ca="1">IF($C14="","",INDEX(TotalApuestas!$A$1:$GL$50000,MATCH(Seguimiento!$C14,TotalApuestas!$B$1:$B$50000,0),MATCH(Seguimiento!M$1,Resultado!$2:$2,0)))</f>
        <v>2</v>
      </c>
      <c r="N14" s="231">
        <f t="shared" ca="1" si="9"/>
        <v>1</v>
      </c>
      <c r="O14" s="233" cm="1">
        <f t="array" aca="1" ref="O14" ca="1">IF($C14="","",INDEX(TotalApuestas!$A$1:$GL$50000,MATCH(Seguimiento!$C14,TotalApuestas!$B$1:$B$50000,0),MATCH(Seguimiento!M$1,Resultado!$2:$2,0)+1))</f>
        <v>1</v>
      </c>
      <c r="P14" s="123"/>
      <c r="R14" s="214"/>
      <c r="S14" s="218" t="str">
        <f ca="1">IF(ClasificaciónPorra!D13=0,"",ClasificaciónPorra!D13)</f>
        <v>ISAAC BERMUDEZ</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Ecuador</v>
      </c>
      <c r="V14" s="171" t="str" cm="1">
        <f t="array" aca="1" ref="V14" ca="1">IF(OR(V$5="",$S14=""),"",IFERROR(INDEX(TotalApuestas!$A$1:$GL$50000,MATCH(Seguimiento!$S14,TotalApuestas!$B$1:$B$50000,0),MATCH("Equipos"&amp;Seguimiento!$S$1,Resultado!$4:$4,0)+COLUMNS($T$1:V$1)-1),0))</f>
        <v>Venezuela</v>
      </c>
      <c r="W14" s="171" t="str" cm="1">
        <f t="array" aca="1" ref="W14" ca="1">IF(OR(W$5="",$S14=""),"",IFERROR(INDEX(TotalApuestas!$A$1:$GL$50000,MATCH(Seguimiento!$S14,TotalApuestas!$B$1:$B$50000,0),MATCH("Equipos"&amp;Seguimiento!$S$1,Resultado!$4:$4,0)+COLUMNS($T$1:W$1)-1),0))</f>
        <v>Canadá</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Cazaputas69</v>
      </c>
      <c r="D15" s="230">
        <f ca="1">IF($C15="","",INDEX(TotalApuestas!$A$1:$GL$50000,MATCH(Seguimiento!$C15,TotalApuestas!$B$1:$B$50000,0),MATCH(Seguimiento!D$1,Resultado!$2:$2,0)))</f>
        <v>1</v>
      </c>
      <c r="E15" s="231">
        <f t="shared" ca="1" si="6"/>
        <v>1</v>
      </c>
      <c r="F15" s="230" cm="1">
        <f t="array" aca="1" ref="F15" ca="1">IF($C15="","",INDEX(TotalApuestas!$A$1:$GL$50000,MATCH(Seguimiento!$C15,TotalApuestas!$B$1:$B$50000,0),MATCH(Seguimiento!D$1,Resultado!$2:$2,0)+1))</f>
        <v>0</v>
      </c>
      <c r="G15" s="232">
        <f ca="1">IF($C15="","",INDEX(TotalApuestas!$A$1:$GL$50000,MATCH(Seguimiento!$C15,TotalApuestas!$B$1:$B$50000,0),MATCH(Seguimiento!G$1,Resultado!$2:$2,0)))</f>
        <v>1</v>
      </c>
      <c r="H15" s="231">
        <f t="shared" ca="1" si="7"/>
        <v>2</v>
      </c>
      <c r="I15" s="233" cm="1">
        <f t="array" aca="1" ref="I15" ca="1">IF($C15="","",INDEX(TotalApuestas!$A$1:$GL$50000,MATCH(Seguimiento!$C15,TotalApuestas!$B$1:$B$50000,0),MATCH(Seguimiento!G$1,Resultado!$2:$2,0)+1))</f>
        <v>2</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0</v>
      </c>
      <c r="M15" s="232">
        <f ca="1">IF($C15="","",INDEX(TotalApuestas!$A$1:$GL$50000,MATCH(Seguimiento!$C15,TotalApuestas!$B$1:$B$50000,0),MATCH(Seguimiento!M$1,Resultado!$2:$2,0)))</f>
        <v>1</v>
      </c>
      <c r="N15" s="231" t="str">
        <f t="shared" ca="1" si="9"/>
        <v>X</v>
      </c>
      <c r="O15" s="233" cm="1">
        <f t="array" aca="1" ref="O15" ca="1">IF($C15="","",INDEX(TotalApuestas!$A$1:$GL$50000,MATCH(Seguimiento!$C15,TotalApuestas!$B$1:$B$50000,0),MATCH(Seguimiento!M$1,Resultado!$2:$2,0)+1))</f>
        <v>1</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Carlos Hurtado</v>
      </c>
      <c r="D16" s="230">
        <f ca="1">IF($C16="","",INDEX(TotalApuestas!$A$1:$GL$50000,MATCH(Seguimiento!$C16,TotalApuestas!$B$1:$B$50000,0),MATCH(Seguimiento!D$1,Resultado!$2:$2,0)))</f>
        <v>1</v>
      </c>
      <c r="E16" s="231">
        <f t="shared" ca="1" si="6"/>
        <v>2</v>
      </c>
      <c r="F16" s="230" cm="1">
        <f t="array" aca="1" ref="F16" ca="1">IF($C16="","",INDEX(TotalApuestas!$A$1:$GL$50000,MATCH(Seguimiento!$C16,TotalApuestas!$B$1:$B$50000,0),MATCH(Seguimiento!D$1,Resultado!$2:$2,0)+1))</f>
        <v>3</v>
      </c>
      <c r="G16" s="232">
        <f ca="1">IF($C16="","",INDEX(TotalApuestas!$A$1:$GL$50000,MATCH(Seguimiento!$C16,TotalApuestas!$B$1:$B$50000,0),MATCH(Seguimiento!G$1,Resultado!$2:$2,0)))</f>
        <v>1</v>
      </c>
      <c r="H16" s="231">
        <f t="shared" ca="1" si="7"/>
        <v>2</v>
      </c>
      <c r="I16" s="233" cm="1">
        <f t="array" aca="1" ref="I16" ca="1">IF($C16="","",INDEX(TotalApuestas!$A$1:$GL$50000,MATCH(Seguimiento!$C16,TotalApuestas!$B$1:$B$50000,0),MATCH(Seguimiento!G$1,Resultado!$2:$2,0)+1))</f>
        <v>2</v>
      </c>
      <c r="J16" s="230">
        <f ca="1">IF($C16="","",INDEX(TotalApuestas!$A$1:$GL$50000,MATCH(Seguimiento!$C16,TotalApuestas!$B$1:$B$50000,0),MATCH(Seguimiento!J$1,Resultado!$2:$2,0)))</f>
        <v>1</v>
      </c>
      <c r="K16" s="231">
        <f t="shared" ca="1" si="8"/>
        <v>1</v>
      </c>
      <c r="L16" s="230" cm="1">
        <f t="array" aca="1" ref="L16" ca="1">IF($C16="","",INDEX(TotalApuestas!$A$1:$GL$50000,MATCH(Seguimiento!$C16,TotalApuestas!$B$1:$B$50000,0),MATCH(Seguimiento!J$1,Resultado!$2:$2,0)+1))</f>
        <v>0</v>
      </c>
      <c r="M16" s="232">
        <f ca="1">IF($C16="","",INDEX(TotalApuestas!$A$1:$GL$50000,MATCH(Seguimiento!$C16,TotalApuestas!$B$1:$B$50000,0),MATCH(Seguimiento!M$1,Resultado!$2:$2,0)))</f>
        <v>2</v>
      </c>
      <c r="N16" s="231">
        <f t="shared" ca="1" si="9"/>
        <v>1</v>
      </c>
      <c r="O16" s="233" cm="1">
        <f t="array" aca="1" ref="O16" ca="1">IF($C16="","",INDEX(TotalApuestas!$A$1:$GL$50000,MATCH(Seguimiento!$C16,TotalApuestas!$B$1:$B$50000,0),MATCH(Seguimiento!M$1,Resultado!$2:$2,0)+1))</f>
        <v>1</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Juan Diego De Abreu</v>
      </c>
      <c r="D17" s="230">
        <f ca="1">IF($C17="","",INDEX(TotalApuestas!$A$1:$GL$50000,MATCH(Seguimiento!$C17,TotalApuestas!$B$1:$B$50000,0),MATCH(Seguimiento!D$1,Resultado!$2:$2,0)))</f>
        <v>1</v>
      </c>
      <c r="E17" s="231">
        <f t="shared" ca="1" si="6"/>
        <v>2</v>
      </c>
      <c r="F17" s="230" cm="1">
        <f t="array" aca="1" ref="F17" ca="1">IF($C17="","",INDEX(TotalApuestas!$A$1:$GL$50000,MATCH(Seguimiento!$C17,TotalApuestas!$B$1:$B$50000,0),MATCH(Seguimiento!D$1,Resultado!$2:$2,0)+1))</f>
        <v>2</v>
      </c>
      <c r="G17" s="232">
        <f ca="1">IF($C17="","",INDEX(TotalApuestas!$A$1:$GL$50000,MATCH(Seguimiento!$C17,TotalApuestas!$B$1:$B$50000,0),MATCH(Seguimiento!G$1,Resultado!$2:$2,0)))</f>
        <v>1</v>
      </c>
      <c r="H17" s="231">
        <f t="shared" ca="1" si="7"/>
        <v>2</v>
      </c>
      <c r="I17" s="233" cm="1">
        <f t="array" aca="1" ref="I17" ca="1">IF($C17="","",INDEX(TotalApuestas!$A$1:$GL$50000,MATCH(Seguimiento!$C17,TotalApuestas!$B$1:$B$50000,0),MATCH(Seguimiento!G$1,Resultado!$2:$2,0)+1))</f>
        <v>2</v>
      </c>
      <c r="J17" s="230">
        <f ca="1">IF($C17="","",INDEX(TotalApuestas!$A$1:$GL$50000,MATCH(Seguimiento!$C17,TotalApuestas!$B$1:$B$50000,0),MATCH(Seguimiento!J$1,Resultado!$2:$2,0)))</f>
        <v>2</v>
      </c>
      <c r="K17" s="231">
        <f t="shared" ca="1" si="8"/>
        <v>1</v>
      </c>
      <c r="L17" s="230" cm="1">
        <f t="array" aca="1" ref="L17" ca="1">IF($C17="","",INDEX(TotalApuestas!$A$1:$GL$50000,MATCH(Seguimiento!$C17,TotalApuestas!$B$1:$B$50000,0),MATCH(Seguimiento!J$1,Resultado!$2:$2,0)+1))</f>
        <v>0</v>
      </c>
      <c r="M17" s="232">
        <f ca="1">IF($C17="","",INDEX(TotalApuestas!$A$1:$GL$50000,MATCH(Seguimiento!$C17,TotalApuestas!$B$1:$B$50000,0),MATCH(Seguimiento!M$1,Resultado!$2:$2,0)))</f>
        <v>1</v>
      </c>
      <c r="N17" s="231" t="str">
        <f t="shared" ca="1" si="9"/>
        <v>X</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ISAAC BERMUDEZ</v>
      </c>
      <c r="D18" s="230">
        <f ca="1">IF($C18="","",INDEX(TotalApuestas!$A$1:$GL$50000,MATCH(Seguimiento!$C18,TotalApuestas!$B$1:$B$50000,0),MATCH(Seguimiento!D$1,Resultado!$2:$2,0)))</f>
        <v>0</v>
      </c>
      <c r="E18" s="231" t="str">
        <f t="shared" ca="1" si="6"/>
        <v>X</v>
      </c>
      <c r="F18" s="230" cm="1">
        <f t="array" aca="1" ref="F18" ca="1">IF($C18="","",INDEX(TotalApuestas!$A$1:$GL$50000,MATCH(Seguimiento!$C18,TotalApuestas!$B$1:$B$50000,0),MATCH(Seguimiento!D$1,Resultado!$2:$2,0)+1))</f>
        <v>0</v>
      </c>
      <c r="G18" s="232">
        <f ca="1">IF($C18="","",INDEX(TotalApuestas!$A$1:$GL$50000,MATCH(Seguimiento!$C18,TotalApuestas!$B$1:$B$50000,0),MATCH(Seguimiento!G$1,Resultado!$2:$2,0)))</f>
        <v>1</v>
      </c>
      <c r="H18" s="231">
        <f t="shared" ca="1" si="7"/>
        <v>2</v>
      </c>
      <c r="I18" s="233" cm="1">
        <f t="array" aca="1" ref="I18" ca="1">IF($C18="","",INDEX(TotalApuestas!$A$1:$GL$50000,MATCH(Seguimiento!$C18,TotalApuestas!$B$1:$B$50000,0),MATCH(Seguimiento!G$1,Resultado!$2:$2,0)+1))</f>
        <v>3</v>
      </c>
      <c r="J18" s="230">
        <f ca="1">IF($C18="","",INDEX(TotalApuestas!$A$1:$GL$50000,MATCH(Seguimiento!$C18,TotalApuestas!$B$1:$B$50000,0),MATCH(Seguimiento!J$1,Resultado!$2:$2,0)))</f>
        <v>2</v>
      </c>
      <c r="K18" s="231">
        <f t="shared" ca="1" si="8"/>
        <v>1</v>
      </c>
      <c r="L18" s="230" cm="1">
        <f t="array" aca="1" ref="L18" ca="1">IF($C18="","",INDEX(TotalApuestas!$A$1:$GL$50000,MATCH(Seguimiento!$C18,TotalApuestas!$B$1:$B$50000,0),MATCH(Seguimiento!J$1,Resultado!$2:$2,0)+1))</f>
        <v>0</v>
      </c>
      <c r="M18" s="232">
        <f ca="1">IF($C18="","",INDEX(TotalApuestas!$A$1:$GL$50000,MATCH(Seguimiento!$C18,TotalApuestas!$B$1:$B$50000,0),MATCH(Seguimiento!M$1,Resultado!$2:$2,0)))</f>
        <v>1</v>
      </c>
      <c r="N18" s="231">
        <f t="shared" ca="1" si="9"/>
        <v>1</v>
      </c>
      <c r="O18" s="233" cm="1">
        <f t="array" aca="1" ref="O18" ca="1">IF($C18="","",INDEX(TotalApuestas!$A$1:$GL$50000,MATCH(Seguimiento!$C18,TotalApuestas!$B$1:$B$50000,0),MATCH(Seguimiento!M$1,Resultado!$2:$2,0)+1))</f>
        <v>0</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0</v>
      </c>
      <c r="AL7">
        <f ca="1">IF($B7=0,0,IF(AL$3=TotalApuestas!AL2,AL$5,0))</f>
        <v>0</v>
      </c>
      <c r="AM7">
        <f ca="1">IF($B7=0,0,IF(AM$3=TotalApuestas!AM2,AM$5,0))</f>
        <v>0</v>
      </c>
      <c r="AN7">
        <f ca="1">IF($B7=0,0,IF(AND(AL$3=TotalApuestas!AL2,Resultado!AM$3=TotalApuestas!AM2),Resultado!AN$5+VLOOKUP(AN$4&amp;"bonus",Aux!$W$1:$X$46,2,0),IF(AN$3=TotalApuestas!AN2,AN$5,0)))</f>
        <v>0</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0</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0</v>
      </c>
      <c r="AL9">
        <f ca="1">IF($B9=0,0,IF(AL$3=TotalApuestas!AL4,AL$5,0))</f>
        <v>0</v>
      </c>
      <c r="AM9">
        <f ca="1">IF($B9=0,0,IF(AM$3=TotalApuestas!AM4,AM$5,0))</f>
        <v>0</v>
      </c>
      <c r="AN9">
        <f ca="1">IF($B9=0,0,IF(AND(AL$3=TotalApuestas!AL4,Resultado!AM$3=TotalApuestas!AM4),Resultado!AN$5+VLOOKUP(AN$4&amp;"bonus",Aux!$W$1:$X$46,2,0),IF(AN$3=TotalApuestas!AN4,AN$5,0)))</f>
        <v>0</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0</v>
      </c>
      <c r="AL10">
        <f ca="1">IF($B10=0,0,IF(AL$3=TotalApuestas!AL5,AL$5,0))</f>
        <v>0</v>
      </c>
      <c r="AM10">
        <f ca="1">IF($B10=0,0,IF(AM$3=TotalApuestas!AM5,AM$5,0))</f>
        <v>0</v>
      </c>
      <c r="AN10">
        <f ca="1">IF($B10=0,0,IF(AND(AL$3=TotalApuestas!AL5,Resultado!AM$3=TotalApuestas!AM5),Resultado!AN$5+VLOOKUP(AN$4&amp;"bonus",Aux!$W$1:$X$46,2,0),IF(AN$3=TotalApuestas!AN5,AN$5,0)))</f>
        <v>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0</v>
      </c>
      <c r="AL11">
        <f ca="1">IF($B11=0,0,IF(AL$3=TotalApuestas!AL6,AL$5,0))</f>
        <v>0</v>
      </c>
      <c r="AM11">
        <f ca="1">IF($B11=0,0,IF(AM$3=TotalApuestas!AM6,AM$5,0))</f>
        <v>0</v>
      </c>
      <c r="AN11">
        <f ca="1">IF($B11=0,0,IF(AND(AL$3=TotalApuestas!AL6,Resultado!AM$3=TotalApuestas!AM6),Resultado!AN$5+VLOOKUP(AN$4&amp;"bonus",Aux!$W$1:$X$46,2,0),IF(AN$3=TotalApuestas!AN6,AN$5,0)))</f>
        <v>0</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0</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0</v>
      </c>
      <c r="AL14">
        <f ca="1">IF($B14=0,0,IF(AL$3=TotalApuestas!AL9,AL$5,0))</f>
        <v>0</v>
      </c>
      <c r="AM14">
        <f ca="1">IF($B14=0,0,IF(AM$3=TotalApuestas!AM9,AM$5,0))</f>
        <v>0</v>
      </c>
      <c r="AN14">
        <f ca="1">IF($B14=0,0,IF(AND(AL$3=TotalApuestas!AL9,Resultado!AM$3=TotalApuestas!AM9),Resultado!AN$5+VLOOKUP(AN$4&amp;"bonus",Aux!$W$1:$X$46,2,0),IF(AN$3=TotalApuestas!AN9,AN$5,0)))</f>
        <v>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0</v>
      </c>
      <c r="AL15">
        <f ca="1">IF($B15=0,0,IF(AL$3=TotalApuestas!AL10,AL$5,0))</f>
        <v>0</v>
      </c>
      <c r="AM15">
        <f ca="1">IF($B15=0,0,IF(AM$3=TotalApuestas!AM10,AM$5,0))</f>
        <v>0</v>
      </c>
      <c r="AN15">
        <f ca="1">IF($B15=0,0,IF(AND(AL$3=TotalApuestas!AL10,Resultado!AM$3=TotalApuestas!AM10),Resultado!AN$5+VLOOKUP(AN$4&amp;"bonus",Aux!$W$1:$X$46,2,0),IF(AN$3=TotalApuestas!AN10,AN$5,0)))</f>
        <v>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0</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2024-06-26T04:30:04Z</dcterms:modified>
</cp:coreProperties>
</file>