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AFBB7A88-33D9-4AA7-AAA4-5E877F9E935B}" xr6:coauthVersionLast="47" xr6:coauthVersionMax="47" xr10:uidLastSave="{00000000-0000-0000-0000-000000000000}"/>
  <bookViews>
    <workbookView xWindow="-120" yWindow="-120" windowWidth="29040" windowHeight="15720" tabRatio="721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C22" i="38"/>
  <c r="GW22" i="38"/>
  <c r="GU22" i="38"/>
  <c r="GL22" i="38"/>
  <c r="GG22" i="38"/>
  <c r="GE22" i="38"/>
  <c r="FV22" i="38"/>
  <c r="FU22" i="38"/>
  <c r="FQ22" i="38"/>
  <c r="FO22" i="38"/>
  <c r="FG22" i="38"/>
  <c r="EQ22" i="38"/>
  <c r="EK22" i="38"/>
  <c r="EI22" i="38"/>
  <c r="DZ22" i="38"/>
  <c r="DU22" i="38"/>
  <c r="DS22" i="38"/>
  <c r="DJ22" i="38"/>
  <c r="DI22" i="38"/>
  <c r="DE22" i="38"/>
  <c r="DC22" i="38"/>
  <c r="CU22" i="38"/>
  <c r="CE22" i="38"/>
  <c r="BY22" i="38"/>
  <c r="BW22" i="38"/>
  <c r="BN22" i="38"/>
  <c r="BI22" i="38"/>
  <c r="BG22" i="38"/>
  <c r="AX22" i="38"/>
  <c r="AW22" i="38"/>
  <c r="AS22" i="38"/>
  <c r="AQ22" i="38"/>
  <c r="AI22" i="38"/>
  <c r="S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AH22" i="38" l="1"/>
  <c r="CT22" i="38"/>
  <c r="FF22" i="38"/>
  <c r="AY22" i="38"/>
  <c r="DK22" i="38"/>
  <c r="FW22" i="38"/>
  <c r="BM22" i="38"/>
  <c r="DY22" i="38"/>
  <c r="GK22" i="38"/>
  <c r="BO22" i="38"/>
  <c r="EA22" i="38"/>
  <c r="GM22" i="38"/>
  <c r="Q22" i="38"/>
  <c r="CC22" i="38"/>
  <c r="EO22" i="38"/>
  <c r="HA22" i="38"/>
  <c r="R22" i="38"/>
  <c r="CD22" i="38"/>
  <c r="EP22" i="38"/>
  <c r="HB22" i="38"/>
  <c r="AA22" i="38"/>
  <c r="CM22" i="38"/>
  <c r="EY22" i="38"/>
  <c r="HK22" i="38"/>
  <c r="AC22" i="38"/>
  <c r="CO22" i="38"/>
  <c r="FA22" i="38"/>
  <c r="HM22" i="38"/>
  <c r="AG22" i="38"/>
  <c r="CS22" i="38"/>
  <c r="FE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63" i="1"/>
  <c r="V51" i="1"/>
  <c r="V65" i="1"/>
  <c r="V2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2" i="1"/>
  <c r="U63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V64" i="1"/>
  <c r="U52" i="1"/>
  <c r="V52" i="1"/>
  <c r="U64" i="1"/>
  <c r="U60" i="1"/>
  <c r="V60" i="1"/>
  <c r="U55" i="1"/>
  <c r="V55" i="1"/>
  <c r="U59" i="1"/>
  <c r="GI1" i="38" l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57" i="1"/>
  <c r="U54" i="1"/>
  <c r="U57" i="1"/>
  <c r="U62" i="1"/>
  <c r="V62" i="1"/>
  <c r="V56" i="1"/>
  <c r="U53" i="1"/>
  <c r="U58" i="1"/>
  <c r="U56" i="1"/>
  <c r="V54" i="1"/>
  <c r="V53" i="1"/>
  <c r="V58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11" i="1"/>
  <c r="V49" i="1"/>
  <c r="U33" i="1"/>
  <c r="V36" i="1"/>
  <c r="U49" i="1"/>
  <c r="U9" i="1"/>
  <c r="U19" i="1"/>
  <c r="V3" i="1"/>
  <c r="U12" i="1"/>
  <c r="U29" i="1"/>
  <c r="V12" i="1"/>
  <c r="V40" i="1"/>
  <c r="V13" i="1"/>
  <c r="U15" i="1"/>
  <c r="U44" i="1"/>
  <c r="V15" i="1"/>
  <c r="U16" i="1"/>
  <c r="V43" i="1"/>
  <c r="V29" i="1"/>
  <c r="V44" i="1"/>
  <c r="U28" i="1"/>
  <c r="U27" i="1"/>
  <c r="U42" i="1"/>
  <c r="V38" i="1"/>
  <c r="V34" i="1"/>
  <c r="U46" i="1"/>
  <c r="V11" i="1"/>
  <c r="V19" i="1"/>
  <c r="U10" i="1"/>
  <c r="V41" i="1"/>
  <c r="V42" i="1"/>
  <c r="U6" i="1"/>
  <c r="U50" i="1"/>
  <c r="V28" i="1"/>
  <c r="U8" i="1"/>
  <c r="V18" i="1"/>
  <c r="U35" i="1"/>
  <c r="U37" i="1"/>
  <c r="V20" i="1"/>
  <c r="V37" i="1"/>
  <c r="V48" i="1"/>
  <c r="U14" i="1"/>
  <c r="U5" i="1"/>
  <c r="U34" i="1"/>
  <c r="V30" i="1"/>
  <c r="V14" i="1"/>
  <c r="V45" i="1"/>
  <c r="V8" i="1"/>
  <c r="V7" i="1"/>
  <c r="U31" i="1"/>
  <c r="U13" i="1"/>
  <c r="V10" i="1"/>
  <c r="U17" i="1"/>
  <c r="V33" i="1"/>
  <c r="V50" i="1"/>
  <c r="V39" i="1"/>
  <c r="V31" i="1"/>
  <c r="U48" i="1"/>
  <c r="U7" i="1"/>
  <c r="V5" i="1"/>
  <c r="V9" i="1"/>
  <c r="V4" i="1"/>
  <c r="U20" i="1"/>
  <c r="U38" i="1"/>
  <c r="U36" i="1"/>
  <c r="U30" i="1"/>
  <c r="V6" i="1"/>
  <c r="U45" i="1"/>
  <c r="V32" i="1"/>
  <c r="U3" i="1"/>
  <c r="U41" i="1"/>
  <c r="V35" i="1"/>
  <c r="U32" i="1"/>
  <c r="U47" i="1"/>
  <c r="U39" i="1"/>
  <c r="V46" i="1"/>
  <c r="U40" i="1"/>
  <c r="V47" i="1"/>
  <c r="V16" i="1"/>
  <c r="U4" i="1"/>
  <c r="U18" i="1"/>
  <c r="U43" i="1"/>
  <c r="V27" i="1"/>
  <c r="V17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2" i="1"/>
  <c r="V21" i="1"/>
  <c r="U22" i="1"/>
  <c r="U21" i="1"/>
  <c r="U25" i="1"/>
  <c r="U23" i="1"/>
  <c r="U24" i="1"/>
  <c r="V23" i="1"/>
  <c r="U26" i="1"/>
  <c r="V25" i="1"/>
  <c r="V26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FG3" i="38" a="1"/>
  <c r="P31" i="63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P22" i="63" a="1"/>
  <c r="FA3" i="38" a="1"/>
  <c r="FH3" i="38" a="1"/>
  <c r="ES3" i="38" a="1"/>
  <c r="H10" i="63" a="1"/>
  <c r="EZ3" i="38" a="1"/>
  <c r="H16" i="63" a="1"/>
  <c r="P10" i="63" a="1"/>
  <c r="H28" i="63" a="1"/>
  <c r="FF3" i="38" a="1"/>
  <c r="ET3" i="38" a="1"/>
  <c r="P25" i="63" a="1"/>
  <c r="H31" i="63" a="1"/>
  <c r="EW3" i="38" a="1"/>
  <c r="P28" i="63" a="1"/>
  <c r="P16" i="63" a="1"/>
  <c r="FB3" i="38" a="1"/>
  <c r="FE3" i="38" a="1"/>
  <c r="P19" i="63" a="1"/>
  <c r="FC3" i="38" a="1"/>
  <c r="H13" i="63" a="1"/>
  <c r="H22" i="63" a="1"/>
  <c r="EU3" i="38" a="1"/>
  <c r="EX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I3" i="38" a="1"/>
  <c r="FK3" i="38" a="1"/>
  <c r="FM3" i="38" a="1"/>
  <c r="FO3" i="38" a="1"/>
  <c r="FT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Q3" i="38" a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U10" i="66" s="1"/>
  <c r="I17" i="66" s="1"/>
  <c r="H17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FD3" i="38" a="1"/>
  <c r="H25" i="63" a="1"/>
  <c r="EV3" i="38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J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V3" i="38" a="1"/>
  <c r="FS3" i="38" a="1"/>
  <c r="FV3" i="38" l="1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<sst xmlns="http://schemas.openxmlformats.org/spreadsheetml/2006/main" count="1379" uniqueCount="355">
  <si>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</si>
  <si>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</si>
  <si>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</si>
  <si>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</si>
  <si>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</si>
  <si>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</si>
  <si>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</si>
  <si>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</si>
  <si>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</si>
  <si>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</si>
  <si>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</si>
  <si>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</si>
  <si>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</si>
  <si>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</si>
  <si>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</si>
  <si>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</si>
  <si>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</si>
  <si>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</si>
  <si>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</si>
  <si>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</si>
  <si>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</si>
  <si>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</si>
  <si>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</si>
  <si>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</si>
  <si>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</si>
  <si>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</si>
  <si>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</si>
  <si>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</si>
  <si>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</si>
  <si>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</si>
  <si>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</si>
  <si>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</si>
  <si>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</si>
  <si>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</si>
  <si>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</si>
  <si>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</si>
  <si>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</si>
  <si>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</si>
  <si>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</si>
  <si>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</si>
  <si>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</si>
  <si>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</si>
  <si>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</si>
  <si>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</si>
  <si>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</si>
  <si>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</si>
  <si>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</si>
  <si>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</si>
  <si>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</si>
  <si>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</si>
  <si>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</si>
  <si>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</si>
  <si>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</si>
  <si>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</si>
  <si>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</si>
  <si>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</si>
  <si>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</si>
  <si>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</si>
  <si>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</si>
  <si>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</si>
  <si>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</si>
  <si>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</si>
  <si>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</si>
  <si>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</si>
  <si>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</si>
  <si>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</si>
  <si>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</si>
  <si>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</si>
  <si>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</si>
  <si>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</si>
  <si>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</si>
  <si>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</si>
  <si>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</si>
  <si>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</si>
  <si>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</si>
  <si>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</si>
  <si>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</si>
  <si>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</si>
  <si>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</si>
  <si>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</si>
  <si>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</si>
  <si>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</si>
  <si>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</si>
  <si>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</si>
  <si>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</si>
  <si>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</si>
  <si>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</si>
  <si>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</si>
  <si>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</si>
  <si>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</si>
  <si>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</si>
  <si>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</si>
  <si>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</si>
  <si>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</si>
  <si>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</si>
  <si>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</si>
  <si>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</si>
  <si>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</si>
  <si>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</si>
  <si>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</si>
  <si>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</si>
  <si>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</si>
  <si>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</si>
  <si>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</si>
  <si>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</si>
  <si>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</si>
  <si>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</si>
  <si>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</si>
  <si>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</si>
  <si>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</si>
  <si>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</si>
  <si>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</si>
  <si>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</si>
  <si>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</si>
  <si>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</si>
  <si>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</si>
  <si>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</si>
  <si>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</si>
  <si>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</si>
  <si>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</si>
  <si>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</si>
  <si>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</si>
  <si>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</si>
  <si>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</si>
  <si>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</si>
  <si>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</si>
  <si>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</si>
  <si>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</si>
  <si>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</si>
  <si>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</si>
  <si>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</si>
  <si>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</si>
  <si>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</si>
  <si>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</si>
  <si>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</si>
  <si>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</si>
  <si>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</si>
  <si>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</si>
  <si>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</si>
  <si>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</si>
  <si>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</si>
  <si>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</si>
  <si>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</si>
  <si>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</si>
  <si>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</si>
  <si>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</si>
  <si>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</si>
  <si>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</si>
  <si>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</si>
  <si>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</si>
  <si>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</si>
  <si>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</si>
  <si>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</si>
  <si>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</si>
  <si>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</si>
  <si>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</si>
  <si>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</si>
  <si>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</si>
  <si>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</si>
  <si>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</si>
  <si>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</si>
  <si>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</si>
  <si>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</si>
  <si>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</si>
  <si>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</si>
  <si>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</si>
  <si>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</si>
  <si>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</si>
  <si>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</si>
  <si>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</si>
  <si>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</si>
  <si>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</si>
  <si>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</si>
  <si>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</si>
  <si>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</si>
  <si>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</si>
  <si>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</si>
  <si>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</si>
  <si>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</si>
  <si>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</si>
  <si>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</si>
  <si>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</si>
  <si>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</si>
  <si>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</si>
  <si>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</si>
  <si>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</si>
  <si>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</si>
  <si>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</si>
  <si>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</si>
  <si>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</si>
  <si>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</si>
  <si>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</si>
  <si>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</si>
  <si>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</si>
  <si>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</si>
  <si>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</si>
  <si>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</si>
  <si>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</si>
  <si>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</si>
  <si>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</si>
  <si>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</si>
  <si>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</si>
  <si>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</si>
  <si>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</si>
  <si>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</si>
  <si>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</si>
  <si>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</si>
  <si>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</si>
  <si>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</si>
  <si>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</si>
  <si>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</si>
  <si>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</si>
  <si>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</si>
  <si>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</si>
  <si>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</si>
  <si>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</si>
  <si>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</si>
  <si>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</si>
  <si>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</si>
  <si>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</si>
  <si>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</si>
  <si>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</si>
  <si>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</si>
  <si>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</si>
  <si>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</si>
  <si>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</si>
  <si>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</si>
  <si>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</si>
  <si>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</si>
  <si>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</si>
  <si>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</si>
  <si>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</si>
  <si>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</si>
  <si>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</si>
  <si>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</si>
  <si>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</si>
  <si>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</si>
  <si>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</si>
  <si>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</si>
  <si>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</si>
  <si>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</si>
  <si>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</si>
  <si>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</si>
  <si>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</si>
  <si>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</si>
  <si>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</si>
  <si>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</si>
  <si>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</si>
  <si>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</si>
  <si>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</si>
  <si>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</si>
  <si>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</si>
  <si>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</si>
  <si>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</si>
  <si>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</si>
  <si>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</si>
  <si>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</si>
  <si>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</si>
  <si>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</si>
  <si>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</si>
  <si>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</si>
  <si>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</si>
  <si>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</si>
  <si>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</si>
  <si>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</si>
  <si>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</si>
  <si>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</si>
  <si>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</si>
  <si>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</si>
  <si>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</si>
  <si>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</si>
  <si>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</si>
  <si>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</si>
  <si>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</si>
  <si>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</si>
  <si>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</si>
  <si>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</si>
  <si>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</si>
  <si>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</si>
  <si>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</si>
  <si>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</si>
  <si>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</si>
  <si>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</si>
  <si>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</si>
  <si>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</si>
  <si>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</si>
  <si>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</si>
  <si>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</si>
  <si>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</si>
  <si>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</si>
  <si>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</si>
  <si>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</si>
  <si>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</si>
  <si>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</si>
  <si>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</si>
  <si>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</si>
  <si>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</si>
  <si>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</si>
  <si>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</si>
  <si>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</si>
  <si>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</si>
  <si>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</si>
  <si>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</si>
  <si>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</si>
  <si>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</si>
  <si>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</si>
  <si>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</si>
  <si>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</si>
  <si>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</si>
  <si>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</si>
  <si>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</si>
  <si>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</si>
  <si>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</si>
  <si>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</si>
  <si>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</si>
  <si>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</si>
  <si>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</si>
  <si>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</si>
  <si>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</si>
  <si>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</si>
  <si>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</si>
  <si>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</si>
  <si>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</si>
  <si>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</si>
  <si>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</si>
  <si>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</si>
  <si>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</si>
  <si>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</si>
  <si>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</si>
  <si>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</si>
  <si>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</si>
  <si>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</si>
  <si>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</si>
  <si>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</si>
  <si>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</si>
  <si>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</si>
  <si>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</si>
  <si>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</si>
  <si>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</si>
  <si>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</si>
  <si>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</si>
  <si>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</si>
  <si>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</si>
  <si>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</si>
  <si>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</si>
  <si>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</si>
  <si>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</si>
  <si>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</si>
  <si>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alejandro_velasquez69@hotmail.com</t>
  </si>
  <si>
    <t>haaland</t>
  </si>
  <si>
    <t>cherki</t>
  </si>
  <si>
    <t>donnaruma</t>
  </si>
  <si>
    <t>dembele</t>
  </si>
  <si>
    <t>mamelodi</t>
  </si>
  <si>
    <t>Alejandro Velasquez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</si>
</sst>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00000000-0005-0000-0000-000002000000}"/>
    <cellStyle name="Millares 2 2" xfId="4" xr:uid="{00000000-0005-0000-0000-000003000000}"/>
    <cellStyle name="Millares 3" xfId="5" xr:uid="{00000000-0005-0000-0000-000004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3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4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alejandro_velasquez69@hot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abSelected="1" topLeftCell="A13" zoomScaleNormal="100" workbookViewId="0">
      <selection activeCell="C28" sqref="C28:G28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4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5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6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7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354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348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>
        <v>4126408647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349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350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349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8" t="s">
        <v>351</v>
      </c>
      <c r="F38" s="29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352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353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  <hyperlink ref="C30" r:id="rId4" xr:uid="{00000000-0004-0000-0000-000003000000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 t="shared" ref="BB6:BD6" si="1">VLOOKUP(BB8,$AH$10:$AW$16,14,0)</f>
        <v>1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3</v>
      </c>
      <c r="AC10" s="95">
        <f>AA10-AB10</f>
        <v>5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7</v>
      </c>
      <c r="AP10" s="141">
        <f>AN10-AO10</f>
        <v>-4</v>
      </c>
      <c r="AQ10" s="138">
        <v>0</v>
      </c>
      <c r="AR10" s="141">
        <f>+AW10+AV10+AU10</f>
        <v>1.1001200200000001</v>
      </c>
      <c r="AS10" s="29"/>
      <c r="AT10" s="29"/>
      <c r="AU10" s="141">
        <f>+AJ10</f>
        <v>1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3.3040599999999998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8</v>
      </c>
      <c r="AP12" s="141">
        <f>AN12-AO12</f>
        <v>-3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-0.98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4</v>
      </c>
      <c r="AP14" s="141">
        <f>AN14-AO14</f>
        <v>2</v>
      </c>
      <c r="AQ14" s="138">
        <v>0</v>
      </c>
      <c r="AR14" s="141">
        <f>+AW14+AV14+AU14</f>
        <v>5.9999990099999998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-9.9000000000000005E-7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3</v>
      </c>
      <c r="AP16" s="141">
        <f>AN16-AO16</f>
        <v>5</v>
      </c>
      <c r="AQ16" s="138">
        <v>0</v>
      </c>
      <c r="AR16" s="141">
        <f>+AW16+AV16+AU16</f>
        <v>9.0003010200000002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3.0101999999999999E-4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3</v>
      </c>
      <c r="AP10" s="141">
        <f>AN10-AO10</f>
        <v>6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8</v>
      </c>
      <c r="AB12" s="95">
        <f>VLOOKUP($T12,$AH$10:$AO$16,8,0)</f>
        <v>2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1.1010419999999999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3.0003020299999998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3.0202999999999995E-4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11</v>
      </c>
      <c r="AP16" s="141">
        <f>AN16-AO16</f>
        <v>-10</v>
      </c>
      <c r="AQ16" s="138">
        <v>0</v>
      </c>
      <c r="AR16" s="141">
        <f>+AW16+AV16+AU16</f>
        <v>-1.99E-6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9.0009091100000003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9.0910999999999987E-4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11</v>
      </c>
      <c r="AP12" s="141">
        <f>AN12-AO12</f>
        <v>-10</v>
      </c>
      <c r="AQ12" s="138">
        <v>0</v>
      </c>
      <c r="AR12" s="141">
        <f>+AW12+AV12+AU12</f>
        <v>-9.9900000000000009E-6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-9.9900000000000009E-6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7</v>
      </c>
      <c r="AP14" s="141">
        <f>AN14-AO14</f>
        <v>-3</v>
      </c>
      <c r="AQ14" s="138">
        <v>0</v>
      </c>
      <c r="AR14" s="141">
        <f>+AW14+AV14+AU14</f>
        <v>3.00029704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2.9703999999999999E-4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4</v>
      </c>
      <c r="AP16" s="141">
        <f>AN16-AO16</f>
        <v>4</v>
      </c>
      <c r="AQ16" s="138">
        <v>0</v>
      </c>
      <c r="AR16" s="141">
        <f>+AW16+AV16+AU16</f>
        <v>6.0006040799999996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4.1001200200000003</v>
      </c>
      <c r="AS10" s="29"/>
      <c r="AT10" s="29"/>
      <c r="AU10" s="141">
        <f>+AJ10</f>
        <v>4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-3.9999999999999998E-6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-3.9999999999999998E-6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6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2</v>
      </c>
      <c r="AP14" s="141">
        <f>AN14-AO14</f>
        <v>7</v>
      </c>
      <c r="AQ14" s="138">
        <v>0</v>
      </c>
      <c r="AR14" s="141">
        <f>+AW14+AV14+AU14</f>
        <v>9.0003040399999996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3.0404E-4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6</v>
      </c>
      <c r="AP16" s="141">
        <f>AN16-AO16</f>
        <v>0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2.2030460000000005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6.0006020600000003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-6.9800000000000001E-6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-6.9800000000000001E-6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3.0002990399999998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2.9903999999999998E-4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1</v>
      </c>
      <c r="AP16" s="141">
        <f>AN16-AO16</f>
        <v>6</v>
      </c>
      <c r="AQ16" s="138">
        <v>0</v>
      </c>
      <c r="AR16" s="141">
        <f>+AW16+AV16+AU16</f>
        <v>9.0009060699999992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9.0606999999999992E-4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3</v>
      </c>
      <c r="AP10" s="141">
        <f>AN10-AO10</f>
        <v>5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9</v>
      </c>
      <c r="AO12" s="29" cm="1">
        <f t="array" ref="AO12">SUM(($G$10:$G$23=$AH12)*($L$10:$L$23)+($O$10:$O$23=$AH12)*($J$10:$J$23))</f>
        <v>2</v>
      </c>
      <c r="AP12" s="141">
        <f>AN12-AO12</f>
        <v>7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8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8</v>
      </c>
      <c r="AP16" s="141">
        <f>AN16-AO16</f>
        <v>-6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3</v>
      </c>
      <c r="AP10" s="141">
        <f>AN10-AO10</f>
        <v>7</v>
      </c>
      <c r="AQ10" s="138">
        <v>0</v>
      </c>
      <c r="AR10" s="141">
        <f>+AW10+AV10+AU10</f>
        <v>9.0009070999999992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9.0709999999999988E-4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3.0002980400000001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2.9803999999999996E-4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6.0006020600000003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5</v>
      </c>
      <c r="BC6" s="138">
        <f t="shared" si="1"/>
        <v>2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3</v>
      </c>
      <c r="AP10" s="141">
        <f>AN10-AO10</f>
        <v>6</v>
      </c>
      <c r="AQ10" s="138">
        <v>0</v>
      </c>
      <c r="AR10" s="141">
        <f>+AW10+AV10+AU10</f>
        <v>7.0007060900000004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7.0608999999999993E-4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3</v>
      </c>
      <c r="K12" s="145" t="s">
        <v>40</v>
      </c>
      <c r="L12" s="203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5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4</v>
      </c>
      <c r="AP12" s="141">
        <f>AN12-AO12</f>
        <v>1</v>
      </c>
      <c r="AQ12" s="138">
        <v>0</v>
      </c>
      <c r="AR12" s="141">
        <f>+AW12+AV12+AU12</f>
        <v>5.0005010499999996</v>
      </c>
      <c r="AS12" s="29"/>
      <c r="AT12" s="29"/>
      <c r="AU12" s="141">
        <f>+AJ12</f>
        <v>5</v>
      </c>
      <c r="AV12" s="141">
        <f>SUMIFS($BA12:$BD12,$BA$6:$BD$6,AJ12)/1000</f>
        <v>0</v>
      </c>
      <c r="AW12" s="141">
        <f>SUMIFS($BA12:$BD12,$BA$5:$BD$5,AV12)/1000000</f>
        <v>5.0104999999999995E-4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7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7</v>
      </c>
      <c r="AP14" s="141">
        <f>AN14-AO14</f>
        <v>-2</v>
      </c>
      <c r="AQ14" s="138">
        <v>0</v>
      </c>
      <c r="AR14" s="141">
        <f>+AW14+AV14+AU14</f>
        <v>2.0001980499999998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1.9805000000000002E-4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9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9</v>
      </c>
      <c r="AP16" s="141">
        <f>AN16-AO16</f>
        <v>-5</v>
      </c>
      <c r="AQ16" s="138">
        <v>0</v>
      </c>
      <c r="AR16" s="141">
        <f>+AW16+AV16+AU16</f>
        <v>1.0000950399999999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9.5040000000000012E-5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4" zoomScaleNormal="100" workbookViewId="0">
      <selection activeCell="W30" sqref="W3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3</v>
      </c>
      <c r="L19" s="184" t="s">
        <v>40</v>
      </c>
      <c r="M19" s="203">
        <v>1</v>
      </c>
      <c r="N19" s="185"/>
      <c r="O19" s="184" t="e" vm="49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0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4</v>
      </c>
      <c r="L26" s="192" t="s">
        <v>40</v>
      </c>
      <c r="M26" s="192">
        <v>2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2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River Plate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>
        <v>3</v>
      </c>
      <c r="L29" s="192" t="s">
        <v>40</v>
      </c>
      <c r="M29" s="192">
        <v>4</v>
      </c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4</v>
      </c>
      <c r="L31" s="184" t="s">
        <v>40</v>
      </c>
      <c r="M31" s="203">
        <v>2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4" t="s">
        <v>134</v>
      </c>
    </row>
    <row r="37" spans="1:21" ht="15" customHeight="1" thickBot="1" x14ac:dyDescent="0.3">
      <c r="U37" s="311"/>
    </row>
    <row r="38" spans="1:21" ht="15" customHeight="1" x14ac:dyDescent="0.25">
      <c r="U38" s="296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zoomScaleNormal="100" workbookViewId="0">
      <selection activeCell="W19" sqref="W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3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22">
        <f ca="1">IFERROR(VLOOKUP(H19,Aux!$A:$X,8,0),"")</f>
        <v>#VALUE!</v>
      </c>
      <c r="H19" s="182" t="str">
        <f ca="1">Octavos!U28</f>
        <v>River Plate</v>
      </c>
      <c r="I19" s="183" t="e" vm="30">
        <f ca="1">IFERROR(VLOOKUP(H19,Aux!$A:$C,3,0),"")</f>
        <v>#VALUE!</v>
      </c>
      <c r="J19" s="194"/>
      <c r="K19" s="203">
        <v>1</v>
      </c>
      <c r="L19" s="184" t="s">
        <v>40</v>
      </c>
      <c r="M19" s="203">
        <v>3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zoomScaleNormal="100" workbookViewId="0">
      <selection activeCell="U14" sqref="U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5">
        <f ca="1">IFERROR(VLOOKUP(H10,Aux!$A:$X,8,0),"")</f>
        <v>#VALUE!</v>
      </c>
      <c r="H10" s="182" t="str">
        <f ca="1">Cuartos!U10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4</v>
      </c>
      <c r="L13" s="184" t="s">
        <v>40</v>
      </c>
      <c r="M13" s="203">
        <v>2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zoomScaleNormal="100" workbookViewId="0">
      <selection activeCell="M10" sqref="M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3</v>
      </c>
      <c r="L10" s="184" t="s">
        <v>40</v>
      </c>
      <c r="M10" s="203">
        <v>2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25">
        <f ca="1">IFERROR(VLOOKUP(I17,Aux!$A:$X,8,0),"")</f>
        <v>#VALUE!</v>
      </c>
      <c r="I17" s="313" t="str">
        <f ca="1">U10</f>
        <v>Manchester City</v>
      </c>
      <c r="J17" s="313"/>
      <c r="K17" s="313"/>
      <c r="L17" s="313"/>
      <c r="M17" s="313"/>
      <c r="N17" s="313"/>
      <c r="O17" s="313"/>
      <c r="P17" s="315" t="e" vm="42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2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2</v>
      </c>
      <c r="V7" s="220">
        <f t="shared" ca="1" si="5"/>
        <v>3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3</v>
      </c>
      <c r="V8" s="220">
        <f t="shared" ca="1" si="5"/>
        <v>1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2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3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4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2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3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1</v>
      </c>
      <c r="V19" s="220">
        <f t="shared" ca="1" si="5"/>
        <v>3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3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3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2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1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2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3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3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3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4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2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1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3</v>
      </c>
      <c r="V46" s="220">
        <f t="shared" ca="1" si="5"/>
        <v>3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4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4</v>
      </c>
      <c r="V58" s="220">
        <f t="shared" ca="1" si="9"/>
        <v>2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2</v>
      </c>
      <c r="V59" s="220">
        <f t="shared" ca="1" si="9"/>
        <v>1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3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4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3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Alejandro Velasquez</v>
      </c>
      <c r="C1" s="75" t="str">
        <f>Normas!C30</f>
        <v>alejandro_velasquez69@hotmail.com</v>
      </c>
      <c r="D1" s="75">
        <f>Normas!C32</f>
        <v>4126408647</v>
      </c>
      <c r="E1" s="50">
        <f ca="1">+Resultado!E3</f>
        <v>2</v>
      </c>
      <c r="F1" s="50">
        <f ca="1">+Resultado!F3</f>
        <v>2</v>
      </c>
      <c r="G1" s="50" t="str">
        <f ca="1">+Resultado!G3</f>
        <v>x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2</v>
      </c>
      <c r="M1" s="50" t="str">
        <f ca="1">+Resultado!M3</f>
        <v>x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3</v>
      </c>
      <c r="R1" s="50">
        <f ca="1">+Resultado!R3</f>
        <v>1</v>
      </c>
      <c r="S1" s="50">
        <f ca="1">+Resultado!S3</f>
        <v>1</v>
      </c>
      <c r="T1" s="50">
        <f ca="1">+Resultado!T3</f>
        <v>3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3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2</v>
      </c>
      <c r="AE1" s="50" t="str">
        <f ca="1">+Resultado!AE3</f>
        <v>x</v>
      </c>
      <c r="AF1" s="50">
        <f ca="1">+Resultado!AF3</f>
        <v>3</v>
      </c>
      <c r="AG1" s="50">
        <f ca="1">+Resultado!AG3</f>
        <v>1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0</v>
      </c>
      <c r="AM1" s="50">
        <f ca="1">+Resultado!AM3</f>
        <v>2</v>
      </c>
      <c r="AN1" s="50">
        <f ca="1">+Resultado!AN3</f>
        <v>2</v>
      </c>
      <c r="AO1" s="50">
        <f ca="1">+Resultado!AO3</f>
        <v>4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3</v>
      </c>
      <c r="AV1" s="50">
        <f ca="1">+Resultado!AV3</f>
        <v>3</v>
      </c>
      <c r="AW1" s="50" t="str">
        <f ca="1">+Resultado!AW3</f>
        <v>x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3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2</v>
      </c>
      <c r="DD1" s="50">
        <f ca="1">+Resultado!DD3</f>
        <v>3</v>
      </c>
      <c r="DE1" s="50">
        <f ca="1">+Resultado!DE3</f>
        <v>2</v>
      </c>
      <c r="DF1" s="50">
        <f ca="1">+Resultado!DF3</f>
        <v>3</v>
      </c>
      <c r="DG1" s="50">
        <f ca="1">+Resultado!DG3</f>
        <v>1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2</v>
      </c>
      <c r="DQ1" s="50" t="str">
        <f ca="1">+Resultado!DQ3</f>
        <v>x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3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1</v>
      </c>
      <c r="EE1" s="50">
        <f ca="1">+Resultado!EE3</f>
        <v>3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2</v>
      </c>
      <c r="EL1" s="50">
        <f ca="1">+Resultado!EL3</f>
        <v>2</v>
      </c>
      <c r="EM1" s="50">
        <f ca="1">+Resultado!EM3</f>
        <v>1</v>
      </c>
      <c r="EN1" s="50">
        <f ca="1">+Resultado!EN3</f>
        <v>1</v>
      </c>
      <c r="EO1" s="50" t="str">
        <f ca="1">+Resultado!EO3</f>
        <v>x</v>
      </c>
      <c r="EP1" s="50">
        <f ca="1">+Resultado!EP3</f>
        <v>0</v>
      </c>
      <c r="EQ1" s="50">
        <f ca="1">+Resultado!EQ3</f>
        <v>4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River Plate</v>
      </c>
      <c r="FP1" s="50" t="str">
        <f ca="1">+Resultado!FP3</f>
        <v>Real Madrid</v>
      </c>
      <c r="FQ1" s="50" t="str">
        <f ca="1">+Resultado!FQ3</f>
        <v>Atlético de Madrid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2</v>
      </c>
      <c r="GR1" s="50" t="str">
        <f ca="1">+Resultado!GR3</f>
        <v>x</v>
      </c>
      <c r="GS1" s="50">
        <f ca="1">+Resultado!GS3</f>
        <v>4</v>
      </c>
      <c r="GT1" s="50">
        <f ca="1">+Resultado!GT3</f>
        <v>2</v>
      </c>
      <c r="GU1" s="50">
        <f ca="1">+Resultado!GU3</f>
        <v>1</v>
      </c>
      <c r="GV1" s="50">
        <f ca="1">+Resultado!GV3</f>
        <v>2</v>
      </c>
      <c r="GW1" s="50">
        <f ca="1">+Resultado!GW3</f>
        <v>1</v>
      </c>
      <c r="GX1" s="50">
        <f ca="1">+Resultado!GX3</f>
        <v>1</v>
      </c>
      <c r="GY1" s="50">
        <f ca="1">+Resultado!GY3</f>
        <v>1</v>
      </c>
      <c r="GZ1" s="50">
        <f ca="1">+Resultado!GZ3</f>
        <v>3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4</v>
      </c>
      <c r="HL1" s="50">
        <f ca="1">+Resultado!HL3</f>
        <v>2</v>
      </c>
      <c r="HM1" s="50">
        <f ca="1">+Resultado!HM3</f>
        <v>1</v>
      </c>
      <c r="HN1" s="50">
        <f ca="1">+Resultado!HN3</f>
        <v>3</v>
      </c>
      <c r="HO1" s="50">
        <f ca="1">+Resultado!HO3</f>
        <v>2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2</v>
      </c>
      <c r="F3" s="147">
        <f ca="1">VLOOKUP(E2,Aux!$M:$AZ,10,0)</f>
        <v>2</v>
      </c>
      <c r="G3" s="147" t="str">
        <f ca="1">IF(OR(E3="",F3=""),"",IF(E3&gt;F3,1,IF(E3=F3,"x",2)))</f>
        <v>x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2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3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2</v>
      </c>
      <c r="AE3" s="147" t="str">
        <f t="shared" ref="AE3" ca="1" si="20">IF(OR(AC3="",AD3=""),"",IF(AC3&gt;AD3,1,IF(AC3=AD3,"x",2)))</f>
        <v>x</v>
      </c>
      <c r="AF3" s="147">
        <f ca="1">VLOOKUP(AF2,Aux!$M:$AZ,9,0)</f>
        <v>3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4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3</v>
      </c>
      <c r="AV3" s="147">
        <f ca="1">VLOOKUP(AU2,Aux!$M:$AZ,10,0)</f>
        <v>3</v>
      </c>
      <c r="AW3" s="147" t="str">
        <f t="shared" ref="AW3" ca="1" si="26">IF(OR(AU3="",AV3=""),"",IF(AU3&gt;AV3,1,IF(AU3=AV3,"x",2)))</f>
        <v>x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3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2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2</v>
      </c>
      <c r="DQ3" s="147" t="str">
        <f t="shared" ref="DQ3" ca="1" si="50">IF(OR(DO3="",DP3=""),"",IF(DO3&gt;DP3,1,IF(DO3=DP3,"x",2)))</f>
        <v>x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1</v>
      </c>
      <c r="EO3" s="147" t="str">
        <f t="shared" ref="EO3" ca="1" si="58">IF(OR(EM3="",EN3=""),"",IF(EM3&gt;EN3,1,IF(EM3=EN3,"x",2)))</f>
        <v>x</v>
      </c>
      <c r="EP3" s="147">
        <f ca="1">VLOOKUP(EP2,Aux!$M:$AZ,9,0)</f>
        <v>0</v>
      </c>
      <c r="EQ3" s="147">
        <f ca="1">VLOOKUP(EP2,Aux!$M:$AZ,10,0)</f>
        <v>4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River Plate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Atlético de Madrid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t="shared" ref="GI3" ca="1" si="63">IF(OR(GG3="",GH3=""),"",IF(GG3&gt;GH3,1,IF(GG3=GH3,"x",2)))</f>
        <v>x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2</v>
      </c>
      <c r="GR3" s="147" t="str">
        <f t="shared" ref="GR3" ca="1" si="66">IF(OR(GP3="",GQ3=""),"",IF(GP3&gt;GQ3,1,IF(GP3=GQ3,"x",2)))</f>
        <v>x</v>
      </c>
      <c r="GS3" s="147">
        <f ca="1">VLOOKUP(GS2,Aux!$M:$AZ,9,0)</f>
        <v>4</v>
      </c>
      <c r="GT3" s="147">
        <f ca="1">VLOOKUP(GS2,Aux!$M:$AZ,10,0)</f>
        <v>2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1</v>
      </c>
      <c r="GX3" s="147">
        <f t="shared" ref="GX3" ca="1" si="68">IF(OR(GV3="",GW3=""),"",IF(GV3&gt;GW3,1,IF(GV3=GW3,"x",2)))</f>
        <v>1</v>
      </c>
      <c r="GY3" s="147">
        <f ca="1">VLOOKUP(GY2,Aux!$M:$AZ,9,0)</f>
        <v>1</v>
      </c>
      <c r="GZ3" s="147">
        <f ca="1">VLOOKUP(GY2,Aux!$M:$AZ,10,0)</f>
        <v>3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4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3</v>
      </c>
      <c r="HO3" s="147">
        <f ca="1">VLOOKUP(HN2,Aux!$M:$AZ,10,0)</f>
        <v>2</v>
      </c>
      <c r="HP3" s="147">
        <f t="shared" ref="HP3" ca="1" si="74">IF(OR(HN3="",HO3=""),"",IF(HN3&gt;HO3,1,IF(HN3=HO3,"x",2)))</f>
        <v>1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4" t="s">
        <v>134</v>
      </c>
    </row>
    <row r="29" spans="3:38" ht="14.25" customHeight="1" thickBot="1" x14ac:dyDescent="0.3">
      <c r="V29" s="295"/>
    </row>
    <row r="30" spans="3:38" x14ac:dyDescent="0.25">
      <c r="V30" s="296" t="s">
        <v>135</v>
      </c>
      <c r="W30" s="48"/>
    </row>
    <row r="31" spans="3:38" ht="15.75" thickBot="1" x14ac:dyDescent="0.3">
      <c r="V31" s="297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7" t="s">
        <v>318</v>
      </c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80"/>
      <c r="AX5" s="134"/>
      <c r="AY5" s="339" t="s">
        <v>118</v>
      </c>
      <c r="AZ5" s="340"/>
      <c r="BA5" s="340"/>
      <c r="BB5" s="340"/>
      <c r="BC5" s="340"/>
      <c r="BD5" s="340"/>
      <c r="BE5" s="340"/>
      <c r="BF5" s="340"/>
      <c r="BG5" s="341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8" t="str">
        <f>"Grupo "&amp;VLOOKUP(I2,Aux!$M:$AZ,8,0)</f>
        <v>Grupo A</v>
      </c>
      <c r="E6" s="329"/>
      <c r="F6" s="329"/>
      <c r="G6" s="329"/>
      <c r="H6" s="329"/>
      <c r="I6" s="329"/>
      <c r="J6" s="329"/>
      <c r="K6" s="329"/>
      <c r="L6" s="329"/>
      <c r="M6" s="329"/>
      <c r="N6" s="330"/>
      <c r="O6" s="328" t="str">
        <f>"Grupo "&amp;VLOOKUP(T2,Aux!$M:$AZ,8,0)</f>
        <v>Grupo C</v>
      </c>
      <c r="P6" s="329"/>
      <c r="Q6" s="329"/>
      <c r="R6" s="329"/>
      <c r="S6" s="329"/>
      <c r="T6" s="329"/>
      <c r="U6" s="329"/>
      <c r="V6" s="329"/>
      <c r="W6" s="329"/>
      <c r="X6" s="329"/>
      <c r="Y6" s="330"/>
      <c r="Z6" s="328" t="str">
        <f>"Grupo "&amp;VLOOKUP(AE2,Aux!$M:$AZ,8,0)</f>
        <v>Grupo B</v>
      </c>
      <c r="AA6" s="329"/>
      <c r="AB6" s="329"/>
      <c r="AC6" s="329"/>
      <c r="AD6" s="329"/>
      <c r="AE6" s="329"/>
      <c r="AF6" s="329"/>
      <c r="AG6" s="329"/>
      <c r="AH6" s="329"/>
      <c r="AI6" s="329"/>
      <c r="AJ6" s="330"/>
      <c r="AK6" s="328" t="str">
        <f>"Grupo "&amp;VLOOKUP(AP2,Aux!$M:$AZ,8,0)</f>
        <v>Grupo A</v>
      </c>
      <c r="AL6" s="329"/>
      <c r="AM6" s="329"/>
      <c r="AN6" s="329"/>
      <c r="AO6" s="329"/>
      <c r="AP6" s="329"/>
      <c r="AQ6" s="329"/>
      <c r="AR6" s="329"/>
      <c r="AS6" s="329"/>
      <c r="AT6" s="329"/>
      <c r="AU6" s="330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7"/>
      <c r="E7" s="335" t="e" vm="5">
        <f>IFERROR(VLOOKUP(F7,Aux!$A:$X,8,0),"")</f>
        <v>#VALUE!</v>
      </c>
      <c r="F7" s="335" t="str">
        <f>VLOOKUP(I2,Aux!$M:$AZ,5,0)</f>
        <v>Al-Ahly</v>
      </c>
      <c r="G7" s="335" t="e" vm="6">
        <f>IFERROR(VLOOKUP(F7,Aux!$A:$C,3,0),"")</f>
        <v>#VALUE!</v>
      </c>
      <c r="H7" s="238"/>
      <c r="I7" s="237">
        <f>VLOOKUP(I2,Aux!$M:$AZ,3,0)</f>
        <v>45822.833333333336</v>
      </c>
      <c r="J7" s="333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4"/>
      <c r="O7" s="337"/>
      <c r="P7" s="335" t="e" vm="18">
        <f>IFERROR(VLOOKUP(Q7,Aux!$A:$X,8,0),"")</f>
        <v>#VALUE!</v>
      </c>
      <c r="Q7" s="335" t="str">
        <f>VLOOKUP(T2,Aux!$M:$AZ,5,0)</f>
        <v>Bayern Múnich</v>
      </c>
      <c r="R7" s="335" t="e" vm="19">
        <f>IFERROR(VLOOKUP(Q7,Aux!$A:$C,3,0),"")</f>
        <v>#VALUE!</v>
      </c>
      <c r="S7" s="238"/>
      <c r="T7" s="237">
        <f>VLOOKUP(T2,Aux!$M:$AZ,3,0)</f>
        <v>45823.5</v>
      </c>
      <c r="U7" s="333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4"/>
      <c r="Z7" s="337"/>
      <c r="AA7" s="335" t="e" vm="12">
        <f>IFERROR(VLOOKUP(AB7,Aux!$A:$X,8,0),"")</f>
        <v>#VALUE!</v>
      </c>
      <c r="AB7" s="335" t="str">
        <f>VLOOKUP(AE2,Aux!$M:$AZ,5,0)</f>
        <v>Paris Saint-Germain</v>
      </c>
      <c r="AC7" s="335" t="e" vm="13">
        <f>IFERROR(VLOOKUP(AB7,Aux!$A:$C,3,0),"")</f>
        <v>#VALUE!</v>
      </c>
      <c r="AD7" s="238"/>
      <c r="AE7" s="237">
        <f>VLOOKUP(AE2,Aux!$M:$AZ,3,0)</f>
        <v>45823.5</v>
      </c>
      <c r="AF7" s="333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4"/>
      <c r="AK7" s="337"/>
      <c r="AL7" s="335" t="e" vm="9">
        <f>IFERROR(VLOOKUP(AM7,Aux!$A:$X,8,0),"")</f>
        <v>#VALUE!</v>
      </c>
      <c r="AM7" s="335" t="str">
        <f>VLOOKUP(AP2,Aux!$M:$AZ,5,0)</f>
        <v>Palmeiras</v>
      </c>
      <c r="AN7" s="335" t="e" vm="10">
        <f>IFERROR(VLOOKUP(AM7,Aux!$A:$C,3,0),"")</f>
        <v>#VALUE!</v>
      </c>
      <c r="AO7" s="238"/>
      <c r="AP7" s="237">
        <f>VLOOKUP(AP2,Aux!$M:$AZ,3,0)</f>
        <v>45823.75</v>
      </c>
      <c r="AQ7" s="333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8"/>
      <c r="E8" s="336"/>
      <c r="F8" s="336"/>
      <c r="G8" s="336"/>
      <c r="H8" s="239"/>
      <c r="I8" s="236">
        <f>+I7</f>
        <v>45822.833333333336</v>
      </c>
      <c r="J8" s="333"/>
      <c r="K8" s="331"/>
      <c r="L8" s="331"/>
      <c r="M8" s="331"/>
      <c r="N8" s="334"/>
      <c r="O8" s="338"/>
      <c r="P8" s="336"/>
      <c r="Q8" s="336"/>
      <c r="R8" s="336"/>
      <c r="S8" s="239"/>
      <c r="T8" s="236">
        <f>+T7</f>
        <v>45823.5</v>
      </c>
      <c r="U8" s="333"/>
      <c r="V8" s="331"/>
      <c r="W8" s="331"/>
      <c r="X8" s="331"/>
      <c r="Y8" s="334"/>
      <c r="Z8" s="338"/>
      <c r="AA8" s="336"/>
      <c r="AB8" s="336"/>
      <c r="AC8" s="336"/>
      <c r="AD8" s="239"/>
      <c r="AE8" s="236">
        <f>+AE7</f>
        <v>45823.5</v>
      </c>
      <c r="AF8" s="333"/>
      <c r="AG8" s="331"/>
      <c r="AH8" s="331"/>
      <c r="AI8" s="331"/>
      <c r="AJ8" s="334"/>
      <c r="AK8" s="338"/>
      <c r="AL8" s="336"/>
      <c r="AM8" s="336"/>
      <c r="AN8" s="336"/>
      <c r="AO8" s="239"/>
      <c r="AP8" s="236">
        <f>+AP7</f>
        <v>45823.75</v>
      </c>
      <c r="AQ8" s="333"/>
      <c r="AR8" s="331"/>
      <c r="AS8" s="331"/>
      <c r="AT8" s="331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2">
        <f ca="1">VLOOKUP(I2,Aux!$M:$AZ,9,0)</f>
        <v>2</v>
      </c>
      <c r="E9" s="332"/>
      <c r="F9" s="332"/>
      <c r="G9" s="332"/>
      <c r="H9" s="332"/>
      <c r="I9" s="232" t="str">
        <f ca="1">+IF(D9="","",IF(D9&gt;J9,1,IF(D9=J9,"X",2)))</f>
        <v>X</v>
      </c>
      <c r="J9" s="332">
        <f ca="1">VLOOKUP(I2,Aux!$M:$AZ,10,0)</f>
        <v>2</v>
      </c>
      <c r="K9" s="332"/>
      <c r="L9" s="332"/>
      <c r="M9" s="332"/>
      <c r="N9" s="332"/>
      <c r="O9" s="332">
        <f ca="1">VLOOKUP(T2,Aux!$M:$AZ,9,0)</f>
        <v>5</v>
      </c>
      <c r="P9" s="332"/>
      <c r="Q9" s="332"/>
      <c r="R9" s="332"/>
      <c r="S9" s="332"/>
      <c r="T9" s="232">
        <f ca="1">+IF(O9="","",IF(O9&gt;U9,1,IF(O9=U9,"X",2)))</f>
        <v>1</v>
      </c>
      <c r="U9" s="332">
        <f ca="1">VLOOKUP(T2,Aux!$M:$AZ,10,0)</f>
        <v>0</v>
      </c>
      <c r="V9" s="332"/>
      <c r="W9" s="332"/>
      <c r="X9" s="332"/>
      <c r="Y9" s="332"/>
      <c r="Z9" s="332">
        <f ca="1">VLOOKUP(AE2,Aux!$M:$AZ,9,0)</f>
        <v>2</v>
      </c>
      <c r="AA9" s="332"/>
      <c r="AB9" s="332"/>
      <c r="AC9" s="332"/>
      <c r="AD9" s="332"/>
      <c r="AE9" s="232" t="str">
        <f ca="1">+IF(Z9="","",IF(Z9&gt;AF9,1,IF(Z9=AF9,"X",2)))</f>
        <v>X</v>
      </c>
      <c r="AF9" s="332">
        <f ca="1">VLOOKUP(AE2,Aux!$M:$AZ,10,0)</f>
        <v>2</v>
      </c>
      <c r="AG9" s="332"/>
      <c r="AH9" s="332"/>
      <c r="AI9" s="332"/>
      <c r="AJ9" s="332"/>
      <c r="AK9" s="332">
        <f ca="1">VLOOKUP(AP2,Aux!$M:$AZ,9,0)</f>
        <v>1</v>
      </c>
      <c r="AL9" s="332"/>
      <c r="AM9" s="332"/>
      <c r="AN9" s="332"/>
      <c r="AO9" s="332"/>
      <c r="AP9" s="232">
        <f ca="1">+IF(AK9="","",IF(AK9&gt;AQ9,1,IF(AK9=AQ9,"X",2)))</f>
        <v>2</v>
      </c>
      <c r="AQ9" s="332">
        <f ca="1">VLOOKUP(AP2,Aux!$M:$AZ,10,0)</f>
        <v>2</v>
      </c>
      <c r="AR9" s="332"/>
      <c r="AS9" s="332"/>
      <c r="AT9" s="332"/>
      <c r="AU9" s="332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4" t="str">
        <f>IF($C11="","",INDEX(TotalApuestas!$A$1:$GL$50007,MATCH(Seguimiento!$C11,TotalApuestas!$B$1:$B$50007,0),MATCH(Seguimiento!I$2,Resultado!$2:$2,0)))</f>
        <v/>
      </c>
      <c r="E11" s="325"/>
      <c r="F11" s="325"/>
      <c r="G11" s="325"/>
      <c r="H11" s="325"/>
      <c r="I11" s="256" t="str">
        <f t="shared" ref="I11:I25" si="0">+IF(D11="","",IF(D11&gt;J11,1,IF(D11=J11,"X",2)))</f>
        <v/>
      </c>
      <c r="J11" s="325" t="str" cm="1">
        <f t="array" ref="J11">IF($C11="","",INDEX(TotalApuestas!$A$1:$GL$50007,MATCH(Seguimiento!$C11,TotalApuestas!$B$1:$B$50007,0),MATCH(Seguimiento!I$2,Resultado!$2:$2,0)+1))</f>
        <v/>
      </c>
      <c r="K11" s="325"/>
      <c r="L11" s="325"/>
      <c r="M11" s="325"/>
      <c r="N11" s="326"/>
      <c r="O11" s="324" t="str">
        <f>IF($C11="","",INDEX(TotalApuestas!$A$1:$GL$50007,MATCH(Seguimiento!$C11,TotalApuestas!$B$1:$B$50007,0),MATCH(Seguimiento!T$2,Resultado!$2:$2,0)))</f>
        <v/>
      </c>
      <c r="P11" s="325"/>
      <c r="Q11" s="325"/>
      <c r="R11" s="325"/>
      <c r="S11" s="325"/>
      <c r="T11" s="256" t="str">
        <f t="shared" ref="T11:T25" si="1">+IF(O11="","",IF(O11&gt;U11,1,IF(O11=U11,"X",2)))</f>
        <v/>
      </c>
      <c r="U11" s="325" t="str" cm="1">
        <f t="array" ref="U11">IF($C11="","",INDEX(TotalApuestas!$A$1:$GL$50007,MATCH(Seguimiento!$C11,TotalApuestas!$B$1:$B$50007,0),MATCH(Seguimiento!T$2,Resultado!$2:$2,0)+1))</f>
        <v/>
      </c>
      <c r="V11" s="325"/>
      <c r="W11" s="325"/>
      <c r="X11" s="325"/>
      <c r="Y11" s="326"/>
      <c r="Z11" s="324" t="str">
        <f>IF($C11="","",INDEX(TotalApuestas!$A$1:$GL$50007,MATCH(Seguimiento!$C11,TotalApuestas!$B$1:$B$50007,0),MATCH(Seguimiento!AE$2,Resultado!$2:$2,0)))</f>
        <v/>
      </c>
      <c r="AA11" s="325"/>
      <c r="AB11" s="325"/>
      <c r="AC11" s="325"/>
      <c r="AD11" s="325"/>
      <c r="AE11" s="256" t="str">
        <f t="shared" ref="AE11:AE25" si="2">+IF(Z11="","",IF(Z11&gt;AF11,1,IF(Z11=AF11,"X",2)))</f>
        <v/>
      </c>
      <c r="AF11" s="325" t="str" cm="1">
        <f t="array" ref="AF11">IF($C11="","",INDEX(TotalApuestas!$A$1:$GL$50007,MATCH(Seguimiento!$C11,TotalApuestas!$B$1:$B$50007,0),MATCH(Seguimiento!AE$2,Resultado!$2:$2,0)+1))</f>
        <v/>
      </c>
      <c r="AG11" s="325"/>
      <c r="AH11" s="325"/>
      <c r="AI11" s="325"/>
      <c r="AJ11" s="326"/>
      <c r="AK11" s="324" t="str">
        <f>IF($C11="","",INDEX(TotalApuestas!$A$1:$GL$50007,MATCH(Seguimiento!$C11,TotalApuestas!$B$1:$B$50007,0),MATCH(Seguimiento!AP$2,Resultado!$2:$2,0)))</f>
        <v/>
      </c>
      <c r="AL11" s="325"/>
      <c r="AM11" s="325"/>
      <c r="AN11" s="325"/>
      <c r="AO11" s="325"/>
      <c r="AP11" s="256" t="str">
        <f t="shared" ref="AP11:AP25" si="3">+IF(AK11="","",IF(AK11&gt;AQ11,1,IF(AK11=AQ11,"X",2)))</f>
        <v/>
      </c>
      <c r="AQ11" s="324" t="str" cm="1">
        <f t="array" ref="AQ11">IF($C11="","",INDEX(TotalApuestas!$A$1:$GL$50007,MATCH(Seguimiento!$C11,TotalApuestas!$B$1:$B$50007,0),MATCH(Seguimiento!AP$2,Resultado!$2:$2,0)+1))</f>
        <v/>
      </c>
      <c r="AR11" s="325"/>
      <c r="AS11" s="325"/>
      <c r="AT11" s="325"/>
      <c r="AU11" s="326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1" t="str">
        <f>IF($C27="","",INDEX(TotalApuestas!$A$1:$GL$50007,MATCH(Seguimiento!$C27,TotalApuestas!$B$1:$B$50007,0),MATCH(Seguimiento!I$2,Resultado!$2:$2,0)))</f>
        <v/>
      </c>
      <c r="E27" s="322"/>
      <c r="F27" s="322"/>
      <c r="G27" s="322"/>
      <c r="H27" s="322"/>
      <c r="I27" s="258" t="str">
        <f t="shared" si="8"/>
        <v/>
      </c>
      <c r="J27" s="322" t="str" cm="1">
        <f t="array" ref="J27">IF($C27="","",INDEX(TotalApuestas!$A$1:$GL$50007,MATCH(Seguimiento!$C27,TotalApuestas!$B$1:$B$50007,0),MATCH(Seguimiento!I$2,Resultado!$2:$2,0)+1))</f>
        <v/>
      </c>
      <c r="K27" s="322"/>
      <c r="L27" s="322"/>
      <c r="M27" s="322"/>
      <c r="N27" s="323"/>
      <c r="O27" s="321" t="str">
        <f>IF($C27="","",INDEX(TotalApuestas!$A$1:$GL$50007,MATCH(Seguimiento!$C27,TotalApuestas!$B$1:$B$50007,0),MATCH(Seguimiento!T$2,Resultado!$2:$2,0)))</f>
        <v/>
      </c>
      <c r="P27" s="322"/>
      <c r="Q27" s="322"/>
      <c r="R27" s="322"/>
      <c r="S27" s="322"/>
      <c r="T27" s="258" t="str">
        <f t="shared" si="9"/>
        <v/>
      </c>
      <c r="U27" s="322" t="str" cm="1">
        <f t="array" ref="U27">IF($C27="","",INDEX(TotalApuestas!$A$1:$GL$50007,MATCH(Seguimiento!$C27,TotalApuestas!$B$1:$B$50007,0),MATCH(Seguimiento!T$2,Resultado!$2:$2,0)+1))</f>
        <v/>
      </c>
      <c r="V27" s="322"/>
      <c r="W27" s="322"/>
      <c r="X27" s="322"/>
      <c r="Y27" s="323"/>
      <c r="Z27" s="321" t="str">
        <f>IF($C27="","",INDEX(TotalApuestas!$A$1:$GL$50007,MATCH(Seguimiento!$C27,TotalApuestas!$B$1:$B$50007,0),MATCH(Seguimiento!AE$2,Resultado!$2:$2,0)))</f>
        <v/>
      </c>
      <c r="AA27" s="322"/>
      <c r="AB27" s="322"/>
      <c r="AC27" s="322"/>
      <c r="AD27" s="322"/>
      <c r="AE27" s="258" t="str">
        <f t="shared" si="10"/>
        <v/>
      </c>
      <c r="AF27" s="322" t="str" cm="1">
        <f t="array" ref="AF27">IF($C27="","",INDEX(TotalApuestas!$A$1:$GL$50007,MATCH(Seguimiento!$C27,TotalApuestas!$B$1:$B$50007,0),MATCH(Seguimiento!AE$2,Resultado!$2:$2,0)+1))</f>
        <v/>
      </c>
      <c r="AG27" s="322"/>
      <c r="AH27" s="322"/>
      <c r="AI27" s="322"/>
      <c r="AJ27" s="323"/>
      <c r="AK27" s="321" t="str">
        <f>IF($C27="","",INDEX(TotalApuestas!$A$1:$GL$50007,MATCH(Seguimiento!$C27,TotalApuestas!$B$1:$B$50007,0),MATCH(Seguimiento!AP$2,Resultado!$2:$2,0)))</f>
        <v/>
      </c>
      <c r="AL27" s="322"/>
      <c r="AM27" s="322"/>
      <c r="AN27" s="322"/>
      <c r="AO27" s="322"/>
      <c r="AP27" s="258" t="str">
        <f t="shared" si="11"/>
        <v/>
      </c>
      <c r="AQ27" s="321" t="str" cm="1">
        <f t="array" ref="AQ27">IF($C27="","",INDEX(TotalApuestas!$A$1:$GL$50007,MATCH(Seguimiento!$C27,TotalApuestas!$B$1:$B$50007,0),MATCH(Seguimiento!AP$2,Resultado!$2:$2,0)+1))</f>
        <v/>
      </c>
      <c r="AR27" s="322"/>
      <c r="AS27" s="322"/>
      <c r="AT27" s="322"/>
      <c r="AU27" s="323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4" t="s">
        <v>134</v>
      </c>
    </row>
    <row r="32" spans="2:63" ht="20.100000000000001" customHeight="1" thickBot="1" x14ac:dyDescent="0.3">
      <c r="AW32" s="295"/>
    </row>
    <row r="33" spans="49:49" ht="20.100000000000001" customHeight="1" x14ac:dyDescent="0.25">
      <c r="AW33" s="296" t="s">
        <v>135</v>
      </c>
    </row>
    <row r="34" spans="49:49" ht="20.100000000000001" customHeight="1" thickBot="1" x14ac:dyDescent="0.3">
      <c r="AW34" s="297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2025-07-02T03:23:30Z</dcterms:modified>
</cp:coreProperties>
</file>