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ichData/rdRichValueWebImage.xml" ContentType="application/vnd.ms-excel.rdrichvaluewebimag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Música\"/>
    </mc:Choice>
  </mc:AlternateContent>
  <xr:revisionPtr revIDLastSave="0" documentId="13_ncr:1_{5E50C010-DFB2-48E2-A6B3-5C5C5F214E2C}" xr6:coauthVersionLast="47" xr6:coauthVersionMax="47" xr10:uidLastSave="{00000000-0000-0000-0000-000000000000}"/>
  <bookViews>
    <workbookView xWindow="-120" yWindow="-120" windowWidth="20730" windowHeight="11160" tabRatio="721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4" i="23" l="1"/>
  <c r="HM22" i="38"/>
  <c r="HK22" i="38"/>
  <c r="HC22" i="38"/>
  <c r="HB22" i="38"/>
  <c r="HA22" i="38"/>
  <c r="GW22" i="38"/>
  <c r="GU22" i="38"/>
  <c r="GM22" i="38"/>
  <c r="GL22" i="38"/>
  <c r="GK22" i="38"/>
  <c r="GG22" i="38"/>
  <c r="GE22" i="38"/>
  <c r="FW22" i="38"/>
  <c r="FV22" i="38"/>
  <c r="FU22" i="38"/>
  <c r="FQ22" i="38"/>
  <c r="FO22" i="38"/>
  <c r="FG22" i="38"/>
  <c r="FF22" i="38"/>
  <c r="FE22" i="38"/>
  <c r="FA22" i="38"/>
  <c r="EY22" i="38"/>
  <c r="EQ22" i="38"/>
  <c r="EP22" i="38"/>
  <c r="EO22" i="38"/>
  <c r="EK22" i="38"/>
  <c r="EI22" i="38"/>
  <c r="EA22" i="38"/>
  <c r="DZ22" i="38"/>
  <c r="DY22" i="38"/>
  <c r="DU22" i="38"/>
  <c r="DS22" i="38"/>
  <c r="DK22" i="38"/>
  <c r="DJ22" i="38"/>
  <c r="DI22" i="38"/>
  <c r="DE22" i="38"/>
  <c r="DC22" i="38"/>
  <c r="CU22" i="38"/>
  <c r="CT22" i="38"/>
  <c r="CS22" i="38"/>
  <c r="CO22" i="38"/>
  <c r="CM22" i="38"/>
  <c r="CE22" i="38"/>
  <c r="CD22" i="38"/>
  <c r="CC22" i="38"/>
  <c r="BY22" i="38"/>
  <c r="BW22" i="38"/>
  <c r="BO22" i="38"/>
  <c r="BN22" i="38"/>
  <c r="BM22" i="38"/>
  <c r="BI22" i="38"/>
  <c r="BG22" i="38"/>
  <c r="AY22" i="38"/>
  <c r="AX22" i="38"/>
  <c r="AW22" i="38"/>
  <c r="AS22" i="38"/>
  <c r="AQ22" i="38"/>
  <c r="AI22" i="38"/>
  <c r="AH22" i="38"/>
  <c r="AG22" i="38"/>
  <c r="AC22" i="38"/>
  <c r="AA22" i="38"/>
  <c r="S22" i="38"/>
  <c r="R22" i="38"/>
  <c r="Q22" i="38"/>
  <c r="M22" i="38"/>
  <c r="K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T22" i="38" l="1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57" i="1"/>
  <c r="V51" i="1"/>
  <c r="V59" i="1"/>
  <c r="V63" i="1"/>
  <c r="V64" i="1"/>
  <c r="V52" i="1"/>
  <c r="V2" i="1"/>
  <c r="V53" i="1"/>
  <c r="V62" i="1"/>
  <c r="V54" i="1"/>
  <c r="V65" i="1"/>
  <c r="V60" i="1"/>
  <c r="V61" i="1"/>
  <c r="V55" i="1"/>
  <c r="V58" i="1"/>
  <c r="V56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58" i="1"/>
  <c r="U53" i="1"/>
  <c r="U2" i="1"/>
  <c r="U63" i="1"/>
  <c r="U55" i="1"/>
  <c r="U56" i="1"/>
  <c r="U51" i="1"/>
  <c r="U65" i="1"/>
  <c r="U52" i="1"/>
  <c r="U57" i="1"/>
  <c r="U54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I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64" i="1"/>
  <c r="U60" i="1"/>
  <c r="U59" i="1"/>
  <c r="GG1" i="38" l="1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U62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V8" i="1"/>
  <c r="V41" i="1"/>
  <c r="U10" i="1"/>
  <c r="V43" i="1"/>
  <c r="V42" i="1"/>
  <c r="U18" i="1"/>
  <c r="V39" i="1"/>
  <c r="U14" i="1"/>
  <c r="U19" i="1"/>
  <c r="U30" i="1"/>
  <c r="U28" i="1"/>
  <c r="V36" i="1"/>
  <c r="V37" i="1"/>
  <c r="V31" i="1"/>
  <c r="V44" i="1"/>
  <c r="U42" i="1"/>
  <c r="V46" i="1"/>
  <c r="V33" i="1"/>
  <c r="V6" i="1"/>
  <c r="U4" i="1"/>
  <c r="V38" i="1"/>
  <c r="V19" i="1"/>
  <c r="V12" i="1"/>
  <c r="U7" i="1"/>
  <c r="V35" i="1"/>
  <c r="U34" i="1"/>
  <c r="V18" i="1"/>
  <c r="V47" i="1"/>
  <c r="V4" i="1"/>
  <c r="U40" i="1"/>
  <c r="V11" i="1"/>
  <c r="U13" i="1"/>
  <c r="U15" i="1"/>
  <c r="V48" i="1"/>
  <c r="U41" i="1"/>
  <c r="V10" i="1"/>
  <c r="U16" i="1"/>
  <c r="V5" i="1"/>
  <c r="V34" i="1"/>
  <c r="V40" i="1"/>
  <c r="U38" i="1"/>
  <c r="V27" i="1"/>
  <c r="V30" i="1"/>
  <c r="U11" i="1"/>
  <c r="V29" i="1"/>
  <c r="U29" i="1"/>
  <c r="V32" i="1"/>
  <c r="U6" i="1"/>
  <c r="V14" i="1"/>
  <c r="V50" i="1"/>
  <c r="U37" i="1"/>
  <c r="V16" i="1"/>
  <c r="U45" i="1"/>
  <c r="U27" i="1"/>
  <c r="U35" i="1"/>
  <c r="U36" i="1"/>
  <c r="U8" i="1"/>
  <c r="V9" i="1"/>
  <c r="U5" i="1"/>
  <c r="U46" i="1"/>
  <c r="U3" i="1"/>
  <c r="U47" i="1"/>
  <c r="V7" i="1"/>
  <c r="U20" i="1"/>
  <c r="U32" i="1"/>
  <c r="U17" i="1"/>
  <c r="V15" i="1"/>
  <c r="U44" i="1"/>
  <c r="U31" i="1"/>
  <c r="U12" i="1"/>
  <c r="U48" i="1"/>
  <c r="U33" i="1"/>
  <c r="V3" i="1"/>
  <c r="V49" i="1"/>
  <c r="V13" i="1"/>
  <c r="V28" i="1"/>
  <c r="V45" i="1"/>
  <c r="U49" i="1"/>
  <c r="U9" i="1"/>
  <c r="V17" i="1"/>
  <c r="U50" i="1"/>
  <c r="U43" i="1"/>
  <c r="V20" i="1"/>
  <c r="U39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U22" i="1"/>
  <c r="V22" i="1"/>
  <c r="V25" i="1"/>
  <c r="U23" i="1"/>
  <c r="U25" i="1"/>
  <c r="U26" i="1"/>
  <c r="V24" i="1"/>
  <c r="V26" i="1"/>
  <c r="V23" i="1"/>
  <c r="U21" i="1"/>
  <c r="U24" i="1"/>
  <c r="V21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EY3" i="38" a="1"/>
  <c r="P31" i="63" a="1"/>
  <c r="H19" i="63" a="1"/>
  <c r="FG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ET3" i="38" a="1"/>
  <c r="P19" i="63" a="1"/>
  <c r="FE3" i="38" a="1"/>
  <c r="FF3" i="38" a="1"/>
  <c r="P25" i="63" a="1"/>
  <c r="EW3" i="38" a="1"/>
  <c r="P28" i="63" a="1"/>
  <c r="EU3" i="38" a="1"/>
  <c r="H31" i="63" a="1"/>
  <c r="H13" i="63" a="1"/>
  <c r="FC3" i="38" a="1"/>
  <c r="H10" i="63" a="1"/>
  <c r="H28" i="63" a="1"/>
  <c r="FH3" i="38" a="1"/>
  <c r="H22" i="63" a="1"/>
  <c r="FB3" i="38" a="1"/>
  <c r="H16" i="63" a="1"/>
  <c r="P10" i="63" a="1"/>
  <c r="FA3" i="38" a="1"/>
  <c r="ES3" i="38" a="1"/>
  <c r="EX3" i="38" a="1"/>
  <c r="P16" i="63" a="1"/>
  <c r="EZ3" i="38" a="1"/>
  <c r="P22" i="63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L3" i="38" a="1"/>
  <c r="FP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M3" i="38" a="1"/>
  <c r="FI3" i="38" a="1"/>
  <c r="FO3" i="38" a="1"/>
  <c r="FT3" i="38" a="1"/>
  <c r="FK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H25" i="63" a="1"/>
  <c r="EV3" i="38" a="1"/>
  <c r="FD3" i="38" a="1"/>
  <c r="P13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U10" i="65" s="1"/>
  <c r="H10" i="66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U3" i="38" a="1"/>
  <c r="FQ3" i="38" a="1"/>
  <c r="FJ3" i="38" a="1"/>
  <c r="FN3" i="38" a="1"/>
  <c r="FU3" i="38" l="1"/>
  <c r="FU1" i="36" s="1"/>
  <c r="I10" i="66"/>
  <c r="G10" i="66"/>
  <c r="FQ3" i="38"/>
  <c r="FQ1" i="36" s="1"/>
  <c r="G10" i="65"/>
  <c r="I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U10" i="66" s="1"/>
  <c r="I17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W3" i="38" a="1"/>
  <c r="FS3" i="38" a="1"/>
  <c r="FV3" i="38" a="1"/>
  <c r="FW3" i="38" l="1"/>
  <c r="FW1" i="36" s="1"/>
  <c r="H17" i="66"/>
  <c r="P17" i="66"/>
  <c r="FV3" i="38"/>
  <c r="FV1" i="36" s="1"/>
  <c r="Q10" i="66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</futureMetadata>
  <cellMetadata count="1">
    <bk>
      <rc t="1" v="0"/>
    </bk>
  </cellMetadata>
  <valueMetadata count="108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  <bk>
      <rc t="2" v="106"/>
    </bk>
    <bk>
      <rc t="2" v="107"/>
    </bk>
  </valueMetadata>
</metadata>
</file>

<file path=xl/sharedStrings.xml><?xml version="1.0" encoding="utf-8"?>
<sst xmlns="http://schemas.openxmlformats.org/spreadsheetml/2006/main" count="1380" uniqueCount="356">
  <si>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</si>
  <si>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</si>
  <si>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</si>
  <si>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</si>
  <si>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</si>
  <si>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</si>
  <si>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</si>
  <si>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</si>
  <si>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</si>
  <si>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</si>
  <si>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</si>
  <si>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</si>
  <si>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</si>
  <si>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</si>
  <si>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</si>
  <si>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</si>
  <si>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</si>
  <si>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</si>
  <si>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</si>
  <si>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</si>
  <si>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</si>
  <si>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</si>
  <si>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</si>
  <si>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</si>
  <si>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</si>
  <si>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</si>
  <si>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</si>
  <si>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</si>
  <si>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</si>
  <si>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</si>
  <si>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</si>
  <si>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</si>
  <si>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</si>
  <si>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</si>
  <si>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</si>
  <si>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</si>
  <si>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</si>
  <si>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</si>
  <si>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</si>
  <si>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</si>
  <si>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</si>
  <si>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</si>
  <si>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</si>
  <si>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</si>
  <si>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</si>
  <si>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</si>
  <si>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</si>
  <si>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</si>
  <si>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</si>
  <si>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</si>
  <si>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</si>
  <si>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</si>
  <si>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</si>
  <si>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</si>
  <si>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</si>
  <si>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</si>
  <si>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</si>
  <si>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</si>
  <si>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</si>
  <si>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</si>
  <si>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</si>
  <si>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</si>
  <si>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</si>
  <si>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</si>
  <si>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</si>
  <si>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</si>
  <si>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</si>
  <si>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</si>
  <si>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</si>
  <si>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</si>
  <si>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</si>
  <si>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</si>
  <si>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</si>
  <si>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</si>
  <si>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</si>
  <si>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</si>
  <si>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</si>
  <si>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</si>
  <si>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</si>
  <si>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</si>
  <si>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</si>
  <si>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</si>
  <si>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</si>
  <si>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</si>
  <si>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</si>
  <si>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</si>
  <si>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</si>
  <si>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</si>
  <si>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</si>
  <si>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</si>
  <si>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</si>
  <si>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</si>
  <si>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</si>
  <si>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</si>
  <si>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</si>
  <si>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</si>
  <si>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</si>
  <si>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</si>
  <si>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</si>
  <si>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</si>
  <si>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</si>
  <si>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</si>
  <si>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</si>
  <si>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</si>
  <si>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</si>
  <si>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</si>
  <si>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</si>
  <si>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</si>
  <si>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</si>
  <si>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</si>
  <si>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</si>
  <si>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</si>
  <si>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</si>
  <si>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</si>
  <si>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</si>
  <si>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</si>
  <si>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</si>
  <si>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</si>
  <si>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</si>
  <si>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</si>
  <si>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</si>
  <si>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</si>
  <si>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</si>
  <si>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</si>
  <si>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</si>
  <si>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</si>
  <si>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</si>
  <si>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</si>
  <si>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</si>
  <si>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</si>
  <si>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</si>
  <si>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</si>
  <si>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</si>
  <si>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</si>
  <si>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</si>
  <si>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</si>
  <si>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</si>
  <si>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</si>
  <si>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</si>
  <si>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</si>
  <si>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</si>
  <si>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</si>
  <si>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</si>
  <si>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</si>
  <si>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</si>
  <si>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</si>
  <si>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</si>
  <si>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</si>
  <si>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</si>
  <si>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</si>
  <si>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</si>
  <si>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</si>
  <si>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</si>
  <si>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</si>
  <si>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</si>
  <si>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</si>
  <si>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</si>
  <si>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</si>
  <si>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</si>
  <si>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</si>
  <si>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</si>
  <si>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</si>
  <si>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</si>
  <si>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</si>
  <si>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</si>
  <si>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</si>
  <si>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</si>
  <si>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</si>
  <si>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</si>
  <si>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</si>
  <si>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</si>
  <si>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</si>
  <si>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</si>
  <si>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</si>
  <si>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</si>
  <si>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</si>
  <si>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</si>
  <si>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</si>
  <si>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</si>
  <si>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</si>
  <si>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</si>
  <si>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</si>
  <si>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</si>
  <si>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</si>
  <si>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</si>
  <si>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</si>
  <si>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</si>
  <si>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</si>
  <si>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</si>
  <si>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</si>
  <si>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</si>
  <si>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</si>
  <si>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</si>
  <si>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</si>
  <si>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</si>
  <si>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</si>
  <si>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</si>
  <si>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</si>
  <si>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</si>
  <si>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</si>
  <si>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</si>
  <si>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</si>
  <si>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</si>
  <si>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</si>
  <si>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</si>
  <si>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</si>
  <si>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</si>
  <si>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</si>
  <si>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</si>
  <si>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</si>
  <si>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</si>
  <si>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</si>
  <si>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</si>
  <si>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</si>
  <si>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</si>
  <si>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</si>
  <si>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</si>
  <si>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</si>
  <si>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</si>
  <si>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</si>
  <si>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</si>
  <si>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</si>
  <si>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</si>
  <si>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</si>
  <si>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</si>
  <si>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</si>
  <si>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</si>
  <si>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</si>
  <si>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</si>
  <si>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</si>
  <si>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</si>
  <si>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</si>
  <si>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</si>
  <si>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</si>
  <si>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</si>
  <si>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</si>
  <si>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</si>
  <si>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</si>
  <si>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</si>
  <si>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</si>
  <si>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</si>
  <si>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</si>
  <si>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</si>
  <si>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</si>
  <si>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</si>
  <si>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</si>
  <si>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</si>
  <si>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</si>
  <si>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</si>
  <si>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</si>
  <si>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</si>
  <si>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</si>
  <si>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</si>
  <si>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</si>
  <si>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</si>
  <si>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</si>
  <si>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</si>
  <si>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</si>
  <si>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</si>
  <si>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</si>
  <si>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</si>
  <si>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</si>
  <si>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</si>
  <si>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</si>
  <si>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</si>
  <si>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</si>
  <si>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</si>
  <si>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</si>
  <si>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</si>
  <si>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</si>
  <si>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</si>
  <si>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</si>
  <si>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</si>
  <si>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</si>
  <si>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</si>
  <si>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</si>
  <si>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</si>
  <si>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</si>
  <si>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</si>
  <si>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</si>
  <si>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</si>
  <si>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</si>
  <si>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</si>
  <si>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</si>
  <si>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</si>
  <si>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</si>
  <si>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</si>
  <si>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</si>
  <si>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</si>
  <si>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</si>
  <si>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</si>
  <si>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</si>
  <si>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</si>
  <si>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</si>
  <si>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</si>
  <si>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</si>
  <si>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</si>
  <si>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</si>
  <si>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</si>
  <si>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</si>
  <si>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</si>
  <si>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</si>
  <si>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</si>
  <si>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</si>
  <si>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</si>
  <si>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</si>
  <si>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</si>
  <si>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</si>
  <si>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</si>
  <si>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</si>
  <si>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</si>
  <si>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</si>
  <si>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</si>
  <si>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</si>
  <si>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</si>
  <si>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</si>
  <si>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</si>
  <si>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</si>
  <si>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</si>
  <si>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</si>
  <si>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</si>
  <si>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</si>
  <si>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</si>
  <si>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</si>
  <si>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</si>
  <si>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</si>
  <si>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</si>
  <si>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</si>
  <si>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</si>
  <si>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</si>
  <si>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</si>
  <si>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</si>
  <si>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</si>
  <si>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</si>
  <si>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</si>
  <si>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</si>
  <si>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</si>
  <si>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</si>
  <si>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</si>
  <si>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</si>
  <si>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</si>
  <si>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</si>
  <si>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</si>
  <si>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</si>
  <si>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</si>
  <si>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</si>
  <si>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</si>
  <si>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</si>
  <si>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donnaruma</t>
  </si>
  <si>
    <t>auckland city</t>
  </si>
  <si>
    <t>vinicius jr</t>
  </si>
  <si>
    <t>Leonardo Herrera</t>
  </si>
  <si>
    <t>gherrera2210@gmail.com</t>
  </si>
  <si>
    <t xml:space="preserve">  </t>
  </si>
  <si>
    <t>dembele</t>
  </si>
  <si>
    <t>harry kane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</si>
</sst>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1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" Target="richData/rdrichvalu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Types" Target="richData/rdRichValueTypes.xml"/><Relationship Id="rId30" Type="http://schemas.microsoft.com/office/2020/07/relationships/rdRichValueWebImage" Target="richData/rdRichValueWebImage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8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9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9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8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8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microsoft.com/office/2007/relationships/hdphoto" Target="../media/hdphoto2.wdp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0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0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0.png"/><Relationship Id="rId17" Type="http://schemas.openxmlformats.org/officeDocument/2006/relationships/hyperlink" Target="https://upload.wikimedia.org/wikipedia/commons/thumb/1/10/Palmeiras_logo.svg/160px-Palmeiras_logo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2.png"/><Relationship Id="rId15" Type="http://schemas.openxmlformats.org/officeDocument/2006/relationships/hyperlink" Target="https://upload.wikimedia.org/wikipedia/commons/thumb/0/05/Flag_of_Brazil.svg/640px-Flag_of_Brazil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4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a/a2/CF_Monterrey_A11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0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1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sco/thumb/f/f1/FC_Porto.svg/1200px-FC_Porto.svg.png" TargetMode="External"/><Relationship Id="rId14" Type="http://schemas.openxmlformats.org/officeDocument/2006/relationships/image" Target="../media/image70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5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thumb/0/05/FC_Internazionale_Milano_2021.svg/160px-FC_Internazionale_Milano_2021.svg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8">
  <rv s="0">
    <v>0</v>
    <v>5</v>
    <v>0</v>
    <v>0</v>
  </rv>
  <rv s="0">
    <v>1</v>
    <v>4</v>
    <v>0</v>
    <v>0</v>
  </rv>
  <rv s="0">
    <v>2</v>
    <v>4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5</v>
    <v>0</v>
    <v>0</v>
  </rv>
  <rv s="0">
    <v>8</v>
    <v>1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1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8</v>
    <v>5</v>
    <v>0</v>
    <v>0</v>
  </rv>
  <rv s="0">
    <v>7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33</v>
    <v>5</v>
    <v>0</v>
    <v>0</v>
  </rv>
  <rv s="0">
    <v>34</v>
    <v>1</v>
    <v>0</v>
    <v>0</v>
  </rv>
  <rv s="0">
    <v>9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32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1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gherrera2210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abSelected="1" topLeftCell="A24" zoomScaleNormal="100" workbookViewId="0">
      <selection activeCell="I34" sqref="I34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8" t="s">
        <v>347</v>
      </c>
      <c r="C3" s="288"/>
      <c r="D3" s="288"/>
      <c r="E3" s="288"/>
      <c r="F3" s="288"/>
      <c r="G3" s="288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9" t="s">
        <v>64</v>
      </c>
      <c r="H5" s="290"/>
      <c r="I5" s="290"/>
      <c r="J5" s="290"/>
      <c r="K5" s="290"/>
      <c r="L5" s="291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6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7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8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9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2" t="s">
        <v>351</v>
      </c>
      <c r="D28" s="293"/>
      <c r="E28" s="293"/>
      <c r="F28" s="293"/>
      <c r="G28" s="294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5" t="s">
        <v>352</v>
      </c>
      <c r="D30" s="293"/>
      <c r="E30" s="293"/>
      <c r="F30" s="293"/>
      <c r="G30" s="294"/>
    </row>
    <row r="31" spans="2:9" ht="15.75" thickBot="1" x14ac:dyDescent="0.3"/>
    <row r="32" spans="2:9" ht="15.75" thickBot="1" x14ac:dyDescent="0.3">
      <c r="B32" s="219" t="s">
        <v>90</v>
      </c>
      <c r="C32" s="286">
        <v>4129515821</v>
      </c>
      <c r="D32" s="287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355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354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354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84" t="s">
        <v>348</v>
      </c>
      <c r="F38" s="285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350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349</v>
      </c>
      <c r="F40" s="283"/>
    </row>
  </sheetData>
  <mergeCells count="13">
    <mergeCell ref="E35:F35"/>
    <mergeCell ref="C32:D32"/>
    <mergeCell ref="B3:G3"/>
    <mergeCell ref="G5:L5"/>
    <mergeCell ref="C28:G28"/>
    <mergeCell ref="C30:G30"/>
    <mergeCell ref="I19:I20"/>
    <mergeCell ref="I21:I22"/>
    <mergeCell ref="E40:F40"/>
    <mergeCell ref="E39:F39"/>
    <mergeCell ref="E38:F38"/>
    <mergeCell ref="E37:F37"/>
    <mergeCell ref="E36:F36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  <hyperlink ref="C30" r:id="rId4" xr:uid="{8035C334-D08E-47DE-8BC9-3231390E4346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topLeftCell="A3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>VLOOKUP(BB8,$AH$10:$AW$16,15,0)</f>
        <v>0</v>
      </c>
      <c r="BC5" s="138">
        <f>VLOOKUP(BC8,$AH$10:$AW$16,15,0)</f>
        <v>0</v>
      </c>
      <c r="BD5" s="138">
        <f>VLOOKUP(BD8,$AH$10:$AW$16,15,0)</f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0</v>
      </c>
      <c r="BB6" s="138">
        <f>VLOOKUP(BB8,$AH$10:$AW$16,14,0)</f>
        <v>4</v>
      </c>
      <c r="BC6" s="138">
        <f>VLOOKUP(BC8,$AH$10:$AW$16,14,0)</f>
        <v>5</v>
      </c>
      <c r="BD6" s="138">
        <f>VLOOKUP(BD8,$AH$10:$AW$16,14,0)</f>
        <v>7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1</v>
      </c>
      <c r="K10" s="145" t="s">
        <v>40</v>
      </c>
      <c r="L10" s="203">
        <v>2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Porto</v>
      </c>
      <c r="U10" s="91" t="str">
        <f>IFERROR(VLOOKUP(T10,Aux!A:C,3,0),"")</f>
        <v/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2</v>
      </c>
      <c r="AC10" s="95">
        <f>AA10-AB10</f>
        <v>5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0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3</v>
      </c>
      <c r="AN10" s="29" cm="1">
        <f t="array" ref="AN10">SUM(($G$10:$G$23=$AH10)*($J$10:$J$23)+($O$10:$O$23=$AH10)*($L$10:$L$23))</f>
        <v>1</v>
      </c>
      <c r="AO10" s="29" cm="1">
        <f t="array" ref="AO10">SUM(($G$10:$G$23=$AH10)*($L$10:$L$23)+($O$10:$O$23=$AH10)*($J$10:$J$23))</f>
        <v>9</v>
      </c>
      <c r="AP10" s="141">
        <f>AN10-AO10</f>
        <v>-8</v>
      </c>
      <c r="AQ10" s="138">
        <v>0</v>
      </c>
      <c r="AR10" s="141">
        <f>+AW10+AV10+AU10</f>
        <v>-7.9899999999999997E-6</v>
      </c>
      <c r="AS10" s="29"/>
      <c r="AT10" s="29"/>
      <c r="AU10" s="141">
        <f>+AJ10</f>
        <v>0</v>
      </c>
      <c r="AV10" s="141">
        <f>SUMIFS($BA10:$BD10,$BA$6:$BD$6,AJ10)/1000</f>
        <v>0</v>
      </c>
      <c r="AW10" s="141">
        <f>SUMIFS($BA10:$BD10,$BA$5:$BD$5,AV10)/1000000</f>
        <v>-7.9899999999999997E-6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-3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-4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8">
        <f>IFERROR(VLOOKUP(G12,Aux!$A:$X,8,0),"")</f>
        <v>#VALUE!</v>
      </c>
      <c r="G12" s="157" t="str">
        <f>VLOOKUP(B12,Aux!M:Y,5,0)</f>
        <v>Palmeiras</v>
      </c>
      <c r="H12" s="154" t="e" vm="9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10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Palmeiras</v>
      </c>
      <c r="U12" s="91" t="str">
        <f>IFERROR(VLOOKUP(T12,Aux!A:C,3,0),"")</f>
        <v/>
      </c>
      <c r="V12" s="92"/>
      <c r="W12" s="93">
        <f>VLOOKUP($T12,$AH$10:$AO$16,3,0)</f>
        <v>5</v>
      </c>
      <c r="X12" s="94">
        <f>VLOOKUP($T12,$AH$10:$AO$16,4,0)</f>
        <v>1</v>
      </c>
      <c r="Y12" s="94">
        <f>VLOOKUP($T12,$AH$10:$AO$16,5,0)</f>
        <v>2</v>
      </c>
      <c r="Z12" s="94">
        <f>VLOOKUP($T12,$AH$10:$AO$16,6,0)</f>
        <v>0</v>
      </c>
      <c r="AA12" s="95">
        <f>VLOOKUP($T12,$AH$10:$AO$16,7,0)</f>
        <v>5</v>
      </c>
      <c r="AB12" s="95">
        <f>VLOOKUP($T12,$AH$10:$AO$16,8,0)</f>
        <v>2</v>
      </c>
      <c r="AC12" s="95">
        <f>AA12-AB12</f>
        <v>3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4</v>
      </c>
      <c r="AP12" s="141">
        <f>AN12-AO12</f>
        <v>0</v>
      </c>
      <c r="AQ12" s="138">
        <v>0</v>
      </c>
      <c r="AR12" s="141">
        <f>+AW12+AV12+AU12</f>
        <v>4.0004000399999997</v>
      </c>
      <c r="AS12" s="29"/>
      <c r="AT12" s="29"/>
      <c r="AU12" s="141">
        <f>+AJ12</f>
        <v>4</v>
      </c>
      <c r="AV12" s="141">
        <f>SUMIFS($BA12:$BD12,$BA$6:$BD$6,AJ12)/1000</f>
        <v>0</v>
      </c>
      <c r="AW12" s="141">
        <f>SUMIFS($BA12:$BD12,$BA$5:$BD$5,AV12)/1000000</f>
        <v>4.0003999999999994E-4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-0.99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8">
        <f>IFERROR(VLOOKUP(G14,Aux!$A:$X,8,0),"")</f>
        <v>#VALUE!</v>
      </c>
      <c r="G14" s="157" t="str">
        <f>VLOOKUP(B14,Aux!M:Y,5,0)</f>
        <v>Palmeiras</v>
      </c>
      <c r="H14" s="154" t="e" vm="9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Inter Miami</v>
      </c>
      <c r="U14" s="91" t="str">
        <f>IFERROR(VLOOKUP(T14,Aux!A:C,3,0),"")</f>
        <v/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4</v>
      </c>
      <c r="AB14" s="95">
        <f>VLOOKUP($T14,$AH$10:$AO$16,8,0)</f>
        <v>4</v>
      </c>
      <c r="AC14" s="95">
        <f>AA14-AB14</f>
        <v>0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5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2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5</v>
      </c>
      <c r="AO14" s="29" cm="1">
        <f t="array" ref="AO14">SUM(($G$10:$G$23=$AH14)*($L$10:$L$23)+($O$10:$O$23=$AH14)*($J$10:$J$23))</f>
        <v>2</v>
      </c>
      <c r="AP14" s="141">
        <f>AN14-AO14</f>
        <v>3</v>
      </c>
      <c r="AQ14" s="138">
        <v>0</v>
      </c>
      <c r="AR14" s="141">
        <f>+AW14+AV14+AU14</f>
        <v>5.0005030499999998</v>
      </c>
      <c r="AS14" s="29"/>
      <c r="AT14" s="29"/>
      <c r="AU14" s="141">
        <f>+AJ14</f>
        <v>5</v>
      </c>
      <c r="AV14" s="141">
        <f>SUMIFS($BA14:$BD14,$BA$6:$BD$6,AJ14)/1000</f>
        <v>0</v>
      </c>
      <c r="AW14" s="141">
        <f>SUMIFS($BA14:$BD14,$BA$5:$BD$5,AV14)/1000000</f>
        <v>5.0305E-4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2.2020440000000003</v>
      </c>
      <c r="AY14" s="29">
        <f>_xlfn.RANK.EQ(AX14,$AX$10:$AX$16,1)</f>
        <v>2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303.02999999999997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1</v>
      </c>
      <c r="K16" s="145" t="s">
        <v>40</v>
      </c>
      <c r="L16" s="203">
        <v>2</v>
      </c>
      <c r="M16" s="16"/>
      <c r="N16" s="154" t="e" vm="10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9</v>
      </c>
      <c r="AC16" s="95">
        <f>AA16-AB16</f>
        <v>-8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2</v>
      </c>
      <c r="AP16" s="141">
        <f>AN16-AO16</f>
        <v>5</v>
      </c>
      <c r="AQ16" s="138">
        <v>0</v>
      </c>
      <c r="AR16" s="141">
        <f>+AW16+AV16+AU16</f>
        <v>7.0007050700000004</v>
      </c>
      <c r="AS16" s="29"/>
      <c r="AT16" s="29"/>
      <c r="AU16" s="141">
        <f>+AJ16</f>
        <v>7</v>
      </c>
      <c r="AV16" s="141">
        <f>SUMIFS($BA16:$BD16,$BA$6:$BD$6,AJ16)/1000</f>
        <v>0</v>
      </c>
      <c r="AW16" s="141">
        <f>SUMIFS($BA16:$BD16,$BA$5:$BD$5,AV16)/1000000</f>
        <v>7.0506999999999992E-4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304.04000000000002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1</v>
      </c>
      <c r="K18" s="145" t="s">
        <v>40</v>
      </c>
      <c r="L18" s="203">
        <v>1</v>
      </c>
      <c r="M18" s="16"/>
      <c r="N18" s="154" t="e" vm="9">
        <f>IFERROR(VLOOKUP(O18,Aux!$A:$C,3,0),"")</f>
        <v>#VALUE!</v>
      </c>
      <c r="O18" s="155" t="str">
        <f>VLOOKUP(B18,Aux!M:Y,6,0)</f>
        <v>Palmeiras</v>
      </c>
      <c r="P18" s="102" t="e" vm="8">
        <f>IFERROR(VLOOKUP(O18,Aux!$A:$X,8,0),"")</f>
        <v>#VALUE!</v>
      </c>
      <c r="Q18" s="16"/>
      <c r="R18" s="24" t="str">
        <f>VLOOKUP(B18,Aux!M:Y,7,0)</f>
        <v>Hard Rock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10">
        <f>IFERROR(VLOOKUP(G20,Aux!$A:$C,3,0),"")</f>
        <v>#VALUE!</v>
      </c>
      <c r="I20" s="154"/>
      <c r="J20" s="203">
        <v>4</v>
      </c>
      <c r="K20" s="145" t="s">
        <v>40</v>
      </c>
      <c r="L20" s="203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>VLOOKUP(BB8,$AH$10:$AW$16,15,0)</f>
        <v>0</v>
      </c>
      <c r="BC5" s="138">
        <f>VLOOKUP(BC8,$AH$10:$AW$16,15,0)</f>
        <v>0</v>
      </c>
      <c r="BD5" s="138">
        <f>VLOOKUP(BD8,$AH$10:$AW$16,15,0)</f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>VLOOKUP(BB8,$AH$10:$AW$16,14,0)</f>
        <v>6</v>
      </c>
      <c r="BC6" s="138">
        <f>VLOOKUP(BC8,$AH$10:$AW$16,14,0)</f>
        <v>3</v>
      </c>
      <c r="BD6" s="138">
        <f>VLOOKUP(BD8,$AH$10:$AW$16,14,0)</f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2</v>
      </c>
      <c r="K10" s="145" t="s">
        <v>40</v>
      </c>
      <c r="L10" s="203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1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1</v>
      </c>
      <c r="AP10" s="141">
        <f>AN10-AO10</f>
        <v>8</v>
      </c>
      <c r="AQ10" s="138">
        <v>0</v>
      </c>
      <c r="AR10" s="141">
        <f>+AW10+AV10+AU10</f>
        <v>9.0009080899999994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9.0808999999999996E-4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304.04000000000002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8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1</v>
      </c>
      <c r="K12" s="145" t="s">
        <v>40</v>
      </c>
      <c r="L12" s="203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2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6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2</v>
      </c>
      <c r="AP12" s="141">
        <f>AN12-AO12</f>
        <v>2</v>
      </c>
      <c r="AQ12" s="138">
        <v>0</v>
      </c>
      <c r="AR12" s="141">
        <f>+AW12+AV12+AU12</f>
        <v>6.0006020400000004</v>
      </c>
      <c r="AS12" s="29"/>
      <c r="AT12" s="29"/>
      <c r="AU12" s="141">
        <f>+AJ12</f>
        <v>6</v>
      </c>
      <c r="AV12" s="141">
        <f>SUMIFS($BA12:$BD12,$BA$6:$BD$6,AJ12)/1000</f>
        <v>0</v>
      </c>
      <c r="AW12" s="141">
        <f>SUMIFS($BA12:$BD12,$BA$5:$BD$5,AV12)/1000000</f>
        <v>6.0203999999999998E-4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2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1</v>
      </c>
      <c r="AB14" s="95">
        <f>VLOOKUP($T14,$AH$10:$AO$16,8,0)</f>
        <v>4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4</v>
      </c>
      <c r="AP14" s="141">
        <f>AN14-AO14</f>
        <v>-3</v>
      </c>
      <c r="AQ14" s="138">
        <v>0</v>
      </c>
      <c r="AR14" s="141">
        <f>+AW14+AV14+AU14</f>
        <v>3.0002970100000002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2.9701E-4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8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7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7</v>
      </c>
      <c r="AP16" s="141">
        <f>AN16-AO16</f>
        <v>-7</v>
      </c>
      <c r="AQ16" s="138">
        <v>0</v>
      </c>
      <c r="AR16" s="141">
        <f>+AW16+AV16+AU16</f>
        <v>-6.9999999999999999E-6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-6.9999999999999999E-6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-4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4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1</v>
      </c>
      <c r="K20" s="145" t="s">
        <v>40</v>
      </c>
      <c r="L20" s="203">
        <v>0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8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>VLOOKUP(BB8,$AH$10:$AW$16,15,0)</f>
        <v>0</v>
      </c>
      <c r="BC5" s="138">
        <f>VLOOKUP(BC8,$AH$10:$AW$16,15,0)</f>
        <v>0.10001</v>
      </c>
      <c r="BD5" s="138">
        <f>VLOOKUP(BD8,$AH$10:$AW$16,15,0)</f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>VLOOKUP(BB8,$AH$10:$AW$16,14,0)</f>
        <v>0</v>
      </c>
      <c r="BC6" s="138">
        <f>VLOOKUP(BC8,$AH$10:$AW$16,14,0)</f>
        <v>4</v>
      </c>
      <c r="BD6" s="138">
        <f>VLOOKUP(BD8,$AH$10:$AW$16,14,0)</f>
        <v>4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6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2</v>
      </c>
      <c r="AC10" s="95">
        <f>AA10-AB10</f>
        <v>9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2</v>
      </c>
      <c r="AP10" s="141">
        <f>AN10-AO10</f>
        <v>9</v>
      </c>
      <c r="AQ10" s="138">
        <v>0</v>
      </c>
      <c r="AR10" s="141">
        <f>+AW10+AV10+AU10</f>
        <v>9.0003060599999998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3.0605999999999998E-4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306.06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302.02999999999997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Benfica</v>
      </c>
      <c r="U12" s="91" t="str">
        <f>IFERROR(VLOOKUP(T12,Aux!A:C,3,0),"")</f>
        <v/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3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10</v>
      </c>
      <c r="AP12" s="141">
        <f>AN12-AO12</f>
        <v>-10</v>
      </c>
      <c r="AQ12" s="138">
        <v>0</v>
      </c>
      <c r="AR12" s="141">
        <f>+AW12+AV12+AU12</f>
        <v>-6.0000000000000002E-6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-6.0000000000000002E-6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-6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str">
        <f>IFERROR(VLOOKUP(T14,Aux!A:C,3,0),"")</f>
        <v/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3</v>
      </c>
      <c r="AB14" s="95">
        <f>VLOOKUP($T14,$AH$10:$AO$16,8,0)</f>
        <v>4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4</v>
      </c>
      <c r="AP14" s="141">
        <f>AN14-AO14</f>
        <v>-1</v>
      </c>
      <c r="AQ14" s="138">
        <v>0</v>
      </c>
      <c r="AR14" s="141">
        <f>+AW14+AV14+AU14</f>
        <v>4.1001100099999999</v>
      </c>
      <c r="AS14" s="29"/>
      <c r="AT14" s="29"/>
      <c r="AU14" s="141">
        <f>+AJ14</f>
        <v>4</v>
      </c>
      <c r="AV14" s="141">
        <f>SUMIFS($BA14:$BD14,$BA$6:$BD$6,AJ14)/1000</f>
        <v>0.10001</v>
      </c>
      <c r="AW14" s="141">
        <f>SUMIFS($BA14:$BD14,$BA$5:$BD$5,AV14)/1000000</f>
        <v>1.0001E-4</v>
      </c>
      <c r="AX14" s="29">
        <f>_xlfn.RANK.EQ(AJ14,$AJ$10:$AJ$16)+_xlfn.RANK.EQ(AR14,$AR$10:$AR$16)/10+_xlfn.RANK.EQ(AP14,$AP$10:$AP$16)/1000+_xlfn.RANK.EQ(AN14,$AN$10:$AN$16)/100000+_xlfn.RANK.EQ(AQ14,$AQ$10:$AQ$16)/100000+ROW()/1000000</f>
        <v>2.2030540000000007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3</v>
      </c>
      <c r="K16" s="145" t="s">
        <v>40</v>
      </c>
      <c r="L16" s="203">
        <v>1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10</v>
      </c>
      <c r="AC16" s="95">
        <f>AA16-AB16</f>
        <v>-10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3</v>
      </c>
      <c r="AP16" s="141">
        <f>AN16-AO16</f>
        <v>2</v>
      </c>
      <c r="AQ16" s="138">
        <v>0</v>
      </c>
      <c r="AR16" s="141">
        <f>+AW16+AV16+AU16</f>
        <v>4.1001100099999999</v>
      </c>
      <c r="AS16" s="29"/>
      <c r="AT16" s="29"/>
      <c r="AU16" s="141">
        <f>+AJ16</f>
        <v>4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0</v>
      </c>
      <c r="K18" s="145" t="s">
        <v>40</v>
      </c>
      <c r="L18" s="203">
        <v>1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topLeftCell="A2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>VLOOKUP(BB8,$AH$10:$AW$16,15,0)</f>
        <v>0.10001</v>
      </c>
      <c r="BC5" s="138">
        <f>VLOOKUP(BC8,$AH$10:$AW$16,15,0)</f>
        <v>0</v>
      </c>
      <c r="BD5" s="138">
        <f>VLOOKUP(BD8,$AH$10:$AW$16,15,0)</f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>VLOOKUP(BB8,$AH$10:$AW$16,14,0)</f>
        <v>1</v>
      </c>
      <c r="BC6" s="138">
        <f>VLOOKUP(BC8,$AH$10:$AW$16,14,0)</f>
        <v>9</v>
      </c>
      <c r="BD6" s="138">
        <f>VLOOKUP(BD8,$AH$10:$AW$16,14,0)</f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2</v>
      </c>
      <c r="K10" s="145" t="s">
        <v>40</v>
      </c>
      <c r="L10" s="203">
        <v>0</v>
      </c>
      <c r="M10" s="16"/>
      <c r="N10" s="154" t="e" vm="27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Chelsea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2</v>
      </c>
      <c r="AC10" s="95">
        <f>AA10-AB10</f>
        <v>7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6</v>
      </c>
      <c r="AO10" s="29" cm="1">
        <f t="array" ref="AO10">SUM(($G$10:$G$23=$AH10)*($L$10:$L$23)+($O$10:$O$23=$AH10)*($J$10:$J$23))</f>
        <v>4</v>
      </c>
      <c r="AP10" s="141">
        <f>AN10-AO10</f>
        <v>2</v>
      </c>
      <c r="AQ10" s="138">
        <v>0</v>
      </c>
      <c r="AR10" s="141">
        <f>+AW10+AV10+AU10</f>
        <v>5.9999980099999997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-1.99E-6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303.02999999999997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8">
        <f>IFERROR(VLOOKUP(G12,Aux!$A:$X,8,0),"")</f>
        <v>#VALUE!</v>
      </c>
      <c r="G12" s="157" t="str">
        <f>VLOOKUP(B12,Aux!M:Y,5,0)</f>
        <v>Flamengo</v>
      </c>
      <c r="H12" s="154" t="e" vm="28">
        <f>IFERROR(VLOOKUP(G12,Aux!$A:$C,3,0),"")</f>
        <v>#VALUE!</v>
      </c>
      <c r="I12" s="154"/>
      <c r="J12" s="203">
        <v>3</v>
      </c>
      <c r="K12" s="145" t="s">
        <v>40</v>
      </c>
      <c r="L12" s="203">
        <v>0</v>
      </c>
      <c r="M12" s="16"/>
      <c r="N12" s="154" t="e" vm="29">
        <f>IFERROR(VLOOKUP(O12,Aux!$A:$C,3,0),"")</f>
        <v>#VALUE!</v>
      </c>
      <c r="O12" s="155" t="str">
        <f>VLOOKUP(B12,Aux!M:Y,6,0)</f>
        <v>Espérance de Tunis</v>
      </c>
      <c r="P12" s="102" t="e" vm="30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Flamengo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6</v>
      </c>
      <c r="AB12" s="95">
        <f>VLOOKUP($T12,$AH$10:$AO$16,8,0)</f>
        <v>4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8</v>
      </c>
      <c r="AP12" s="141">
        <f>AN12-AO12</f>
        <v>-6</v>
      </c>
      <c r="AQ12" s="138">
        <v>0</v>
      </c>
      <c r="AR12" s="141">
        <f>+AW12+AV12+AU12</f>
        <v>1.1001100100000001</v>
      </c>
      <c r="AS12" s="29"/>
      <c r="AT12" s="29"/>
      <c r="AU12" s="141">
        <f>+AJ12</f>
        <v>1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3.304052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-2.99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100.01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8">
        <f>IFERROR(VLOOKUP(G14,Aux!$A:$X,8,0),"")</f>
        <v>#VALUE!</v>
      </c>
      <c r="G14" s="157" t="str">
        <f>VLOOKUP(B14,Aux!M:Y,5,0)</f>
        <v>Flamengo</v>
      </c>
      <c r="H14" s="154" t="e" vm="28">
        <f>IFERROR(VLOOKUP(G14,Aux!$A:$C,3,0),"")</f>
        <v>#VALUE!</v>
      </c>
      <c r="I14" s="154"/>
      <c r="J14" s="203">
        <v>1</v>
      </c>
      <c r="K14" s="145" t="s">
        <v>40</v>
      </c>
      <c r="L14" s="203">
        <v>3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Los Angeles</v>
      </c>
      <c r="U14" s="91" t="str">
        <f>IFERROR(VLOOKUP(T14,Aux!A:C,3,0),"")</f>
        <v/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9</v>
      </c>
      <c r="AO14" s="29" cm="1">
        <f t="array" ref="AO14">SUM(($G$10:$G$23=$AH14)*($L$10:$L$23)+($O$10:$O$23=$AH14)*($J$10:$J$23))</f>
        <v>2</v>
      </c>
      <c r="AP14" s="141">
        <f>AN14-AO14</f>
        <v>7</v>
      </c>
      <c r="AQ14" s="138">
        <v>0</v>
      </c>
      <c r="AR14" s="141">
        <f>+AW14+AV14+AU14</f>
        <v>9.0003020300000003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3.0202999999999995E-4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303.04000000000002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302.02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7">
        <f>IFERROR(VLOOKUP(G16,Aux!$A:$C,3,0),"")</f>
        <v>#VALUE!</v>
      </c>
      <c r="I16" s="154"/>
      <c r="J16" s="203">
        <v>1</v>
      </c>
      <c r="K16" s="145" t="s">
        <v>40</v>
      </c>
      <c r="L16" s="203">
        <v>1</v>
      </c>
      <c r="M16" s="16"/>
      <c r="N16" s="154" t="e" vm="29">
        <f>IFERROR(VLOOKUP(O16,Aux!$A:$C,3,0),"")</f>
        <v>#VALUE!</v>
      </c>
      <c r="O16" s="155" t="str">
        <f>VLOOKUP(B16,Aux!M:Y,6,0)</f>
        <v>Espérance de Tunis</v>
      </c>
      <c r="P16" s="102" t="e" vm="30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Espérance de Tunis</v>
      </c>
      <c r="U16" s="91" t="str">
        <f>IFERROR(VLOOKUP(T16,Aux!A:C,3,0),"")</f>
        <v/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8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5</v>
      </c>
      <c r="AP16" s="141">
        <f>AN16-AO16</f>
        <v>-3</v>
      </c>
      <c r="AQ16" s="138">
        <v>0</v>
      </c>
      <c r="AR16" s="141">
        <f>+AW16+AV16+AU16</f>
        <v>1.1001100100000001</v>
      </c>
      <c r="AS16" s="29"/>
      <c r="AT16" s="29"/>
      <c r="AU16" s="141">
        <f>+AJ16</f>
        <v>1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7">
        <f>IFERROR(VLOOKUP(G18,Aux!$A:$C,3,0),"")</f>
        <v>#VALUE!</v>
      </c>
      <c r="I18" s="154"/>
      <c r="J18" s="203">
        <v>1</v>
      </c>
      <c r="K18" s="145" t="s">
        <v>40</v>
      </c>
      <c r="L18" s="203">
        <v>2</v>
      </c>
      <c r="M18" s="16"/>
      <c r="N18" s="154" t="e" vm="28">
        <f>IFERROR(VLOOKUP(O18,Aux!$A:$C,3,0),"")</f>
        <v>#VALUE!</v>
      </c>
      <c r="O18" s="155" t="str">
        <f>VLOOKUP(B18,Aux!M:Y,6,0)</f>
        <v>Flamengo</v>
      </c>
      <c r="P18" s="102" t="e" vm="8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30">
        <f>IFERROR(VLOOKUP(G20,Aux!$A:$X,8,0),"")</f>
        <v>#VALUE!</v>
      </c>
      <c r="G20" s="157" t="str">
        <f>VLOOKUP(B20,Aux!M:Y,5,0)</f>
        <v>Espérance de Tunis</v>
      </c>
      <c r="H20" s="154" t="e" vm="29">
        <f>IFERROR(VLOOKUP(G20,Aux!$A:$C,3,0),"")</f>
        <v>#VALUE!</v>
      </c>
      <c r="I20" s="154"/>
      <c r="J20" s="203">
        <v>1</v>
      </c>
      <c r="K20" s="145" t="s">
        <v>40</v>
      </c>
      <c r="L20" s="203">
        <v>4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>VLOOKUP(BB8,$AH$10:$AW$16,15,0)</f>
        <v>0</v>
      </c>
      <c r="BC5" s="138">
        <f>VLOOKUP(BC8,$AH$10:$AW$16,15,0)</f>
        <v>0</v>
      </c>
      <c r="BD5" s="138">
        <f>VLOOKUP(BD8,$AH$10:$AW$16,15,0)</f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4</v>
      </c>
      <c r="BB6" s="138">
        <f>VLOOKUP(BB8,$AH$10:$AW$16,14,0)</f>
        <v>2</v>
      </c>
      <c r="BC6" s="138">
        <f>VLOOKUP(BC8,$AH$10:$AW$16,14,0)</f>
        <v>1</v>
      </c>
      <c r="BD6" s="138">
        <f>VLOOKUP(BD8,$AH$10:$AW$16,14,0)</f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1">
        <f>IFERROR(VLOOKUP(G10,Aux!$A:$C,3,0),"")</f>
        <v>#VALUE!</v>
      </c>
      <c r="I10" s="154"/>
      <c r="J10" s="203">
        <v>1</v>
      </c>
      <c r="K10" s="145" t="s">
        <v>40</v>
      </c>
      <c r="L10" s="203">
        <v>1</v>
      </c>
      <c r="M10" s="16"/>
      <c r="N10" s="154" t="e" vm="32">
        <f>IFERROR(VLOOKUP(O10,Aux!$A:$C,3,0),"")</f>
        <v>#VALUE!</v>
      </c>
      <c r="O10" s="155" t="str">
        <f>VLOOKUP(B10,Aux!M:Y,6,0)</f>
        <v>Urawa Red Diamonds</v>
      </c>
      <c r="P10" s="102" t="e" vm="33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1</v>
      </c>
      <c r="AC10" s="95">
        <f>AA10-AB10</f>
        <v>5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4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3</v>
      </c>
      <c r="AO10" s="29" cm="1">
        <f t="array" ref="AO10">SUM(($G$10:$G$23=$AH10)*($L$10:$L$23)+($O$10:$O$23=$AH10)*($J$10:$J$23))</f>
        <v>3</v>
      </c>
      <c r="AP10" s="141">
        <f>AN10-AO10</f>
        <v>0</v>
      </c>
      <c r="AQ10" s="138">
        <v>0</v>
      </c>
      <c r="AR10" s="141">
        <f>+AW10+AV10+AU10</f>
        <v>4.0004000299999998</v>
      </c>
      <c r="AS10" s="29"/>
      <c r="AT10" s="29"/>
      <c r="AU10" s="141">
        <f>+AJ10</f>
        <v>4</v>
      </c>
      <c r="AV10" s="141">
        <f>SUMIFS($BA10:$BD10,$BA$6:$BD$6,AJ10)/1000</f>
        <v>0</v>
      </c>
      <c r="AW10" s="141">
        <f>SUMIFS($BA10:$BD10,$BA$5:$BD$5,AV10)/1000000</f>
        <v>4.0002999999999995E-4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>
        <v>0</v>
      </c>
      <c r="K12" s="145" t="s">
        <v>40</v>
      </c>
      <c r="L12" s="203">
        <v>2</v>
      </c>
      <c r="M12" s="16"/>
      <c r="N12" s="154" t="e" vm="35">
        <f>IFERROR(VLOOKUP(O12,Aux!$A:$C,3,0),"")</f>
        <v>#VALUE!</v>
      </c>
      <c r="O12" s="155" t="str">
        <f>VLOOKUP(B12,Aux!M:Y,6,0)</f>
        <v>Inter de Milán</v>
      </c>
      <c r="P12" s="102" t="e" vm="36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str">
        <f>IFERROR(VLOOKUP(T12,Aux!A:C,3,0),"")</f>
        <v/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3</v>
      </c>
      <c r="AB12" s="95">
        <f>VLOOKUP($T12,$AH$10:$AO$16,8,0)</f>
        <v>3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2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2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3</v>
      </c>
      <c r="AO12" s="29" cm="1">
        <f t="array" ref="AO12">SUM(($G$10:$G$23=$AH12)*($L$10:$L$23)+($O$10:$O$23=$AH12)*($J$10:$J$23))</f>
        <v>5</v>
      </c>
      <c r="AP12" s="141">
        <f>AN12-AO12</f>
        <v>-2</v>
      </c>
      <c r="AQ12" s="138">
        <v>0</v>
      </c>
      <c r="AR12" s="141">
        <f>+AW12+AV12+AU12</f>
        <v>2.00019803</v>
      </c>
      <c r="AS12" s="29"/>
      <c r="AT12" s="29"/>
      <c r="AU12" s="141">
        <f>+AJ12</f>
        <v>2</v>
      </c>
      <c r="AV12" s="141">
        <f>SUMIFS($BA12:$BD12,$BA$6:$BD$6,AJ12)/1000</f>
        <v>0</v>
      </c>
      <c r="AW12" s="141">
        <f>SUMIFS($BA12:$BD12,$BA$5:$BD$5,AV12)/1000000</f>
        <v>1.9803E-4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3.303042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6">
        <f>IFERROR(VLOOKUP(G14,Aux!$A:$X,8,0),"")</f>
        <v>#VALUE!</v>
      </c>
      <c r="G14" s="157" t="str">
        <f>VLOOKUP(B14,Aux!M:Y,5,0)</f>
        <v>Inter de Milán</v>
      </c>
      <c r="H14" s="154" t="e" vm="35">
        <f>IFERROR(VLOOKUP(G14,Aux!$A:$C,3,0),"")</f>
        <v>#VALUE!</v>
      </c>
      <c r="I14" s="154"/>
      <c r="J14" s="203">
        <v>2</v>
      </c>
      <c r="K14" s="145" t="s">
        <v>40</v>
      </c>
      <c r="L14" s="203">
        <v>0</v>
      </c>
      <c r="M14" s="16"/>
      <c r="N14" s="154" t="e" vm="32">
        <f>IFERROR(VLOOKUP(O14,Aux!$A:$C,3,0),"")</f>
        <v>#VALUE!</v>
      </c>
      <c r="O14" s="155" t="str">
        <f>VLOOKUP(B14,Aux!M:Y,6,0)</f>
        <v>Urawa Red Diamonds</v>
      </c>
      <c r="P14" s="102" t="e" vm="33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Urawa Red Diamonds</v>
      </c>
      <c r="U14" s="91" t="str">
        <f>IFERROR(VLOOKUP(T14,Aux!A:C,3,0),"")</f>
        <v/>
      </c>
      <c r="V14" s="92"/>
      <c r="W14" s="93">
        <f>VLOOKUP($T14,$AH$10:$AO$16,3,0)</f>
        <v>2</v>
      </c>
      <c r="X14" s="94">
        <f>VLOOKUP($T14,$AH$10:$AO$16,4,0)</f>
        <v>0</v>
      </c>
      <c r="Y14" s="94">
        <f>VLOOKUP($T14,$AH$10:$AO$16,5,0)</f>
        <v>2</v>
      </c>
      <c r="Z14" s="94">
        <f>VLOOKUP($T14,$AH$10:$AO$16,6,0)</f>
        <v>1</v>
      </c>
      <c r="AA14" s="95">
        <f>VLOOKUP($T14,$AH$10:$AO$16,7,0)</f>
        <v>3</v>
      </c>
      <c r="AB14" s="95">
        <f>VLOOKUP($T14,$AH$10:$AO$16,8,0)</f>
        <v>5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5</v>
      </c>
      <c r="AP14" s="141">
        <f>AN14-AO14</f>
        <v>-3</v>
      </c>
      <c r="AQ14" s="138">
        <v>0</v>
      </c>
      <c r="AR14" s="141">
        <f>+AW14+AV14+AU14</f>
        <v>1.0000970199999999</v>
      </c>
      <c r="AS14" s="29"/>
      <c r="AT14" s="29"/>
      <c r="AU14" s="141">
        <f>+AJ14</f>
        <v>1</v>
      </c>
      <c r="AV14" s="141">
        <f>SUMIFS($BA14:$BD14,$BA$6:$BD$6,AJ14)/1000</f>
        <v>0</v>
      </c>
      <c r="AW14" s="141">
        <f>SUMIFS($BA14:$BD14,$BA$5:$BD$5,AV14)/1000000</f>
        <v>9.7019999999999989E-5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1">
        <f>IFERROR(VLOOKUP(G16,Aux!$A:$C,3,0),"")</f>
        <v>#VALUE!</v>
      </c>
      <c r="I16" s="154"/>
      <c r="J16" s="203">
        <v>1</v>
      </c>
      <c r="K16" s="145" t="s">
        <v>40</v>
      </c>
      <c r="L16" s="203">
        <v>0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Monterrey</v>
      </c>
      <c r="U16" s="91" t="str">
        <f>IFERROR(VLOOKUP(T16,Aux!A:C,3,0),"")</f>
        <v/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5</v>
      </c>
      <c r="AC16" s="95">
        <f>AA16-AB16</f>
        <v>-3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1</v>
      </c>
      <c r="AP16" s="141">
        <f>AN16-AO16</f>
        <v>5</v>
      </c>
      <c r="AQ16" s="138">
        <v>0</v>
      </c>
      <c r="AR16" s="141">
        <f>+AW16+AV16+AU16</f>
        <v>9.0009050599999991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9.0505999999999996E-4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6">
        <f>IFERROR(VLOOKUP(G18,Aux!$A:$X,8,0),"")</f>
        <v>#VALUE!</v>
      </c>
      <c r="G18" s="157" t="str">
        <f>VLOOKUP(B18,Aux!M:Y,5,0)</f>
        <v>Inter de Milán</v>
      </c>
      <c r="H18" s="154" t="e" vm="35">
        <f>IFERROR(VLOOKUP(G18,Aux!$A:$C,3,0),"")</f>
        <v>#VALUE!</v>
      </c>
      <c r="I18" s="154"/>
      <c r="J18" s="203">
        <v>2</v>
      </c>
      <c r="K18" s="145" t="s">
        <v>40</v>
      </c>
      <c r="L18" s="203">
        <v>1</v>
      </c>
      <c r="M18" s="16"/>
      <c r="N18" s="154" t="e" vm="31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3">
        <f>IFERROR(VLOOKUP(G20,Aux!$A:$X,8,0),"")</f>
        <v>#VALUE!</v>
      </c>
      <c r="G20" s="157" t="str">
        <f>VLOOKUP(B20,Aux!M:Y,5,0)</f>
        <v>Urawa Red Diamonds</v>
      </c>
      <c r="H20" s="154" t="e" vm="32">
        <f>IFERROR(VLOOKUP(G20,Aux!$A:$C,3,0),"")</f>
        <v>#VALUE!</v>
      </c>
      <c r="I20" s="154"/>
      <c r="J20" s="203">
        <v>2</v>
      </c>
      <c r="K20" s="145" t="s">
        <v>40</v>
      </c>
      <c r="L20" s="203">
        <v>2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topLeftCell="A2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>VLOOKUP(BB8,$AH$10:$AW$16,15,0)</f>
        <v>0</v>
      </c>
      <c r="BC5" s="138">
        <f>VLOOKUP(BC8,$AH$10:$AW$16,15,0)</f>
        <v>0</v>
      </c>
      <c r="BD5" s="138">
        <f>VLOOKUP(BD8,$AH$10:$AW$16,15,0)</f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>VLOOKUP(BB8,$AH$10:$AW$16,14,0)</f>
        <v>9</v>
      </c>
      <c r="BC6" s="138">
        <f>VLOOKUP(BC8,$AH$10:$AW$16,14,0)</f>
        <v>0</v>
      </c>
      <c r="BD6" s="138">
        <f>VLOOKUP(BD8,$AH$10:$AW$16,14,0)</f>
        <v>3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8">
        <f>IFERROR(VLOOKUP(G10,Aux!$A:$X,8,0),"")</f>
        <v>#VALUE!</v>
      </c>
      <c r="G10" s="157" t="str">
        <f>VLOOKUP(B10,Aux!M:Y,5,0)</f>
        <v>Fluminense</v>
      </c>
      <c r="H10" s="154" t="e" vm="37">
        <f>IFERROR(VLOOKUP(G10,Aux!$A:$C,3,0),"")</f>
        <v>#VALUE!</v>
      </c>
      <c r="I10" s="154"/>
      <c r="J10" s="203">
        <v>1</v>
      </c>
      <c r="K10" s="145" t="s">
        <v>40</v>
      </c>
      <c r="L10" s="203">
        <v>3</v>
      </c>
      <c r="M10" s="16"/>
      <c r="N10" s="154" t="e" vm="38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8</v>
      </c>
      <c r="AB10" s="95">
        <f>VLOOKUP($T10,$AH$10:$AO$16,8,0)</f>
        <v>2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7</v>
      </c>
      <c r="AO10" s="29" cm="1">
        <f t="array" ref="AO10">SUM(($G$10:$G$23=$AH10)*($L$10:$L$23)+($O$10:$O$23=$AH10)*($J$10:$J$23))</f>
        <v>6</v>
      </c>
      <c r="AP10" s="141">
        <f>AN10-AO10</f>
        <v>1</v>
      </c>
      <c r="AQ10" s="138">
        <v>0</v>
      </c>
      <c r="AR10" s="141">
        <f>+AW10+AV10+AU10</f>
        <v>6.0006010700000001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6.0106999999999999E-4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-1.99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302.04000000000002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9">
        <f>IFERROR(VLOOKUP(G12,Aux!$A:$X,8,0),"")</f>
        <v>#VALUE!</v>
      </c>
      <c r="G12" s="157" t="str">
        <f>VLOOKUP(B12,Aux!M:Y,5,0)</f>
        <v>Ulsan HD</v>
      </c>
      <c r="H12" s="154" t="e" vm="40">
        <f>IFERROR(VLOOKUP(G12,Aux!$A:$C,3,0),"")</f>
        <v>#VALUE!</v>
      </c>
      <c r="I12" s="154"/>
      <c r="J12" s="203">
        <v>2</v>
      </c>
      <c r="K12" s="145" t="s">
        <v>40</v>
      </c>
      <c r="L12" s="203">
        <v>3</v>
      </c>
      <c r="M12" s="16"/>
      <c r="N12" s="154" t="e" vm="41">
        <f>IFERROR(VLOOKUP(O12,Aux!$A:$C,3,0),"")</f>
        <v>#VALUE!</v>
      </c>
      <c r="O12" s="155" t="str">
        <f>VLOOKUP(B12,Aux!M:Y,6,0)</f>
        <v>Mamelodi Sundowns</v>
      </c>
      <c r="P12" s="102" t="e" vm="42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7</v>
      </c>
      <c r="AB12" s="95">
        <f>VLOOKUP($T12,$AH$10:$AO$16,8,0)</f>
        <v>6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8</v>
      </c>
      <c r="AO12" s="29" cm="1">
        <f t="array" ref="AO12">SUM(($G$10:$G$23=$AH12)*($L$10:$L$23)+($O$10:$O$23=$AH12)*($J$10:$J$23))</f>
        <v>2</v>
      </c>
      <c r="AP12" s="141">
        <f>AN12-AO12</f>
        <v>6</v>
      </c>
      <c r="AQ12" s="138">
        <v>0</v>
      </c>
      <c r="AR12" s="141">
        <f>+AW12+AV12+AU12</f>
        <v>9.00090608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9.0607999999999997E-4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302.02999999999997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2">
        <f>IFERROR(VLOOKUP(G14,Aux!$A:$X,8,0),"")</f>
        <v>#VALUE!</v>
      </c>
      <c r="G14" s="157" t="str">
        <f>VLOOKUP(B14,Aux!M:Y,5,0)</f>
        <v>Mamelodi Sundowns</v>
      </c>
      <c r="H14" s="154" t="e" vm="41">
        <f>IFERROR(VLOOKUP(G14,Aux!$A:$C,3,0),"")</f>
        <v>#VALUE!</v>
      </c>
      <c r="I14" s="154"/>
      <c r="J14" s="203">
        <v>1</v>
      </c>
      <c r="K14" s="145" t="s">
        <v>40</v>
      </c>
      <c r="L14" s="203">
        <v>3</v>
      </c>
      <c r="M14" s="16"/>
      <c r="N14" s="154" t="e" vm="38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Mamelodi Sundowns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6</v>
      </c>
      <c r="AB14" s="95">
        <f>VLOOKUP($T14,$AH$10:$AO$16,8,0)</f>
        <v>9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3</v>
      </c>
      <c r="AN14" s="29" cm="1">
        <f t="array" ref="AN14">SUM(($G$10:$G$23=$AH14)*($J$10:$J$23)+($O$10:$O$23=$AH14)*($L$10:$L$23))</f>
        <v>3</v>
      </c>
      <c r="AO14" s="29" cm="1">
        <f t="array" ref="AO14">SUM(($G$10:$G$23=$AH14)*($L$10:$L$23)+($O$10:$O$23=$AH14)*($J$10:$J$23))</f>
        <v>7</v>
      </c>
      <c r="AP14" s="141">
        <f>AN14-AO14</f>
        <v>-4</v>
      </c>
      <c r="AQ14" s="138">
        <v>0</v>
      </c>
      <c r="AR14" s="141">
        <f>+AW14+AV14+AU14</f>
        <v>-3.9700000000000001E-6</v>
      </c>
      <c r="AS14" s="29"/>
      <c r="AT14" s="29"/>
      <c r="AU14" s="141">
        <f>+AJ14</f>
        <v>0</v>
      </c>
      <c r="AV14" s="141">
        <f>SUMIFS($BA14:$BD14,$BA$6:$BD$6,AJ14)/1000</f>
        <v>0</v>
      </c>
      <c r="AW14" s="141">
        <f>SUMIFS($BA14:$BD14,$BA$5:$BD$5,AV14)/1000000</f>
        <v>-3.9700000000000001E-6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-0.98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8">
        <f>IFERROR(VLOOKUP(G16,Aux!$A:$X,8,0),"")</f>
        <v>#VALUE!</v>
      </c>
      <c r="G16" s="157" t="str">
        <f>VLOOKUP(B16,Aux!M:Y,5,0)</f>
        <v>Fluminense</v>
      </c>
      <c r="H16" s="154" t="e" vm="37">
        <f>IFERROR(VLOOKUP(G16,Aux!$A:$C,3,0),"")</f>
        <v>#VALUE!</v>
      </c>
      <c r="I16" s="154"/>
      <c r="J16" s="203">
        <v>2</v>
      </c>
      <c r="K16" s="145" t="s">
        <v>40</v>
      </c>
      <c r="L16" s="203">
        <v>1</v>
      </c>
      <c r="M16" s="16"/>
      <c r="N16" s="154" t="e" vm="40">
        <f>IFERROR(VLOOKUP(O16,Aux!$A:$C,3,0),"")</f>
        <v>#VALUE!</v>
      </c>
      <c r="O16" s="155" t="str">
        <f>VLOOKUP(B16,Aux!M:Y,6,0)</f>
        <v>Ulsan HD</v>
      </c>
      <c r="P16" s="102" t="e" vm="39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Ulsan HD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3</v>
      </c>
      <c r="AB16" s="95">
        <f>VLOOKUP($T16,$AH$10:$AO$16,8,0)</f>
        <v>7</v>
      </c>
      <c r="AC16" s="95">
        <f>AA16-AB16</f>
        <v>-4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3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9</v>
      </c>
      <c r="AP16" s="141">
        <f>AN16-AO16</f>
        <v>-3</v>
      </c>
      <c r="AQ16" s="138">
        <v>0</v>
      </c>
      <c r="AR16" s="141">
        <f>+AW16+AV16+AU16</f>
        <v>3.0002970599999998</v>
      </c>
      <c r="AS16" s="29"/>
      <c r="AT16" s="29"/>
      <c r="AU16" s="141">
        <f>+AJ16</f>
        <v>3</v>
      </c>
      <c r="AV16" s="141">
        <f>SUMIFS($BA16:$BD16,$BA$6:$BD$6,AJ16)/1000</f>
        <v>0</v>
      </c>
      <c r="AW16" s="141">
        <f>SUMIFS($BA16:$BD16,$BA$5:$BD$5,AV16)/1000000</f>
        <v>2.9705999999999992E-4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-1.99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8">
        <f>IFERROR(VLOOKUP(G18,Aux!$A:$C,3,0),"")</f>
        <v>#VALUE!</v>
      </c>
      <c r="I18" s="154"/>
      <c r="J18" s="203">
        <v>2</v>
      </c>
      <c r="K18" s="145" t="s">
        <v>40</v>
      </c>
      <c r="L18" s="203">
        <v>0</v>
      </c>
      <c r="M18" s="16"/>
      <c r="N18" s="154" t="e" vm="40">
        <f>IFERROR(VLOOKUP(O18,Aux!$A:$C,3,0),"")</f>
        <v>#VALUE!</v>
      </c>
      <c r="O18" s="155" t="str">
        <f>VLOOKUP(B18,Aux!M:Y,6,0)</f>
        <v>Ulsan HD</v>
      </c>
      <c r="P18" s="102" t="e" vm="39">
        <f>IFERROR(VLOOKUP(O18,Aux!$A:$X,8,0),"")</f>
        <v>#VALUE!</v>
      </c>
      <c r="Q18" s="16"/>
      <c r="R18" s="24" t="str">
        <f>VLOOKUP(B18,Aux!M:Y,7,0)</f>
        <v>TQL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2">
        <f>IFERROR(VLOOKUP(G20,Aux!$A:$X,8,0),"")</f>
        <v>#VALUE!</v>
      </c>
      <c r="G20" s="157" t="str">
        <f>VLOOKUP(B20,Aux!M:Y,5,0)</f>
        <v>Mamelodi Sundowns</v>
      </c>
      <c r="H20" s="154" t="e" vm="41">
        <f>IFERROR(VLOOKUP(G20,Aux!$A:$C,3,0),"")</f>
        <v>#VALUE!</v>
      </c>
      <c r="I20" s="154"/>
      <c r="J20" s="203">
        <v>2</v>
      </c>
      <c r="K20" s="145" t="s">
        <v>40</v>
      </c>
      <c r="L20" s="203">
        <v>4</v>
      </c>
      <c r="M20" s="16"/>
      <c r="N20" s="154" t="e" vm="37">
        <f>IFERROR(VLOOKUP(O20,Aux!$A:$C,3,0),"")</f>
        <v>#VALUE!</v>
      </c>
      <c r="O20" s="155" t="str">
        <f>VLOOKUP(B20,Aux!M:Y,6,0)</f>
        <v>Fluminense</v>
      </c>
      <c r="P20" s="102" t="e" vm="8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topLeftCell="A2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>VLOOKUP(BB8,$AH$10:$AW$16,15,0)</f>
        <v>0</v>
      </c>
      <c r="BC5" s="138">
        <f>VLOOKUP(BC8,$AH$10:$AW$16,15,0)</f>
        <v>0</v>
      </c>
      <c r="BD5" s="138">
        <f>VLOOKUP(BD8,$AH$10:$AW$16,15,0)</f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>VLOOKUP(BB8,$AH$10:$AW$16,14,0)</f>
        <v>0</v>
      </c>
      <c r="BC6" s="138">
        <f>VLOOKUP(BC8,$AH$10:$AW$16,14,0)</f>
        <v>4</v>
      </c>
      <c r="BD6" s="138">
        <f>VLOOKUP(BD8,$AH$10:$AW$16,14,0)</f>
        <v>7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3">
        <f>IFERROR(VLOOKUP(G10,Aux!$A:$C,3,0),"")</f>
        <v>#VALUE!</v>
      </c>
      <c r="I10" s="154"/>
      <c r="J10" s="203">
        <v>5</v>
      </c>
      <c r="K10" s="145" t="s">
        <v>40</v>
      </c>
      <c r="L10" s="203">
        <v>1</v>
      </c>
      <c r="M10" s="16"/>
      <c r="N10" s="154" t="e" vm="44">
        <f>IFERROR(VLOOKUP(O10,Aux!$A:$C,3,0),"")</f>
        <v>#VALUE!</v>
      </c>
      <c r="O10" s="155" t="str">
        <f>VLOOKUP(B10,Aux!M:Y,6,0)</f>
        <v>Wydad Casablanca</v>
      </c>
      <c r="P10" s="102" t="e" vm="45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Juventus</v>
      </c>
      <c r="U10" s="91" t="str">
        <f>IFERROR(VLOOKUP(T10,Aux!A:C,3,0),"")</f>
        <v/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6</v>
      </c>
      <c r="AB10" s="95">
        <f>VLOOKUP($T10,$AH$10:$AO$16,8,0)</f>
        <v>3</v>
      </c>
      <c r="AC10" s="95">
        <f>AA10-AB10</f>
        <v>3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3</v>
      </c>
      <c r="AP10" s="141">
        <f>AN10-AO10</f>
        <v>6</v>
      </c>
      <c r="AQ10" s="138">
        <v>0</v>
      </c>
      <c r="AR10" s="141">
        <f>+AW10+AV10+AU10</f>
        <v>6.0006060899999998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6.0608999999999988E-4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2.2010300000000003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304.05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-0.99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6">
        <f>IFERROR(VLOOKUP(G12,Aux!$A:$X,8,0),"")</f>
        <v>#VALUE!</v>
      </c>
      <c r="G12" s="157" t="str">
        <f>VLOOKUP(B12,Aux!M:Y,5,0)</f>
        <v>Al-Ain</v>
      </c>
      <c r="H12" s="154" t="e" vm="47">
        <f>IFERROR(VLOOKUP(G12,Aux!$A:$C,3,0),"")</f>
        <v>#VALUE!</v>
      </c>
      <c r="I12" s="154"/>
      <c r="J12" s="203">
        <v>1</v>
      </c>
      <c r="K12" s="145" t="s">
        <v>40</v>
      </c>
      <c r="L12" s="203">
        <v>1</v>
      </c>
      <c r="M12" s="16"/>
      <c r="N12" s="154" t="e" vm="48">
        <f>IFERROR(VLOOKUP(O12,Aux!$A:$C,3,0),"")</f>
        <v>#VALUE!</v>
      </c>
      <c r="O12" s="155" t="str">
        <f>VLOOKUP(B12,Aux!M:Y,6,0)</f>
        <v>Juventus</v>
      </c>
      <c r="P12" s="102" t="e" vm="36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Manchester City</v>
      </c>
      <c r="U12" s="91" t="str">
        <f>IFERROR(VLOOKUP(T12,Aux!A:C,3,0),"")</f>
        <v/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9</v>
      </c>
      <c r="AB12" s="95">
        <f>VLOOKUP($T12,$AH$10:$AO$16,8,0)</f>
        <v>3</v>
      </c>
      <c r="AC12" s="95">
        <f>AA12-AB12</f>
        <v>6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9</v>
      </c>
      <c r="AP12" s="141">
        <f>AN12-AO12</f>
        <v>-7</v>
      </c>
      <c r="AQ12" s="138">
        <v>0</v>
      </c>
      <c r="AR12" s="141">
        <f>+AW12+AV12+AU12</f>
        <v>-6.9800000000000001E-6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-6.9800000000000001E-6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4.4040519999999992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-3.99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6">
        <f>IFERROR(VLOOKUP(G14,Aux!$A:$X,8,0),"")</f>
        <v>#VALUE!</v>
      </c>
      <c r="G14" s="157" t="str">
        <f>VLOOKUP(B14,Aux!M:Y,5,0)</f>
        <v>Juventus</v>
      </c>
      <c r="H14" s="154" t="e" vm="48">
        <f>IFERROR(VLOOKUP(G14,Aux!$A:$C,3,0),"")</f>
        <v>#VALUE!</v>
      </c>
      <c r="I14" s="154"/>
      <c r="J14" s="203">
        <v>3</v>
      </c>
      <c r="K14" s="145" t="s">
        <v>40</v>
      </c>
      <c r="L14" s="203">
        <v>1</v>
      </c>
      <c r="M14" s="16"/>
      <c r="N14" s="154" t="e" vm="44">
        <f>IFERROR(VLOOKUP(O14,Aux!$A:$C,3,0),"")</f>
        <v>#VALUE!</v>
      </c>
      <c r="O14" s="155" t="str">
        <f>VLOOKUP(B14,Aux!M:Y,6,0)</f>
        <v>Wydad Casablanca</v>
      </c>
      <c r="P14" s="102" t="e" vm="4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str">
        <f>IFERROR(VLOOKUP(T14,Aux!A:C,3,0),"")</f>
        <v/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2</v>
      </c>
      <c r="AB14" s="95">
        <f>VLOOKUP($T14,$AH$10:$AO$16,8,0)</f>
        <v>4</v>
      </c>
      <c r="AC14" s="95">
        <f>AA14-AB14</f>
        <v>-2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4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1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4</v>
      </c>
      <c r="AP14" s="141">
        <f>AN14-AO14</f>
        <v>-2</v>
      </c>
      <c r="AQ14" s="138">
        <v>0</v>
      </c>
      <c r="AR14" s="141">
        <f>+AW14+AV14+AU14</f>
        <v>4.0003980200000004</v>
      </c>
      <c r="AS14" s="29"/>
      <c r="AT14" s="29"/>
      <c r="AU14" s="141">
        <f>+AJ14</f>
        <v>4</v>
      </c>
      <c r="AV14" s="141">
        <f>SUMIFS($BA14:$BD14,$BA$6:$BD$6,AJ14)/1000</f>
        <v>0</v>
      </c>
      <c r="AW14" s="141">
        <f>SUMIFS($BA14:$BD14,$BA$5:$BD$5,AV14)/1000000</f>
        <v>3.9801999999999996E-4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301.01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3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47">
        <f>IFERROR(VLOOKUP(O16,Aux!$A:$C,3,0),"")</f>
        <v>#VALUE!</v>
      </c>
      <c r="O16" s="155" t="str">
        <f>VLOOKUP(B16,Aux!M:Y,6,0)</f>
        <v>Al-Ain</v>
      </c>
      <c r="P16" s="102" t="e" vm="46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Wydad Casablanca</v>
      </c>
      <c r="U16" s="91" t="str">
        <f>IFERROR(VLOOKUP(T16,Aux!A:C,3,0),"")</f>
        <v/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2</v>
      </c>
      <c r="AB16" s="95">
        <f>VLOOKUP($T16,$AH$10:$AO$16,8,0)</f>
        <v>9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7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6</v>
      </c>
      <c r="AO16" s="29" cm="1">
        <f t="array" ref="AO16">SUM(($G$10:$G$23=$AH16)*($L$10:$L$23)+($O$10:$O$23=$AH16)*($J$10:$J$23))</f>
        <v>3</v>
      </c>
      <c r="AP16" s="141">
        <f>AN16-AO16</f>
        <v>3</v>
      </c>
      <c r="AQ16" s="138">
        <v>0</v>
      </c>
      <c r="AR16" s="141">
        <f>+AW16+AV16+AU16</f>
        <v>7.0007030600000002</v>
      </c>
      <c r="AS16" s="29"/>
      <c r="AT16" s="29"/>
      <c r="AU16" s="141">
        <f>+AJ16</f>
        <v>7</v>
      </c>
      <c r="AV16" s="141">
        <f>SUMIFS($BA16:$BD16,$BA$6:$BD$6,AJ16)/1000</f>
        <v>0</v>
      </c>
      <c r="AW16" s="141">
        <f>SUMIFS($BA16:$BD16,$BA$5:$BD$5,AV16)/1000000</f>
        <v>7.0305999999999993E-4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1.1020460000000001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301.02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100.01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6">
        <f>IFERROR(VLOOKUP(G18,Aux!$A:$X,8,0),"")</f>
        <v>#VALUE!</v>
      </c>
      <c r="G18" s="157" t="str">
        <f>VLOOKUP(B18,Aux!M:Y,5,0)</f>
        <v>Juventus</v>
      </c>
      <c r="H18" s="154" t="e" vm="48">
        <f>IFERROR(VLOOKUP(G18,Aux!$A:$C,3,0),"")</f>
        <v>#VALUE!</v>
      </c>
      <c r="I18" s="154"/>
      <c r="J18" s="203">
        <v>2</v>
      </c>
      <c r="K18" s="145" t="s">
        <v>40</v>
      </c>
      <c r="L18" s="203">
        <v>1</v>
      </c>
      <c r="M18" s="16"/>
      <c r="N18" s="154" t="e" vm="43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5">
        <f>IFERROR(VLOOKUP(G20,Aux!$A:$X,8,0),"")</f>
        <v>#VALUE!</v>
      </c>
      <c r="G20" s="157" t="str">
        <f>VLOOKUP(B20,Aux!M:Y,5,0)</f>
        <v>Wydad Casablanca</v>
      </c>
      <c r="H20" s="154" t="e" vm="44">
        <f>IFERROR(VLOOKUP(G20,Aux!$A:$C,3,0),"")</f>
        <v>#VALUE!</v>
      </c>
      <c r="I20" s="154"/>
      <c r="J20" s="203">
        <v>0</v>
      </c>
      <c r="K20" s="145" t="s">
        <v>40</v>
      </c>
      <c r="L20" s="203">
        <v>1</v>
      </c>
      <c r="M20" s="16"/>
      <c r="N20" s="154" t="e" vm="47">
        <f>IFERROR(VLOOKUP(O20,Aux!$A:$C,3,0),"")</f>
        <v>#VALUE!</v>
      </c>
      <c r="O20" s="155" t="str">
        <f>VLOOKUP(B20,Aux!M:Y,6,0)</f>
        <v>Al-Ain</v>
      </c>
      <c r="P20" s="102" t="e" vm="46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>VLOOKUP(BB8,$AH$10:$AW$16,15,0)</f>
        <v>0</v>
      </c>
      <c r="BC5" s="138">
        <f>VLOOKUP(BC8,$AH$10:$AW$16,15,0)</f>
        <v>0</v>
      </c>
      <c r="BD5" s="138">
        <f>VLOOKUP(BD8,$AH$10:$AW$16,15,0)</f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>VLOOKUP(BB8,$AH$10:$AW$16,14,0)</f>
        <v>4</v>
      </c>
      <c r="BC6" s="138">
        <f>VLOOKUP(BC8,$AH$10:$AW$16,14,0)</f>
        <v>3</v>
      </c>
      <c r="BD6" s="138">
        <f>VLOOKUP(BD8,$AH$10:$AW$16,14,0)</f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9">
        <f>IFERROR(VLOOKUP(G10,Aux!$A:$C,3,0),"")</f>
        <v>#VALUE!</v>
      </c>
      <c r="I10" s="154"/>
      <c r="J10" s="203">
        <v>3</v>
      </c>
      <c r="K10" s="145" t="s">
        <v>40</v>
      </c>
      <c r="L10" s="203">
        <v>2</v>
      </c>
      <c r="M10" s="16"/>
      <c r="N10" s="154" t="e" vm="50">
        <f>IFERROR(VLOOKUP(O10,Aux!$A:$C,3,0),"")</f>
        <v>#VALUE!</v>
      </c>
      <c r="O10" s="155" t="str">
        <f>VLOOKUP(B10,Aux!M:Y,6,0)</f>
        <v>Al-Hilal</v>
      </c>
      <c r="P10" s="102" t="e" vm="5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str">
        <f>IFERROR(VLOOKUP(T10,Aux!A:C,3,0),"")</f>
        <v/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4</v>
      </c>
      <c r="AC10" s="95">
        <f>AA10-AB10</f>
        <v>5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4</v>
      </c>
      <c r="AP10" s="141">
        <f>AN10-AO10</f>
        <v>5</v>
      </c>
      <c r="AQ10" s="138">
        <v>0</v>
      </c>
      <c r="AR10" s="141">
        <f>+AW10+AV10+AU10</f>
        <v>9.0009050899999998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9.0508999999999989E-4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301.02999999999997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303.04000000000002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2">
        <f>IFERROR(VLOOKUP(G12,Aux!$A:$C,3,0),"")</f>
        <v>#VALUE!</v>
      </c>
      <c r="I12" s="154"/>
      <c r="J12" s="203">
        <v>1</v>
      </c>
      <c r="K12" s="145" t="s">
        <v>40</v>
      </c>
      <c r="L12" s="203">
        <v>0</v>
      </c>
      <c r="M12" s="16"/>
      <c r="N12" s="154" t="e" vm="53">
        <f>IFERROR(VLOOKUP(O12,Aux!$A:$C,3,0),"")</f>
        <v>#VALUE!</v>
      </c>
      <c r="O12" s="155" t="str">
        <f>VLOOKUP(B12,Aux!M:Y,6,0)</f>
        <v>Salzburgo</v>
      </c>
      <c r="P12" s="102" t="e" vm="54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Al-Hilal</v>
      </c>
      <c r="U12" s="91" t="str">
        <f>IFERROR(VLOOKUP(T12,Aux!A:C,3,0),"")</f>
        <v/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4</v>
      </c>
      <c r="AB12" s="95">
        <f>VLOOKUP($T12,$AH$10:$AO$16,8,0)</f>
        <v>4</v>
      </c>
      <c r="AC12" s="95">
        <f>AA12-AB12</f>
        <v>0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4</v>
      </c>
      <c r="AO12" s="29" cm="1">
        <f t="array" ref="AO12">SUM(($G$10:$G$23=$AH12)*($L$10:$L$23)+($O$10:$O$23=$AH12)*($J$10:$J$23))</f>
        <v>4</v>
      </c>
      <c r="AP12" s="141">
        <f>AN12-AO12</f>
        <v>0</v>
      </c>
      <c r="AQ12" s="138">
        <v>0</v>
      </c>
      <c r="AR12" s="141">
        <f>+AW12+AV12+AU12</f>
        <v>4.0004000399999997</v>
      </c>
      <c r="AS12" s="29"/>
      <c r="AT12" s="29"/>
      <c r="AU12" s="141">
        <f>+AJ12</f>
        <v>4</v>
      </c>
      <c r="AV12" s="141">
        <f>SUMIFS($BA12:$BD12,$BA$6:$BD$6,AJ12)/1000</f>
        <v>0</v>
      </c>
      <c r="AW12" s="141">
        <f>SUMIFS($BA12:$BD12,$BA$5:$BD$5,AV12)/1000000</f>
        <v>4.0003999999999994E-4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-0.98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100.01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9">
        <f>IFERROR(VLOOKUP(G14,Aux!$A:$C,3,0),"")</f>
        <v>#VALUE!</v>
      </c>
      <c r="I14" s="154"/>
      <c r="J14" s="203">
        <v>2</v>
      </c>
      <c r="K14" s="145" t="s">
        <v>40</v>
      </c>
      <c r="L14" s="203">
        <v>1</v>
      </c>
      <c r="M14" s="16"/>
      <c r="N14" s="154" t="e" vm="52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Pachuca</v>
      </c>
      <c r="U14" s="91" t="str">
        <f>IFERROR(VLOOKUP(T14,Aux!A:C,3,0),"")</f>
        <v/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3</v>
      </c>
      <c r="AC14" s="95">
        <f>AA14-AB14</f>
        <v>-1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3</v>
      </c>
      <c r="AP14" s="141">
        <f>AN14-AO14</f>
        <v>-1</v>
      </c>
      <c r="AQ14" s="138">
        <v>0</v>
      </c>
      <c r="AR14" s="141">
        <f>+AW14+AV14+AU14</f>
        <v>3.0002990199999999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2.9901999999999999E-4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-0.99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4">
        <f>IFERROR(VLOOKUP(G16,Aux!$A:$X,8,0),"")</f>
        <v>#VALUE!</v>
      </c>
      <c r="G16" s="157" t="str">
        <f>VLOOKUP(B16,Aux!M:Y,5,0)</f>
        <v>Salzburgo</v>
      </c>
      <c r="H16" s="154" t="e" vm="53">
        <f>IFERROR(VLOOKUP(G16,Aux!$A:$C,3,0),"")</f>
        <v>#VALUE!</v>
      </c>
      <c r="I16" s="154"/>
      <c r="J16" s="203">
        <v>1</v>
      </c>
      <c r="K16" s="145" t="s">
        <v>40</v>
      </c>
      <c r="L16" s="203">
        <v>1</v>
      </c>
      <c r="M16" s="16"/>
      <c r="N16" s="154" t="e" vm="50">
        <f>IFERROR(VLOOKUP(O16,Aux!$A:$C,3,0),"")</f>
        <v>#VALUE!</v>
      </c>
      <c r="O16" s="155" t="str">
        <f>VLOOKUP(B16,Aux!M:Y,6,0)</f>
        <v>Al-Hilal</v>
      </c>
      <c r="P16" s="102" t="e" vm="51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Salzburgo</v>
      </c>
      <c r="U16" s="91" t="str">
        <f>IFERROR(VLOOKUP(T16,Aux!A:C,3,0),"")</f>
        <v/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6</v>
      </c>
      <c r="AC16" s="95">
        <f>AA16-AB16</f>
        <v>-4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6</v>
      </c>
      <c r="AP16" s="141">
        <f>AN16-AO16</f>
        <v>-4</v>
      </c>
      <c r="AQ16" s="138">
        <v>0</v>
      </c>
      <c r="AR16" s="141">
        <f>+AW16+AV16+AU16</f>
        <v>1.00009602</v>
      </c>
      <c r="AS16" s="29"/>
      <c r="AT16" s="29"/>
      <c r="AU16" s="141">
        <f>+AJ16</f>
        <v>1</v>
      </c>
      <c r="AV16" s="141">
        <f>SUMIFS($BA16:$BD16,$BA$6:$BD$6,AJ16)/1000</f>
        <v>0</v>
      </c>
      <c r="AW16" s="141">
        <f>SUMIFS($BA16:$BD16,$BA$5:$BD$5,AV16)/1000000</f>
        <v>9.6020000000000006E-5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4.4040559999999989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-2.99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100.01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1">
        <f>IFERROR(VLOOKUP(G18,Aux!$A:$X,8,0),"")</f>
        <v>#VALUE!</v>
      </c>
      <c r="G18" s="157" t="str">
        <f>VLOOKUP(B18,Aux!M:Y,5,0)</f>
        <v>Al-Hilal</v>
      </c>
      <c r="H18" s="154" t="e" vm="50">
        <f>IFERROR(VLOOKUP(G18,Aux!$A:$C,3,0),"")</f>
        <v>#VALUE!</v>
      </c>
      <c r="I18" s="154"/>
      <c r="J18" s="203">
        <v>1</v>
      </c>
      <c r="K18" s="145" t="s">
        <v>40</v>
      </c>
      <c r="L18" s="203">
        <v>0</v>
      </c>
      <c r="M18" s="16"/>
      <c r="N18" s="154" t="e" vm="52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4">
        <f>IFERROR(VLOOKUP(G20,Aux!$A:$X,8,0),"")</f>
        <v>#VALUE!</v>
      </c>
      <c r="G20" s="157" t="str">
        <f>VLOOKUP(B20,Aux!M:Y,5,0)</f>
        <v>Salzburgo</v>
      </c>
      <c r="H20" s="154" t="e" vm="53">
        <f>IFERROR(VLOOKUP(G20,Aux!$A:$C,3,0),"")</f>
        <v>#VALUE!</v>
      </c>
      <c r="I20" s="154"/>
      <c r="J20" s="203">
        <v>1</v>
      </c>
      <c r="K20" s="145" t="s">
        <v>40</v>
      </c>
      <c r="L20" s="203">
        <v>4</v>
      </c>
      <c r="M20" s="16"/>
      <c r="N20" s="154" t="e" vm="49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23" zoomScaleNormal="100" workbookViewId="0">
      <selection activeCell="W18" sqref="W18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300" t="s">
        <v>315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str">
        <f ca="1">IFERROR(VLOOKUP(H10,Aux!$A:$X,8,0),"")</f>
        <v/>
      </c>
      <c r="H10" s="182" t="str" cm="1">
        <f t="array" aca="1" ref="H10" ca="1">INDIRECT(RIGHT(A10,1)&amp;"!T"&amp;8+LEFT(A10,1)*2)</f>
        <v>Porto</v>
      </c>
      <c r="I10" s="183" t="str">
        <f ca="1">IFERROR(VLOOKUP(H10,Aux!$A:$C,3,0),"")</f>
        <v/>
      </c>
      <c r="J10" s="184"/>
      <c r="K10" s="203">
        <v>1</v>
      </c>
      <c r="L10" s="184" t="s">
        <v>40</v>
      </c>
      <c r="M10" s="203">
        <v>2</v>
      </c>
      <c r="N10" s="185"/>
      <c r="O10" s="184" t="str">
        <f ca="1">IFERROR(VLOOKUP(P10,Aux!$A:$C,3,0),"")</f>
        <v/>
      </c>
      <c r="P10" s="186" t="str" cm="1">
        <f t="array" aca="1" ref="P10" ca="1">INDIRECT(RIGHT(B10,1)&amp;"!T"&amp;8+LEFT(B10,1)*2)</f>
        <v>Atlético de Madrid</v>
      </c>
      <c r="Q10" s="181" t="str">
        <f ca="1">IFERROR(VLOOKUP(P10,Aux!$A:$X,8,0),"")</f>
        <v/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str">
        <f ca="1">IFERROR(VLOOKUP(H13,Aux!$A:$X,8,0),"")</f>
        <v/>
      </c>
      <c r="H13" s="182" t="str" cm="1">
        <f t="array" aca="1" ref="H13" ca="1">INDIRECT(RIGHT(A13,1)&amp;"!T"&amp;8+LEFT(A13,1)*2)</f>
        <v>Bayern Múnich</v>
      </c>
      <c r="I13" s="183" t="str">
        <f ca="1">IFERROR(VLOOKUP(H13,Aux!$A:$C,3,0),"")</f>
        <v/>
      </c>
      <c r="J13" s="194"/>
      <c r="K13" s="203">
        <v>3</v>
      </c>
      <c r="L13" s="184" t="s">
        <v>40</v>
      </c>
      <c r="M13" s="203">
        <v>1</v>
      </c>
      <c r="N13" s="185"/>
      <c r="O13" s="184" t="str">
        <f ca="1">IFERROR(VLOOKUP(P13,Aux!$A:$C,3,0),"")</f>
        <v/>
      </c>
      <c r="P13" s="186" t="str" cm="1">
        <f t="array" aca="1" ref="P13" ca="1">INDIRECT(RIGHT(B13,1)&amp;"!T"&amp;8+LEFT(B13,1)*2)</f>
        <v>Flamengo</v>
      </c>
      <c r="Q13" s="181" t="str">
        <f ca="1">IFERROR(VLOOKUP(P13,Aux!$A:$X,8,0),"")</f>
        <v/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str">
        <f ca="1">IFERROR(VLOOKUP(H16,Aux!$A:$X,8,0),"")</f>
        <v/>
      </c>
      <c r="H16" s="182" t="str" cm="1">
        <f t="array" aca="1" ref="H16" ca="1">INDIRECT(RIGHT(A16,1)&amp;"!T"&amp;8+LEFT(A16,1)*2)</f>
        <v>Inter de Milán</v>
      </c>
      <c r="I16" s="183" t="str">
        <f ca="1">IFERROR(VLOOKUP(H16,Aux!$A:$C,3,0),"")</f>
        <v/>
      </c>
      <c r="J16" s="194"/>
      <c r="K16" s="203">
        <v>2</v>
      </c>
      <c r="L16" s="184" t="s">
        <v>40</v>
      </c>
      <c r="M16" s="203">
        <v>1</v>
      </c>
      <c r="N16" s="185"/>
      <c r="O16" s="184" t="str">
        <f ca="1">IFERROR(VLOOKUP(P16,Aux!$A:$C,3,0),"")</f>
        <v/>
      </c>
      <c r="P16" s="186" t="str" cm="1">
        <f t="array" aca="1" ref="P16" ca="1">INDIRECT(RIGHT(B16,1)&amp;"!T"&amp;8+LEFT(B16,1)*2)</f>
        <v>Fluminense</v>
      </c>
      <c r="Q16" s="181" t="str">
        <f ca="1">IFERROR(VLOOKUP(P16,Aux!$A:$X,8,0),"")</f>
        <v/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3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3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  <c r="W18" t="s">
        <v>353</v>
      </c>
    </row>
    <row r="19" spans="1:23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str">
        <f ca="1">IFERROR(VLOOKUP(H19,Aux!$A:$X,8,0),"")</f>
        <v/>
      </c>
      <c r="H19" s="182" t="str" cm="1">
        <f t="array" aca="1" ref="H19" ca="1">INDIRECT(RIGHT(A19,1)&amp;"!T"&amp;8+LEFT(A19,1)*2)</f>
        <v>Juventus</v>
      </c>
      <c r="I19" s="183" t="str">
        <f ca="1">IFERROR(VLOOKUP(H19,Aux!$A:$C,3,0),"")</f>
        <v/>
      </c>
      <c r="J19" s="194"/>
      <c r="K19" s="203">
        <v>1</v>
      </c>
      <c r="L19" s="184" t="s">
        <v>40</v>
      </c>
      <c r="M19" s="203">
        <v>2</v>
      </c>
      <c r="N19" s="185"/>
      <c r="O19" s="184" t="str">
        <f ca="1">IFERROR(VLOOKUP(P19,Aux!$A:$C,3,0),"")</f>
        <v/>
      </c>
      <c r="P19" s="186" t="str" cm="1">
        <f t="array" aca="1" ref="P19" ca="1">INDIRECT(RIGHT(B19,1)&amp;"!T"&amp;8+LEFT(B19,1)*2)</f>
        <v>Al-Hilal</v>
      </c>
      <c r="Q19" s="181" t="str">
        <f ca="1">IFERROR(VLOOKUP(P19,Aux!$A:$X,8,0),"")</f>
        <v/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Al-Hilal</v>
      </c>
    </row>
    <row r="20" spans="1:23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3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3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str">
        <f ca="1">IFERROR(VLOOKUP(H22,Aux!$A:$X,8,0),"")</f>
        <v/>
      </c>
      <c r="H22" s="182" t="str" cm="1">
        <f t="array" aca="1" ref="H22" ca="1">INDIRECT(RIGHT(A22,1)&amp;"!T"&amp;8+LEFT(A22,1)*2)</f>
        <v>Paris Saint-Germain</v>
      </c>
      <c r="I22" s="183" t="str">
        <f ca="1">IFERROR(VLOOKUP(H22,Aux!$A:$C,3,0),"")</f>
        <v/>
      </c>
      <c r="J22" s="184"/>
      <c r="K22" s="203">
        <v>4</v>
      </c>
      <c r="L22" s="184" t="s">
        <v>40</v>
      </c>
      <c r="M22" s="203">
        <v>1</v>
      </c>
      <c r="N22" s="185"/>
      <c r="O22" s="184" t="str">
        <f ca="1">IFERROR(VLOOKUP(P22,Aux!$A:$C,3,0),"")</f>
        <v/>
      </c>
      <c r="P22" s="186" t="str" cm="1">
        <f t="array" aca="1" ref="P22" ca="1">INDIRECT(RIGHT(B22,1)&amp;"!T"&amp;8+LEFT(B22,1)*2)</f>
        <v>Palmeiras</v>
      </c>
      <c r="Q22" s="181" t="str">
        <f ca="1">IFERROR(VLOOKUP(P22,Aux!$A:$X,8,0),"")</f>
        <v/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3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3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3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str">
        <f ca="1">IFERROR(VLOOKUP(H25,Aux!$A:$X,8,0),"")</f>
        <v/>
      </c>
      <c r="H25" s="182" t="str" cm="1">
        <f t="array" aca="1" ref="H25" ca="1">INDIRECT(RIGHT(A25,1)&amp;"!T"&amp;8+LEFT(A25,1)*2)</f>
        <v>Chelsea</v>
      </c>
      <c r="I25" s="183" t="str">
        <f ca="1">IFERROR(VLOOKUP(H25,Aux!$A:$C,3,0),"")</f>
        <v/>
      </c>
      <c r="J25" s="194"/>
      <c r="K25" s="203">
        <v>3</v>
      </c>
      <c r="L25" s="184" t="s">
        <v>40</v>
      </c>
      <c r="M25" s="203">
        <v>2</v>
      </c>
      <c r="N25" s="185"/>
      <c r="O25" s="184" t="str">
        <f ca="1">IFERROR(VLOOKUP(P25,Aux!$A:$C,3,0),"")</f>
        <v/>
      </c>
      <c r="P25" s="186" t="str" cm="1">
        <f t="array" aca="1" ref="P25" ca="1">INDIRECT(RIGHT(B25,1)&amp;"!T"&amp;8+LEFT(B25,1)*2)</f>
        <v>Benfica</v>
      </c>
      <c r="Q25" s="181" t="str">
        <f ca="1">IFERROR(VLOOKUP(P25,Aux!$A:$X,8,0),"")</f>
        <v/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Chelsea</v>
      </c>
    </row>
    <row r="26" spans="1:23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/>
      <c r="L26" s="192" t="s">
        <v>40</v>
      </c>
      <c r="M26" s="192"/>
      <c r="N26" s="193"/>
      <c r="O26" s="193"/>
      <c r="P26" s="193"/>
      <c r="Q26" s="193"/>
      <c r="R26" s="193"/>
      <c r="S26" s="247"/>
      <c r="U26" s="207"/>
    </row>
    <row r="27" spans="1:23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3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str">
        <f ca="1">IFERROR(VLOOKUP(H28,Aux!$A:$X,8,0),"")</f>
        <v/>
      </c>
      <c r="H28" s="182" t="str" cm="1">
        <f t="array" aca="1" ref="H28" ca="1">INDIRECT(RIGHT(A28,1)&amp;"!T"&amp;8+LEFT(A28,1)*2)</f>
        <v>Borussia Dortmund</v>
      </c>
      <c r="I28" s="183" t="str">
        <f ca="1">IFERROR(VLOOKUP(H28,Aux!$A:$C,3,0),"")</f>
        <v/>
      </c>
      <c r="J28" s="194"/>
      <c r="K28" s="203">
        <v>2</v>
      </c>
      <c r="L28" s="184" t="s">
        <v>40</v>
      </c>
      <c r="M28" s="203">
        <v>2</v>
      </c>
      <c r="N28" s="185"/>
      <c r="O28" s="184" t="str">
        <f ca="1">IFERROR(VLOOKUP(P28,Aux!$A:$C,3,0),"")</f>
        <v/>
      </c>
      <c r="P28" s="186" t="str" cm="1">
        <f t="array" aca="1" ref="P28" ca="1">INDIRECT(RIGHT(B28,1)&amp;"!T"&amp;8+LEFT(B28,1)*2)</f>
        <v>River Plate</v>
      </c>
      <c r="Q28" s="181" t="str">
        <f ca="1">IFERROR(VLOOKUP(P28,Aux!$A:$X,8,0),"")</f>
        <v/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Borussia Dortmund</v>
      </c>
    </row>
    <row r="29" spans="1:23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>
        <v>4</v>
      </c>
      <c r="L29" s="192" t="s">
        <v>40</v>
      </c>
      <c r="M29" s="192">
        <v>3</v>
      </c>
      <c r="N29" s="193"/>
      <c r="O29" s="193"/>
      <c r="P29" s="193"/>
      <c r="Q29" s="193"/>
      <c r="R29" s="193"/>
      <c r="S29" s="247"/>
      <c r="U29" s="207"/>
    </row>
    <row r="30" spans="1:23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3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str">
        <f ca="1">IFERROR(VLOOKUP(H31,Aux!$A:$X,8,0),"")</f>
        <v/>
      </c>
      <c r="H31" s="182" t="str" cm="1">
        <f t="array" aca="1" ref="H31" ca="1">INDIRECT(RIGHT(A31,1)&amp;"!T"&amp;8+LEFT(A31,1)*2)</f>
        <v>Real Madrid</v>
      </c>
      <c r="I31" s="183" t="str">
        <f ca="1">IFERROR(VLOOKUP(H31,Aux!$A:$C,3,0),"")</f>
        <v/>
      </c>
      <c r="J31" s="194"/>
      <c r="K31" s="203">
        <v>3</v>
      </c>
      <c r="L31" s="184" t="s">
        <v>40</v>
      </c>
      <c r="M31" s="203">
        <v>2</v>
      </c>
      <c r="N31" s="185"/>
      <c r="O31" s="184" t="str">
        <f ca="1">IFERROR(VLOOKUP(P31,Aux!$A:$C,3,0),"")</f>
        <v/>
      </c>
      <c r="P31" s="186" t="str" cm="1">
        <f t="array" aca="1" ref="P31" ca="1">INDIRECT(RIGHT(B31,1)&amp;"!T"&amp;8+LEFT(B31,1)*2)</f>
        <v>Manchester City</v>
      </c>
      <c r="Q31" s="181" t="str">
        <f ca="1">IFERROR(VLOOKUP(P31,Aux!$A:$X,8,0),"")</f>
        <v/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3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6" t="s">
        <v>134</v>
      </c>
    </row>
    <row r="37" spans="1:21" ht="15" customHeight="1" thickBot="1" x14ac:dyDescent="0.3">
      <c r="U37" s="311"/>
    </row>
    <row r="38" spans="1:21" ht="15" customHeight="1" x14ac:dyDescent="0.25">
      <c r="U38" s="298" t="s">
        <v>135</v>
      </c>
    </row>
    <row r="39" spans="1:21" ht="15" customHeight="1" thickBot="1" x14ac:dyDescent="0.3">
      <c r="U39" s="312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topLeftCell="A6" zoomScaleNormal="100" workbookViewId="0">
      <selection activeCell="U11" sqref="U1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str">
        <f ca="1">IFERROR(VLOOKUP(H10,Aux!$A:$X,8,0),"")</f>
        <v/>
      </c>
      <c r="H10" s="182" t="str">
        <f ca="1">Octavos!U10</f>
        <v>Atlético de Madrid</v>
      </c>
      <c r="I10" s="183" t="str">
        <f ca="1">IFERROR(VLOOKUP(H10,Aux!$A:$C,3,0),"")</f>
        <v/>
      </c>
      <c r="J10" s="184"/>
      <c r="K10" s="203">
        <v>2</v>
      </c>
      <c r="L10" s="184" t="s">
        <v>40</v>
      </c>
      <c r="M10" s="203">
        <v>2</v>
      </c>
      <c r="N10" s="185"/>
      <c r="O10" s="184" t="str">
        <f ca="1">IFERROR(VLOOKUP(P10,Aux!$A:$C,3,0),"")</f>
        <v/>
      </c>
      <c r="P10" s="186" t="str">
        <f ca="1">Octavos!U13</f>
        <v>Bayern Múnich</v>
      </c>
      <c r="Q10" s="181" t="str">
        <f ca="1">IFERROR(VLOOKUP(P10,Aux!$A:$X,8,0),"")</f>
        <v/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>
        <v>4</v>
      </c>
      <c r="L11" s="192" t="s">
        <v>40</v>
      </c>
      <c r="M11" s="192">
        <v>5</v>
      </c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str">
        <f ca="1">IFERROR(VLOOKUP(H13,Aux!$A:$X,8,0),"")</f>
        <v/>
      </c>
      <c r="H13" s="182" t="str">
        <f ca="1">Octavos!U16</f>
        <v>Inter de Milán</v>
      </c>
      <c r="I13" s="183" t="str">
        <f ca="1">IFERROR(VLOOKUP(H13,Aux!$A:$C,3,0),"")</f>
        <v/>
      </c>
      <c r="J13" s="194"/>
      <c r="K13" s="203">
        <v>2</v>
      </c>
      <c r="L13" s="184" t="s">
        <v>40</v>
      </c>
      <c r="M13" s="203">
        <v>1</v>
      </c>
      <c r="N13" s="185"/>
      <c r="O13" s="184" t="str">
        <f ca="1">IFERROR(VLOOKUP(P13,Aux!$A:$C,3,0),"")</f>
        <v/>
      </c>
      <c r="P13" s="186" t="str">
        <f ca="1">Octavos!U19</f>
        <v>Al-Hilal</v>
      </c>
      <c r="Q13" s="181" t="str">
        <f ca="1">IFERROR(VLOOKUP(P13,Aux!$A:$X,8,0),"")</f>
        <v/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Inter de Milán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str">
        <f ca="1">IFERROR(VLOOKUP(H16,Aux!$A:$X,8,0),"")</f>
        <v/>
      </c>
      <c r="H16" s="182" t="str">
        <f ca="1">Octavos!U22</f>
        <v>Paris Saint-Germain</v>
      </c>
      <c r="I16" s="183" t="str">
        <f ca="1">IFERROR(VLOOKUP(H16,Aux!$A:$C,3,0),"")</f>
        <v/>
      </c>
      <c r="J16" s="194"/>
      <c r="K16" s="203">
        <v>3</v>
      </c>
      <c r="L16" s="184" t="s">
        <v>40</v>
      </c>
      <c r="M16" s="203">
        <v>1</v>
      </c>
      <c r="N16" s="185"/>
      <c r="O16" s="184" t="str">
        <f ca="1">IFERROR(VLOOKUP(P16,Aux!$A:$C,3,0),"")</f>
        <v/>
      </c>
      <c r="P16" s="186" t="str">
        <f ca="1">Octavos!U25</f>
        <v>Chelsea</v>
      </c>
      <c r="Q16" s="181" t="str">
        <f ca="1">IFERROR(VLOOKUP(P16,Aux!$A:$X,8,0),"")</f>
        <v/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str">
        <f ca="1">IFERROR(VLOOKUP(H19,Aux!$A:$X,8,0),"")</f>
        <v/>
      </c>
      <c r="H19" s="182" t="str">
        <f ca="1">Octavos!U28</f>
        <v>Borussia Dortmund</v>
      </c>
      <c r="I19" s="183" t="str">
        <f ca="1">IFERROR(VLOOKUP(H19,Aux!$A:$C,3,0),"")</f>
        <v/>
      </c>
      <c r="J19" s="194"/>
      <c r="K19" s="203">
        <v>1</v>
      </c>
      <c r="L19" s="184" t="s">
        <v>40</v>
      </c>
      <c r="M19" s="203">
        <v>2</v>
      </c>
      <c r="N19" s="185"/>
      <c r="O19" s="184" t="str">
        <f ca="1">IFERROR(VLOOKUP(P19,Aux!$A:$C,3,0),"")</f>
        <v/>
      </c>
      <c r="P19" s="186" t="str">
        <f ca="1">Octavos!U31</f>
        <v>Real Madrid</v>
      </c>
      <c r="Q19" s="181" t="str">
        <f ca="1">IFERROR(VLOOKUP(P19,Aux!$A:$X,8,0),"")</f>
        <v/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zoomScaleNormal="100" workbookViewId="0">
      <selection activeCell="M10" sqref="M1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str">
        <f ca="1">IFERROR(VLOOKUP(H10,Aux!$A:$X,8,0),"")</f>
        <v/>
      </c>
      <c r="H10" s="182" t="str">
        <f ca="1">Cuartos!U10</f>
        <v>Bayern Múnich</v>
      </c>
      <c r="I10" s="183" t="str">
        <f ca="1">IFERROR(VLOOKUP(H10,Aux!$A:$C,3,0),"")</f>
        <v/>
      </c>
      <c r="J10" s="184"/>
      <c r="K10" s="203">
        <v>2</v>
      </c>
      <c r="L10" s="184" t="s">
        <v>40</v>
      </c>
      <c r="M10" s="203">
        <v>1</v>
      </c>
      <c r="N10" s="185"/>
      <c r="O10" s="184" t="str">
        <f ca="1">IFERROR(VLOOKUP(P10,Aux!$A:$C,3,0),"")</f>
        <v/>
      </c>
      <c r="P10" s="186" t="str">
        <f ca="1">Cuartos!U13</f>
        <v>Inter de Milán</v>
      </c>
      <c r="Q10" s="181" t="str">
        <f ca="1">IFERROR(VLOOKUP(P10,Aux!$A:$X,8,0),"")</f>
        <v/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str">
        <f ca="1">IFERROR(VLOOKUP(H13,Aux!$A:$X,8,0),"")</f>
        <v/>
      </c>
      <c r="H13" s="182" t="str">
        <f ca="1">Cuartos!U16</f>
        <v>Paris Saint-Germain</v>
      </c>
      <c r="I13" s="183" t="str">
        <f ca="1">IFERROR(VLOOKUP(H13,Aux!$A:$C,3,0),"")</f>
        <v/>
      </c>
      <c r="J13" s="194"/>
      <c r="K13" s="203">
        <v>3</v>
      </c>
      <c r="L13" s="184" t="s">
        <v>40</v>
      </c>
      <c r="M13" s="203">
        <v>2</v>
      </c>
      <c r="N13" s="185"/>
      <c r="O13" s="184" t="str">
        <f ca="1">IFERROR(VLOOKUP(P13,Aux!$A:$C,3,0),"")</f>
        <v/>
      </c>
      <c r="P13" s="186" t="str">
        <f ca="1">Cuartos!U19</f>
        <v>Real Madrid</v>
      </c>
      <c r="Q13" s="181" t="str">
        <f ca="1">IFERROR(VLOOKUP(P13,Aux!$A:$X,8,0),"")</f>
        <v/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topLeftCell="A4" zoomScaleNormal="100" workbookViewId="0">
      <selection activeCell="H14" sqref="H14:P15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6" t="s">
        <v>134</v>
      </c>
    </row>
    <row r="5" spans="1:24" ht="15" customHeight="1" thickBot="1" x14ac:dyDescent="0.3">
      <c r="X5" s="297"/>
    </row>
    <row r="6" spans="1:24" ht="15" customHeight="1" x14ac:dyDescent="0.25">
      <c r="X6" s="298" t="s">
        <v>135</v>
      </c>
    </row>
    <row r="7" spans="1:24" ht="15" customHeight="1" thickBot="1" x14ac:dyDescent="0.3">
      <c r="X7" s="299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340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str">
        <f ca="1">IFERROR(VLOOKUP(H10,Aux!$A:$X,8,0),"")</f>
        <v/>
      </c>
      <c r="H10" s="182" t="str">
        <f ca="1">Semis!U10</f>
        <v>Bayern Múnich</v>
      </c>
      <c r="I10" s="183" t="str">
        <f ca="1">IFERROR(VLOOKUP(H10,Aux!$A:$C,3,0),"")</f>
        <v/>
      </c>
      <c r="J10" s="184"/>
      <c r="K10" s="203">
        <v>1</v>
      </c>
      <c r="L10" s="184" t="s">
        <v>40</v>
      </c>
      <c r="M10" s="203">
        <v>3</v>
      </c>
      <c r="N10" s="185"/>
      <c r="O10" s="184" t="str">
        <f ca="1">IFERROR(VLOOKUP(P10,Aux!$A:$C,3,0),"")</f>
        <v/>
      </c>
      <c r="P10" s="186" t="str">
        <f ca="1">Semis!U13</f>
        <v>Paris Saint-Germain</v>
      </c>
      <c r="Q10" s="181" t="str">
        <f ca="1">IFERROR(VLOOKUP(P10,Aux!$A:$X,8,0),"")</f>
        <v/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Paris Saint-Germain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4" t="s">
        <v>316</v>
      </c>
      <c r="I14" s="314"/>
      <c r="J14" s="314"/>
      <c r="K14" s="314"/>
      <c r="L14" s="314"/>
      <c r="M14" s="314"/>
      <c r="N14" s="314"/>
      <c r="O14" s="314"/>
      <c r="P14" s="314"/>
    </row>
    <row r="15" spans="1:24" ht="15" customHeight="1" x14ac:dyDescent="0.25">
      <c r="H15" s="314"/>
      <c r="I15" s="314"/>
      <c r="J15" s="314"/>
      <c r="K15" s="314"/>
      <c r="L15" s="314"/>
      <c r="M15" s="314"/>
      <c r="N15" s="314"/>
      <c r="O15" s="314"/>
      <c r="P15" s="314"/>
    </row>
    <row r="16" spans="1:24" x14ac:dyDescent="0.25"/>
    <row r="17" spans="8:16" ht="15" customHeight="1" x14ac:dyDescent="0.25">
      <c r="H17" s="315" t="str">
        <f ca="1">IFERROR(VLOOKUP(I17,Aux!$A:$X,8,0),"")</f>
        <v/>
      </c>
      <c r="I17" s="313" t="str">
        <f ca="1">U10</f>
        <v>Paris Saint-Germain</v>
      </c>
      <c r="J17" s="313"/>
      <c r="K17" s="313"/>
      <c r="L17" s="313"/>
      <c r="M17" s="313"/>
      <c r="N17" s="313"/>
      <c r="O17" s="313"/>
      <c r="P17" s="315" t="str">
        <f ca="1">IFERROR(VLOOKUP(I17,Aux!$A:$C,3,0),"")</f>
        <v/>
      </c>
    </row>
    <row r="18" spans="8:16" ht="15" customHeight="1" x14ac:dyDescent="0.25">
      <c r="H18" s="315"/>
      <c r="I18" s="313"/>
      <c r="J18" s="313"/>
      <c r="K18" s="313"/>
      <c r="L18" s="313"/>
      <c r="M18" s="313"/>
      <c r="N18" s="313"/>
      <c r="O18" s="313"/>
      <c r="P18" s="315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5">
        <v>#VALUE!</v>
      </c>
      <c r="E2" s="149" t="s">
        <v>274</v>
      </c>
      <c r="F2" s="147" t="s">
        <v>289</v>
      </c>
      <c r="G2" s="147" t="e" vm="56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ca="1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4">
        <f t="shared" si="0"/>
        <v>#VALUE!</v>
      </c>
      <c r="D3" s="148" t="e" vm="57">
        <v>#VALUE!</v>
      </c>
      <c r="E3" s="149" t="s">
        <v>275</v>
      </c>
      <c r="F3" s="147" t="s">
        <v>290</v>
      </c>
      <c r="G3" s="147" t="e" vm="58">
        <f t="shared" si="1"/>
        <v>#VALUE!</v>
      </c>
      <c r="H3" s="148" t="e" vm="45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1</v>
      </c>
      <c r="V3" s="220">
        <f ca="1">IF(VLOOKUP(M3,INDIRECT(T3&amp;"!B:AZ"),11,0)="","",VLOOKUP(M3,INDIRECT(T3&amp;"!B:AZ"),11,0))</f>
        <v>2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9">
        <f t="shared" si="0"/>
        <v>#VALUE!</v>
      </c>
      <c r="D4" s="148" t="e" vm="59">
        <v>#VALUE!</v>
      </c>
      <c r="E4" s="149" t="s">
        <v>276</v>
      </c>
      <c r="F4" s="147" t="s">
        <v>291</v>
      </c>
      <c r="G4" s="147" t="e" vm="60">
        <f t="shared" si="1"/>
        <v>#VALUE!</v>
      </c>
      <c r="H4" s="148" t="e" vm="30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2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3">IF(VLOOKUP(M4,INDIRECT(T4&amp;"!B:AZ"),9,0)="","",VLOOKUP(M4,INDIRECT(T4&amp;"!B:AZ"),9,0))</f>
        <v>1</v>
      </c>
      <c r="V4" s="220">
        <f t="shared" ref="V4:V50" ca="1" si="4">IF(VLOOKUP(M4,INDIRECT(T4&amp;"!B:AZ"),11,0)="","",VLOOKUP(M4,INDIRECT(T4&amp;"!B:AZ"),11,0))</f>
        <v>1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1">
        <f t="shared" si="0"/>
        <v>#VALUE!</v>
      </c>
      <c r="D5" s="148" t="e" vm="61">
        <v>#VALUE!</v>
      </c>
      <c r="E5" s="149" t="s">
        <v>277</v>
      </c>
      <c r="F5" s="147" t="s">
        <v>292</v>
      </c>
      <c r="G5" s="147" t="e" vm="62">
        <f t="shared" si="1"/>
        <v>#VALUE!</v>
      </c>
      <c r="H5" s="148" t="e" vm="42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2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3"/>
        <v>3</v>
      </c>
      <c r="V5" s="220">
        <f t="shared" ca="1" si="4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9">
        <f t="shared" si="0"/>
        <v>#VALUE!</v>
      </c>
      <c r="D6" s="148" t="e" vm="63">
        <v>#VALUE!</v>
      </c>
      <c r="E6" s="149" t="s">
        <v>102</v>
      </c>
      <c r="F6" s="147" t="s">
        <v>109</v>
      </c>
      <c r="G6" s="147" t="e" vm="64">
        <f t="shared" si="1"/>
        <v>#VALUE!</v>
      </c>
      <c r="H6" s="148" t="e" vm="8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2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3"/>
        <v>1</v>
      </c>
      <c r="V6" s="220">
        <f t="shared" ca="1" si="4"/>
        <v>2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8">
        <f t="shared" si="0"/>
        <v>#VALUE!</v>
      </c>
      <c r="D7" s="148" t="e" vm="65">
        <v>#VALUE!</v>
      </c>
      <c r="E7" s="149" t="s">
        <v>102</v>
      </c>
      <c r="F7" s="147" t="s">
        <v>109</v>
      </c>
      <c r="G7" s="147" t="e" vm="64">
        <f t="shared" si="1"/>
        <v>#VALUE!</v>
      </c>
      <c r="H7" s="148" t="e" vm="8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2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3"/>
        <v>1</v>
      </c>
      <c r="V7" s="220">
        <f t="shared" ca="1" si="4"/>
        <v>1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7">
        <f t="shared" si="0"/>
        <v>#VALUE!</v>
      </c>
      <c r="D8" s="148" t="e" vm="66">
        <v>#VALUE!</v>
      </c>
      <c r="E8" s="149" t="s">
        <v>102</v>
      </c>
      <c r="F8" s="147" t="s">
        <v>109</v>
      </c>
      <c r="G8" s="147" t="e" vm="64">
        <f t="shared" si="1"/>
        <v>#VALUE!</v>
      </c>
      <c r="H8" s="148" t="e" vm="8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2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3"/>
        <v>4</v>
      </c>
      <c r="V8" s="220">
        <f t="shared" ca="1" si="4"/>
        <v>0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7">
        <v>#VALUE!</v>
      </c>
      <c r="E9" s="150" t="s">
        <v>102</v>
      </c>
      <c r="F9" s="147" t="s">
        <v>109</v>
      </c>
      <c r="G9" s="147" t="e" vm="64">
        <f t="shared" si="1"/>
        <v>#VALUE!</v>
      </c>
      <c r="H9" s="148" t="e" vm="8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2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3"/>
        <v>2</v>
      </c>
      <c r="V9" s="220">
        <f t="shared" ca="1" si="4"/>
        <v>1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1">
        <f t="shared" si="0"/>
        <v>#VALUE!</v>
      </c>
      <c r="D10" s="148" t="e" vm="68">
        <v>#VALUE!</v>
      </c>
      <c r="E10" s="149" t="s">
        <v>99</v>
      </c>
      <c r="F10" s="147" t="s">
        <v>106</v>
      </c>
      <c r="G10" s="147" t="e" vm="69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2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5">IF(VLOOKUP(M10,INDIRECT(T10&amp;"!B:AZ"),9,0)="","",VLOOKUP(M10,INDIRECT(T10&amp;"!B:AZ"),9,0))</f>
        <v>1</v>
      </c>
      <c r="V10" s="220">
        <f t="shared" ca="1" si="4"/>
        <v>0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70">
        <v>#VALUE!</v>
      </c>
      <c r="E11" s="150" t="s">
        <v>99</v>
      </c>
      <c r="F11" s="147" t="s">
        <v>106</v>
      </c>
      <c r="G11" s="147" t="e" vm="69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2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5"/>
        <v>0</v>
      </c>
      <c r="V11" s="220">
        <f t="shared" ca="1" si="4"/>
        <v>2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50">
        <f t="shared" si="0"/>
        <v>#VALUE!</v>
      </c>
      <c r="D12" s="148" t="e" vm="71">
        <v>#VALUE!</v>
      </c>
      <c r="E12" s="150" t="s">
        <v>278</v>
      </c>
      <c r="F12" s="147" t="s">
        <v>293</v>
      </c>
      <c r="G12" s="147" t="e" vm="72">
        <f t="shared" si="1"/>
        <v>#VALUE!</v>
      </c>
      <c r="H12" s="148" t="e" vm="51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2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5"/>
        <v>3</v>
      </c>
      <c r="V12" s="220">
        <f t="shared" ca="1" si="4"/>
        <v>0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2">
        <f t="shared" si="0"/>
        <v>#VALUE!</v>
      </c>
      <c r="D13" s="148" t="e" vm="73">
        <v>#VALUE!</v>
      </c>
      <c r="E13" s="150" t="s">
        <v>279</v>
      </c>
      <c r="F13" s="147" t="s">
        <v>296</v>
      </c>
      <c r="G13" s="147" t="e" vm="74">
        <f>+_xlfn.IMAGE(F13)</f>
        <v>#VALUE!</v>
      </c>
      <c r="H13" s="148" t="e" vm="33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2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5"/>
        <v>0</v>
      </c>
      <c r="V13" s="220">
        <f t="shared" ca="1" si="4"/>
        <v>4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7">
        <f t="shared" si="0"/>
        <v>#VALUE!</v>
      </c>
      <c r="D14" s="148" t="e" vm="75">
        <v>#VALUE!</v>
      </c>
      <c r="E14" s="150" t="s">
        <v>280</v>
      </c>
      <c r="F14" s="147" t="s">
        <v>297</v>
      </c>
      <c r="G14" s="147" t="e" vm="76">
        <f t="shared" si="1"/>
        <v>#VALUE!</v>
      </c>
      <c r="H14" s="148" t="e" vm="46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2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5"/>
        <v>1</v>
      </c>
      <c r="V14" s="220">
        <f t="shared" ca="1" si="4"/>
        <v>0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40">
        <f t="shared" si="0"/>
        <v>#VALUE!</v>
      </c>
      <c r="D15" s="148" t="e" vm="77">
        <v>#VALUE!</v>
      </c>
      <c r="E15" s="150" t="s">
        <v>281</v>
      </c>
      <c r="F15" s="147" t="s">
        <v>294</v>
      </c>
      <c r="G15" s="147" t="e" vm="78">
        <f t="shared" si="1"/>
        <v>#VALUE!</v>
      </c>
      <c r="H15" s="148" t="e" vm="39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2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6</v>
      </c>
      <c r="V15" s="220">
        <f t="shared" ca="1" si="4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9">
        <v>#VALUE!</v>
      </c>
      <c r="E16" s="150" t="s">
        <v>282</v>
      </c>
      <c r="F16" s="147" t="s">
        <v>271</v>
      </c>
      <c r="G16" s="147" t="e" vm="80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2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5"/>
        <v>1</v>
      </c>
      <c r="V16" s="220">
        <f t="shared" ca="1" si="4"/>
        <v>1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9">
        <f t="shared" si="0"/>
        <v>#VALUE!</v>
      </c>
      <c r="D17" s="148" t="e" vm="81">
        <v>#VALUE!</v>
      </c>
      <c r="E17" s="150" t="s">
        <v>283</v>
      </c>
      <c r="F17" s="147" t="s">
        <v>270</v>
      </c>
      <c r="G17" s="147" t="e" vm="82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2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5"/>
        <v>3</v>
      </c>
      <c r="V17" s="220">
        <f t="shared" ca="1" si="4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3">
        <f t="shared" si="0"/>
        <v>#VALUE!</v>
      </c>
      <c r="D18" s="148" t="e" vm="83">
        <v>#VALUE!</v>
      </c>
      <c r="E18" s="150" t="s">
        <v>282</v>
      </c>
      <c r="F18" s="147" t="s">
        <v>271</v>
      </c>
      <c r="G18" s="147" t="e" vm="80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2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5"/>
        <v>3</v>
      </c>
      <c r="V18" s="220">
        <f t="shared" ca="1" si="4"/>
        <v>1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4">
        <v>#VALUE!</v>
      </c>
      <c r="E19" s="150" t="s">
        <v>284</v>
      </c>
      <c r="F19" s="147" t="s">
        <v>268</v>
      </c>
      <c r="G19" s="147" t="e" vm="85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2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5"/>
        <v>0</v>
      </c>
      <c r="V19" s="220">
        <f t="shared" ca="1" si="4"/>
        <v>1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6">
        <v>#VALUE!</v>
      </c>
      <c r="E20" s="150" t="s">
        <v>285</v>
      </c>
      <c r="F20" s="147" t="s">
        <v>295</v>
      </c>
      <c r="G20" s="147" t="e" vm="87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2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5"/>
        <v>1</v>
      </c>
      <c r="V20" s="220">
        <f t="shared" ca="1" si="4"/>
        <v>2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8">
        <f t="shared" si="0"/>
        <v>#VALUE!</v>
      </c>
      <c r="D21" s="148" t="e" vm="88">
        <v>#VALUE!</v>
      </c>
      <c r="E21" s="150" t="s">
        <v>284</v>
      </c>
      <c r="F21" s="147" t="s">
        <v>268</v>
      </c>
      <c r="G21" s="147" t="e" vm="85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2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5"/>
        <v>2</v>
      </c>
      <c r="V21" s="220">
        <f t="shared" ca="1" si="4"/>
        <v>0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5">
        <f t="shared" si="0"/>
        <v>#VALUE!</v>
      </c>
      <c r="D22" s="148" t="e" vm="89">
        <v>#VALUE!</v>
      </c>
      <c r="E22" s="150" t="s">
        <v>286</v>
      </c>
      <c r="F22" s="147" t="s">
        <v>272</v>
      </c>
      <c r="G22" s="147" t="e" vm="90">
        <f t="shared" si="1"/>
        <v>#VALUE!</v>
      </c>
      <c r="H22" s="148" t="e" vm="36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2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5"/>
        <v>3</v>
      </c>
      <c r="V22" s="220">
        <f t="shared" ca="1" si="4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10">
        <f t="shared" si="0"/>
        <v>#VALUE!</v>
      </c>
      <c r="D23" s="148" t="e" vm="91">
        <v>#VALUE!</v>
      </c>
      <c r="E23" s="150" t="s">
        <v>266</v>
      </c>
      <c r="F23" s="147" t="s">
        <v>273</v>
      </c>
      <c r="G23" s="147" t="e" vm="92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2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5"/>
        <v>1</v>
      </c>
      <c r="V23" s="220">
        <f t="shared" ca="1" si="4"/>
        <v>3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3">
        <v>#VALUE!</v>
      </c>
      <c r="E24" s="150" t="s">
        <v>283</v>
      </c>
      <c r="F24" s="147" t="s">
        <v>270</v>
      </c>
      <c r="G24" s="147" t="e" vm="82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2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5"/>
        <v>1</v>
      </c>
      <c r="V24" s="220">
        <f t="shared" ca="1" si="4"/>
        <v>1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4">
        <v>#VALUE!</v>
      </c>
      <c r="E25" s="150" t="s">
        <v>266</v>
      </c>
      <c r="F25" s="147" t="s">
        <v>273</v>
      </c>
      <c r="G25" s="147" t="e" vm="92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2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5"/>
        <v>1</v>
      </c>
      <c r="V25" s="220">
        <f t="shared" ca="1" si="4"/>
        <v>2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8">
        <f t="shared" si="0"/>
        <v>#VALUE!</v>
      </c>
      <c r="D26" s="148" t="e" vm="95">
        <v>#VALUE!</v>
      </c>
      <c r="E26" s="150" t="s">
        <v>286</v>
      </c>
      <c r="F26" s="147" t="s">
        <v>272</v>
      </c>
      <c r="G26" s="147" t="e" vm="90">
        <f t="shared" si="1"/>
        <v>#VALUE!</v>
      </c>
      <c r="H26" s="148" t="e" vm="36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2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5"/>
        <v>1</v>
      </c>
      <c r="V26" s="220">
        <f t="shared" ca="1" si="4"/>
        <v>4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3">
        <f t="shared" si="0"/>
        <v>#VALUE!</v>
      </c>
      <c r="D27" s="148" t="e" vm="96">
        <v>#VALUE!</v>
      </c>
      <c r="E27" s="150" t="s">
        <v>267</v>
      </c>
      <c r="F27" s="147" t="s">
        <v>269</v>
      </c>
      <c r="G27" s="147" t="e" vm="97">
        <f t="shared" si="1"/>
        <v>#VALUE!</v>
      </c>
      <c r="H27" s="148" t="e" vm="54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2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5"/>
        <v>1</v>
      </c>
      <c r="V27" s="220">
        <f t="shared" ca="1" si="4"/>
        <v>1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4">
        <f t="shared" si="0"/>
        <v>#VALUE!</v>
      </c>
      <c r="D28" s="148" t="e" vm="98">
        <v>#VALUE!</v>
      </c>
      <c r="E28" s="150" t="s">
        <v>100</v>
      </c>
      <c r="F28" s="147" t="s">
        <v>107</v>
      </c>
      <c r="G28" s="147" t="e" vm="99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2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5"/>
        <v>0</v>
      </c>
      <c r="V28" s="220">
        <f t="shared" ca="1" si="4"/>
        <v>2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100">
        <v>#VALUE!</v>
      </c>
      <c r="E29" s="150" t="s">
        <v>101</v>
      </c>
      <c r="F29" s="147" t="s">
        <v>108</v>
      </c>
      <c r="G29" s="147" t="e" vm="101">
        <f t="shared" ref="G29:G34" si="6"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2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5"/>
        <v>2</v>
      </c>
      <c r="V29" s="220">
        <f t="shared" ca="1" si="4"/>
        <v>0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2">
        <f t="shared" si="0"/>
        <v>#VALUE!</v>
      </c>
      <c r="D30" s="148" t="e" vm="102">
        <v>#VALUE!</v>
      </c>
      <c r="E30" s="150" t="s">
        <v>100</v>
      </c>
      <c r="F30" s="147" t="s">
        <v>107</v>
      </c>
      <c r="G30" s="147" t="e" vm="99">
        <f t="shared" si="6"/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2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5"/>
        <v>1</v>
      </c>
      <c r="V30" s="220">
        <f t="shared" ca="1" si="4"/>
        <v>0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3">
        <v>#VALUE!</v>
      </c>
      <c r="E31" s="150" t="s">
        <v>287</v>
      </c>
      <c r="F31" s="147" t="s">
        <v>298</v>
      </c>
      <c r="G31" s="147" t="e" vm="104">
        <f t="shared" si="6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2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5"/>
        <v>2</v>
      </c>
      <c r="V31" s="220">
        <f t="shared" ca="1" si="4"/>
        <v>1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5">
        <v>#VALUE!</v>
      </c>
      <c r="E32" s="150" t="s">
        <v>101</v>
      </c>
      <c r="F32" s="147" t="s">
        <v>108</v>
      </c>
      <c r="G32" s="147" t="e" vm="101">
        <f t="shared" si="6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2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5"/>
        <v>2</v>
      </c>
      <c r="V32" s="220">
        <f t="shared" ca="1" si="4"/>
        <v>2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7">
        <f t="shared" si="0"/>
        <v>#VALUE!</v>
      </c>
      <c r="D33" s="148" t="e" vm="106">
        <v>#VALUE!</v>
      </c>
      <c r="E33" s="150" t="s">
        <v>101</v>
      </c>
      <c r="F33" s="147" t="s">
        <v>108</v>
      </c>
      <c r="G33" s="147" t="e" vm="101">
        <f t="shared" si="6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2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5"/>
        <v>1</v>
      </c>
      <c r="V33" s="220">
        <f t="shared" ca="1" si="4"/>
        <v>3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107">
        <f t="shared" si="0"/>
        <v>#VALUE!</v>
      </c>
      <c r="D34" s="148" t="e" vm="108">
        <v>#VALUE!</v>
      </c>
      <c r="E34" s="150" t="s">
        <v>100</v>
      </c>
      <c r="F34" s="147" t="s">
        <v>107</v>
      </c>
      <c r="G34" s="147" t="e" vm="99">
        <f t="shared" si="6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5"/>
        <v>2</v>
      </c>
      <c r="V34" s="220">
        <f t="shared" ca="1" si="4"/>
        <v>3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2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5"/>
        <v>1</v>
      </c>
      <c r="V35" s="220">
        <f t="shared" ca="1" si="4"/>
        <v>3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2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5"/>
        <v>2</v>
      </c>
      <c r="V36" s="220">
        <f t="shared" ca="1" si="4"/>
        <v>1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5"/>
        <v>2</v>
      </c>
      <c r="V37" s="220">
        <f t="shared" ca="1" si="4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2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5"/>
        <v>2</v>
      </c>
      <c r="V38" s="220">
        <f t="shared" ca="1" si="4"/>
        <v>4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2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5"/>
        <v>5</v>
      </c>
      <c r="V39" s="220">
        <f t="shared" ca="1" si="4"/>
        <v>1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2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5"/>
        <v>1</v>
      </c>
      <c r="V40" s="220">
        <f t="shared" ca="1" si="4"/>
        <v>1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2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5"/>
        <v>3</v>
      </c>
      <c r="V41" s="220">
        <f t="shared" ca="1" si="4"/>
        <v>1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2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5"/>
        <v>3</v>
      </c>
      <c r="V42" s="220">
        <f t="shared" ca="1" si="4"/>
        <v>0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2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5"/>
        <v>2</v>
      </c>
      <c r="V43" s="220">
        <f t="shared" ca="1" si="4"/>
        <v>1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2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5"/>
        <v>0</v>
      </c>
      <c r="V44" s="220">
        <f t="shared" ca="1" si="4"/>
        <v>1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2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5"/>
        <v>3</v>
      </c>
      <c r="V45" s="220">
        <f t="shared" ca="1" si="4"/>
        <v>2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2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5"/>
        <v>1</v>
      </c>
      <c r="V46" s="220">
        <f t="shared" ca="1" si="4"/>
        <v>0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2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5"/>
        <v>2</v>
      </c>
      <c r="V47" s="220">
        <f t="shared" ca="1" si="4"/>
        <v>1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2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5"/>
        <v>1</v>
      </c>
      <c r="V48" s="220">
        <f t="shared" ca="1" si="4"/>
        <v>1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2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5"/>
        <v>1</v>
      </c>
      <c r="V49" s="220">
        <f t="shared" ca="1" si="4"/>
        <v>0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2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5"/>
        <v>1</v>
      </c>
      <c r="V50" s="220">
        <f t="shared" ca="1" si="4"/>
        <v>4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2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1</v>
      </c>
      <c r="V51" s="220">
        <f ca="1">IF(VLOOKUP(M51,INDIRECT(T51&amp;"!C:AZ"),9,0)="","",VLOOKUP(M51,INDIRECT(T51&amp;"!C:AZ"),11,0))</f>
        <v>2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2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7">IF(VLOOKUP(M52,INDIRECT(T52&amp;"!C:AZ"),9,0)="","",VLOOKUP(M52,INDIRECT(T52&amp;"!C:AZ"),9,0))</f>
        <v>3</v>
      </c>
      <c r="V52" s="220">
        <f t="shared" ref="V52:V65" ca="1" si="8">IF(VLOOKUP(M52,INDIRECT(T52&amp;"!C:AZ"),9,0)="","",VLOOKUP(M52,INDIRECT(T52&amp;"!C:AZ"),11,0))</f>
        <v>1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2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7"/>
        <v>4</v>
      </c>
      <c r="V53" s="220">
        <f t="shared" ca="1" si="8"/>
        <v>1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2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7"/>
        <v>3</v>
      </c>
      <c r="V54" s="220">
        <f t="shared" ca="1" si="8"/>
        <v>2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2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7"/>
        <v>2</v>
      </c>
      <c r="V55" s="220">
        <f t="shared" ca="1" si="8"/>
        <v>1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2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7"/>
        <v>1</v>
      </c>
      <c r="V56" s="220">
        <f t="shared" ca="1" si="8"/>
        <v>2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2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7"/>
        <v>2</v>
      </c>
      <c r="V57" s="220">
        <f t="shared" ca="1" si="8"/>
        <v>2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2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7"/>
        <v>3</v>
      </c>
      <c r="V58" s="220">
        <f t="shared" ca="1" si="8"/>
        <v>2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2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7"/>
        <v>2</v>
      </c>
      <c r="V59" s="220">
        <f t="shared" ca="1" si="8"/>
        <v>2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2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7"/>
        <v>2</v>
      </c>
      <c r="V60" s="220">
        <f t="shared" ca="1" si="8"/>
        <v>1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2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7"/>
        <v>3</v>
      </c>
      <c r="V61" s="220">
        <f t="shared" ca="1" si="8"/>
        <v>1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2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7"/>
        <v>1</v>
      </c>
      <c r="V62" s="220">
        <f t="shared" ca="1" si="8"/>
        <v>2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2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7"/>
        <v>2</v>
      </c>
      <c r="V63" s="220">
        <f t="shared" ca="1" si="8"/>
        <v>1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2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7"/>
        <v>3</v>
      </c>
      <c r="V64" s="220">
        <f t="shared" ca="1" si="8"/>
        <v>2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2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7"/>
        <v>1</v>
      </c>
      <c r="V65" s="220">
        <f t="shared" ca="1" si="8"/>
        <v>3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Leonardo Herrera</v>
      </c>
      <c r="C1" s="75" t="str">
        <f>Normas!C30</f>
        <v>gherrera2210@gmail.com</v>
      </c>
      <c r="D1" s="75">
        <f>Normas!C32</f>
        <v>4129515821</v>
      </c>
      <c r="E1" s="50">
        <f ca="1">+Resultado!E3</f>
        <v>1</v>
      </c>
      <c r="F1" s="50">
        <f ca="1">+Resultado!F3</f>
        <v>2</v>
      </c>
      <c r="G1" s="50">
        <f ca="1">+Resultado!G3</f>
        <v>2</v>
      </c>
      <c r="H1" s="50">
        <f ca="1">+Resultado!H3</f>
        <v>6</v>
      </c>
      <c r="I1" s="50">
        <f ca="1">+Resultado!I3</f>
        <v>0</v>
      </c>
      <c r="J1" s="50">
        <f ca="1">+Resultado!J3</f>
        <v>1</v>
      </c>
      <c r="K1" s="50">
        <f ca="1">+Resultado!K3</f>
        <v>2</v>
      </c>
      <c r="L1" s="50">
        <f ca="1">+Resultado!L3</f>
        <v>1</v>
      </c>
      <c r="M1" s="50">
        <f ca="1">+Resultado!M3</f>
        <v>1</v>
      </c>
      <c r="N1" s="50">
        <f ca="1">+Resultado!N3</f>
        <v>1</v>
      </c>
      <c r="O1" s="50">
        <f ca="1">+Resultado!O3</f>
        <v>1</v>
      </c>
      <c r="P1" s="50" t="str">
        <f ca="1">+Resultado!P3</f>
        <v>x</v>
      </c>
      <c r="Q1" s="50">
        <f ca="1">+Resultado!Q3</f>
        <v>1</v>
      </c>
      <c r="R1" s="50">
        <f ca="1">+Resultado!R3</f>
        <v>0</v>
      </c>
      <c r="S1" s="50">
        <f ca="1">+Resultado!S3</f>
        <v>1</v>
      </c>
      <c r="T1" s="50">
        <f ca="1">+Resultado!T3</f>
        <v>2</v>
      </c>
      <c r="U1" s="50">
        <f ca="1">+Resultado!U3</f>
        <v>0</v>
      </c>
      <c r="V1" s="50">
        <f ca="1">+Resultado!V3</f>
        <v>1</v>
      </c>
      <c r="W1" s="50">
        <f ca="1">+Resultado!W3</f>
        <v>1</v>
      </c>
      <c r="X1" s="50">
        <f ca="1">+Resultado!X3</f>
        <v>1</v>
      </c>
      <c r="Y1" s="50" t="str">
        <f ca="1">+Resultado!Y3</f>
        <v>x</v>
      </c>
      <c r="Z1" s="50">
        <f ca="1">+Resultado!Z3</f>
        <v>3</v>
      </c>
      <c r="AA1" s="50">
        <f ca="1">+Resultado!AA3</f>
        <v>0</v>
      </c>
      <c r="AB1" s="50">
        <f ca="1">+Resultado!AB3</f>
        <v>1</v>
      </c>
      <c r="AC1" s="50">
        <f ca="1">+Resultado!AC3</f>
        <v>1</v>
      </c>
      <c r="AD1" s="50">
        <f ca="1">+Resultado!AD3</f>
        <v>3</v>
      </c>
      <c r="AE1" s="50">
        <f ca="1">+Resultado!AE3</f>
        <v>2</v>
      </c>
      <c r="AF1" s="50">
        <f ca="1">+Resultado!AF3</f>
        <v>1</v>
      </c>
      <c r="AG1" s="50">
        <f ca="1">+Resultado!AG3</f>
        <v>1</v>
      </c>
      <c r="AH1" s="50" t="str">
        <f ca="1">+Resultado!AH3</f>
        <v>x</v>
      </c>
      <c r="AI1" s="50">
        <f ca="1">+Resultado!AI3</f>
        <v>2</v>
      </c>
      <c r="AJ1" s="50">
        <f ca="1">+Resultado!AJ3</f>
        <v>3</v>
      </c>
      <c r="AK1" s="50">
        <f ca="1">+Resultado!AK3</f>
        <v>2</v>
      </c>
      <c r="AL1" s="50">
        <f ca="1">+Resultado!AL3</f>
        <v>0</v>
      </c>
      <c r="AM1" s="50">
        <f ca="1">+Resultado!AM3</f>
        <v>2</v>
      </c>
      <c r="AN1" s="50">
        <f ca="1">+Resultado!AN3</f>
        <v>2</v>
      </c>
      <c r="AO1" s="50">
        <f ca="1">+Resultado!AO3</f>
        <v>5</v>
      </c>
      <c r="AP1" s="50">
        <f ca="1">+Resultado!AP3</f>
        <v>1</v>
      </c>
      <c r="AQ1" s="50">
        <f ca="1">+Resultado!AQ3</f>
        <v>1</v>
      </c>
      <c r="AR1" s="50">
        <f ca="1">+Resultado!AR3</f>
        <v>3</v>
      </c>
      <c r="AS1" s="50">
        <f ca="1">+Resultado!AS3</f>
        <v>2</v>
      </c>
      <c r="AT1" s="50">
        <f ca="1">+Resultado!AT3</f>
        <v>1</v>
      </c>
      <c r="AU1" s="50">
        <f ca="1">+Resultado!AU3</f>
        <v>1</v>
      </c>
      <c r="AV1" s="50">
        <f ca="1">+Resultado!AV3</f>
        <v>0</v>
      </c>
      <c r="AW1" s="50">
        <f ca="1">+Resultado!AW3</f>
        <v>1</v>
      </c>
      <c r="AX1" s="50">
        <f ca="1">+Resultado!AX3</f>
        <v>1</v>
      </c>
      <c r="AY1" s="50">
        <f ca="1">+Resultado!AY3</f>
        <v>1</v>
      </c>
      <c r="AZ1" s="50" t="str">
        <f ca="1">+Resultado!AZ3</f>
        <v>x</v>
      </c>
      <c r="BA1" s="50">
        <f ca="1">+Resultado!BA3</f>
        <v>3</v>
      </c>
      <c r="BB1" s="50">
        <f ca="1">+Resultado!BB3</f>
        <v>0</v>
      </c>
      <c r="BC1" s="50">
        <f ca="1">+Resultado!BC3</f>
        <v>1</v>
      </c>
      <c r="BD1" s="50">
        <f ca="1">+Resultado!BD3</f>
        <v>1</v>
      </c>
      <c r="BE1" s="50">
        <f ca="1">+Resultado!BE3</f>
        <v>2</v>
      </c>
      <c r="BF1" s="50">
        <f ca="1">+Resultado!BF3</f>
        <v>2</v>
      </c>
      <c r="BG1" s="50">
        <f ca="1">+Resultado!BG3</f>
        <v>0</v>
      </c>
      <c r="BH1" s="50">
        <f ca="1">+Resultado!BH3</f>
        <v>2</v>
      </c>
      <c r="BI1" s="50">
        <f ca="1">+Resultado!BI3</f>
        <v>2</v>
      </c>
      <c r="BJ1" s="50">
        <f ca="1">+Resultado!BJ3</f>
        <v>3</v>
      </c>
      <c r="BK1" s="50">
        <f ca="1">+Resultado!BK3</f>
        <v>0</v>
      </c>
      <c r="BL1" s="50">
        <f ca="1">+Resultado!BL3</f>
        <v>1</v>
      </c>
      <c r="BM1" s="50">
        <f ca="1">+Resultado!BM3</f>
        <v>3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3</v>
      </c>
      <c r="BR1" s="50">
        <f ca="1">+Resultado!BR3</f>
        <v>2</v>
      </c>
      <c r="BS1" s="50">
        <f ca="1">+Resultado!BS3</f>
        <v>1</v>
      </c>
      <c r="BT1" s="50">
        <f ca="1">+Resultado!BT3</f>
        <v>1</v>
      </c>
      <c r="BU1" s="50" t="str">
        <f ca="1">+Resultado!BU3</f>
        <v>x</v>
      </c>
      <c r="BV1" s="50">
        <f ca="1">+Resultado!BV3</f>
        <v>3</v>
      </c>
      <c r="BW1" s="50">
        <f ca="1">+Resultado!BW3</f>
        <v>1</v>
      </c>
      <c r="BX1" s="50">
        <f ca="1">+Resultado!BX3</f>
        <v>1</v>
      </c>
      <c r="BY1" s="50">
        <f ca="1">+Resultado!BY3</f>
        <v>1</v>
      </c>
      <c r="BZ1" s="50">
        <f ca="1">+Resultado!BZ3</f>
        <v>3</v>
      </c>
      <c r="CA1" s="50">
        <f ca="1">+Resultado!CA3</f>
        <v>2</v>
      </c>
      <c r="CB1" s="50">
        <f ca="1">+Resultado!CB3</f>
        <v>2</v>
      </c>
      <c r="CC1" s="50">
        <f ca="1">+Resultado!CC3</f>
        <v>0</v>
      </c>
      <c r="CD1" s="50">
        <f ca="1">+Resultado!CD3</f>
        <v>1</v>
      </c>
      <c r="CE1" s="50">
        <f ca="1">+Resultado!CE3</f>
        <v>2</v>
      </c>
      <c r="CF1" s="50">
        <f ca="1">+Resultado!CF3</f>
        <v>1</v>
      </c>
      <c r="CG1" s="50">
        <f ca="1">+Resultado!CG3</f>
        <v>1</v>
      </c>
      <c r="CH1" s="50">
        <f ca="1">+Resultado!CH3</f>
        <v>1</v>
      </c>
      <c r="CI1" s="50">
        <f ca="1">+Resultado!CI3</f>
        <v>0</v>
      </c>
      <c r="CJ1" s="50">
        <f ca="1">+Resultado!CJ3</f>
        <v>1</v>
      </c>
      <c r="CK1" s="50">
        <f ca="1">+Resultado!CK3</f>
        <v>3</v>
      </c>
      <c r="CL1" s="50">
        <f ca="1">+Resultado!CL3</f>
        <v>1</v>
      </c>
      <c r="CM1" s="50">
        <f ca="1">+Resultado!CM3</f>
        <v>1</v>
      </c>
      <c r="CN1" s="50">
        <f ca="1">+Resultado!CN3</f>
        <v>2</v>
      </c>
      <c r="CO1" s="50">
        <f ca="1">+Resultado!CO3</f>
        <v>1</v>
      </c>
      <c r="CP1" s="50">
        <f ca="1">+Resultado!CP3</f>
        <v>1</v>
      </c>
      <c r="CQ1" s="50">
        <f ca="1">+Resultado!CQ3</f>
        <v>1</v>
      </c>
      <c r="CR1" s="50">
        <f ca="1">+Resultado!CR3</f>
        <v>1</v>
      </c>
      <c r="CS1" s="50" t="str">
        <f ca="1">+Resultado!CS3</f>
        <v>x</v>
      </c>
      <c r="CT1" s="50">
        <f ca="1">+Resultado!CT3</f>
        <v>3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4</v>
      </c>
      <c r="CY1" s="50">
        <f ca="1">+Resultado!CY3</f>
        <v>2</v>
      </c>
      <c r="CZ1" s="50">
        <f ca="1">+Resultado!CZ3</f>
        <v>1</v>
      </c>
      <c r="DA1" s="50">
        <f ca="1">+Resultado!DA3</f>
        <v>0</v>
      </c>
      <c r="DB1" s="50">
        <f ca="1">+Resultado!DB3</f>
        <v>1</v>
      </c>
      <c r="DC1" s="50">
        <f ca="1">+Resultado!DC3</f>
        <v>1</v>
      </c>
      <c r="DD1" s="50">
        <f ca="1">+Resultado!DD3</f>
        <v>1</v>
      </c>
      <c r="DE1" s="50" t="str">
        <f ca="1">+Resultado!DE3</f>
        <v>x</v>
      </c>
      <c r="DF1" s="50">
        <f ca="1">+Resultado!DF3</f>
        <v>4</v>
      </c>
      <c r="DG1" s="50">
        <f ca="1">+Resultado!DG3</f>
        <v>0</v>
      </c>
      <c r="DH1" s="50">
        <f ca="1">+Resultado!DH3</f>
        <v>1</v>
      </c>
      <c r="DI1" s="50">
        <f ca="1">+Resultado!DI3</f>
        <v>0</v>
      </c>
      <c r="DJ1" s="50">
        <f ca="1">+Resultado!DJ3</f>
        <v>1</v>
      </c>
      <c r="DK1" s="50">
        <f ca="1">+Resultado!DK3</f>
        <v>2</v>
      </c>
      <c r="DL1" s="50">
        <f ca="1">+Resultado!DL3</f>
        <v>1</v>
      </c>
      <c r="DM1" s="50">
        <f ca="1">+Resultado!DM3</f>
        <v>2</v>
      </c>
      <c r="DN1" s="50">
        <f ca="1">+Resultado!DN3</f>
        <v>2</v>
      </c>
      <c r="DO1" s="50">
        <f ca="1">+Resultado!DO3</f>
        <v>1</v>
      </c>
      <c r="DP1" s="50">
        <f ca="1">+Resultado!DP3</f>
        <v>2</v>
      </c>
      <c r="DQ1" s="50">
        <f ca="1">+Resultado!DQ3</f>
        <v>2</v>
      </c>
      <c r="DR1" s="50">
        <f ca="1">+Resultado!DR3</f>
        <v>1</v>
      </c>
      <c r="DS1" s="50">
        <f ca="1">+Resultado!DS3</f>
        <v>4</v>
      </c>
      <c r="DT1" s="50">
        <f ca="1">+Resultado!DT3</f>
        <v>2</v>
      </c>
      <c r="DU1" s="50">
        <f ca="1">+Resultado!DU3</f>
        <v>2</v>
      </c>
      <c r="DV1" s="50">
        <f ca="1">+Resultado!DV3</f>
        <v>0</v>
      </c>
      <c r="DW1" s="50">
        <f ca="1">+Resultado!DW3</f>
        <v>1</v>
      </c>
      <c r="DX1" s="50">
        <f ca="1">+Resultado!DX3</f>
        <v>2</v>
      </c>
      <c r="DY1" s="50">
        <f ca="1">+Resultado!DY3</f>
        <v>4</v>
      </c>
      <c r="DZ1" s="50">
        <f ca="1">+Resultado!DZ3</f>
        <v>2</v>
      </c>
      <c r="EA1" s="50">
        <f ca="1">+Resultado!EA3</f>
        <v>2</v>
      </c>
      <c r="EB1" s="50">
        <f ca="1">+Resultado!EB3</f>
        <v>1</v>
      </c>
      <c r="EC1" s="50">
        <f ca="1">+Resultado!EC3</f>
        <v>1</v>
      </c>
      <c r="ED1" s="50">
        <f ca="1">+Resultado!ED3</f>
        <v>2</v>
      </c>
      <c r="EE1" s="50">
        <f ca="1">+Resultado!EE3</f>
        <v>2</v>
      </c>
      <c r="EF1" s="50" t="str">
        <f ca="1">+Resultado!EF3</f>
        <v>x</v>
      </c>
      <c r="EG1" s="50">
        <f ca="1">+Resultado!EG3</f>
        <v>2</v>
      </c>
      <c r="EH1" s="50">
        <f ca="1">+Resultado!EH3</f>
        <v>1</v>
      </c>
      <c r="EI1" s="50">
        <f ca="1">+Resultado!EI3</f>
        <v>1</v>
      </c>
      <c r="EJ1" s="50">
        <f ca="1">+Resultado!EJ3</f>
        <v>0</v>
      </c>
      <c r="EK1" s="50">
        <f ca="1">+Resultado!EK3</f>
        <v>1</v>
      </c>
      <c r="EL1" s="50">
        <f ca="1">+Resultado!EL3</f>
        <v>2</v>
      </c>
      <c r="EM1" s="50">
        <f ca="1">+Resultado!EM3</f>
        <v>1</v>
      </c>
      <c r="EN1" s="50">
        <f ca="1">+Resultado!EN3</f>
        <v>0</v>
      </c>
      <c r="EO1" s="50">
        <f ca="1">+Resultado!EO3</f>
        <v>1</v>
      </c>
      <c r="EP1" s="50">
        <f ca="1">+Resultado!EP3</f>
        <v>1</v>
      </c>
      <c r="EQ1" s="50">
        <f ca="1">+Resultado!EQ3</f>
        <v>4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Juventus</v>
      </c>
      <c r="EZ1" s="50" t="str">
        <f ca="1">+Resultado!EZ3</f>
        <v>Real Madrid</v>
      </c>
      <c r="FA1" s="50" t="str">
        <f ca="1">+Resultado!FA3</f>
        <v>Palmeiras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Manchester City</v>
      </c>
      <c r="FH1" s="50" t="str">
        <f ca="1">+Resultado!FH3</f>
        <v>Al-Hilal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Al-Hilal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Inter de Milán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Bayern Múnich</v>
      </c>
      <c r="FV1" s="50" t="str">
        <f ca="1">+Resultado!FV3</f>
        <v>Paris Saint-Germain</v>
      </c>
      <c r="FW1" s="50" t="str">
        <f ca="1">+Resultado!FW3</f>
        <v>Paris Saint-Germain</v>
      </c>
      <c r="FX1" s="50">
        <f ca="1">+Resultado!FX3</f>
        <v>1</v>
      </c>
      <c r="FY1" s="50">
        <f ca="1">+Resultado!FY3</f>
        <v>2</v>
      </c>
      <c r="FZ1" s="50">
        <f ca="1">+Resultado!FZ3</f>
        <v>2</v>
      </c>
      <c r="GA1" s="50">
        <f ca="1">+Resultado!GA3</f>
        <v>3</v>
      </c>
      <c r="GB1" s="50">
        <f ca="1">+Resultado!GB3</f>
        <v>1</v>
      </c>
      <c r="GC1" s="50">
        <f ca="1">+Resultado!GC3</f>
        <v>1</v>
      </c>
      <c r="GD1" s="50">
        <f ca="1">+Resultado!GD3</f>
        <v>4</v>
      </c>
      <c r="GE1" s="50">
        <f ca="1">+Resultado!GE3</f>
        <v>1</v>
      </c>
      <c r="GF1" s="50">
        <f ca="1">+Resultado!GF3</f>
        <v>1</v>
      </c>
      <c r="GG1" s="50">
        <f ca="1">+Resultado!GG3</f>
        <v>3</v>
      </c>
      <c r="GH1" s="50">
        <f ca="1">+Resultado!GH3</f>
        <v>2</v>
      </c>
      <c r="GI1" s="50">
        <f ca="1">+Resultado!GI3</f>
        <v>1</v>
      </c>
      <c r="GJ1" s="50">
        <f ca="1">+Resultado!GJ3</f>
        <v>2</v>
      </c>
      <c r="GK1" s="50">
        <f ca="1">+Resultado!GK3</f>
        <v>1</v>
      </c>
      <c r="GL1" s="50">
        <f ca="1">+Resultado!GL3</f>
        <v>1</v>
      </c>
      <c r="GM1" s="50">
        <f ca="1">+Resultado!GM3</f>
        <v>1</v>
      </c>
      <c r="GN1" s="50">
        <f ca="1">+Resultado!GN3</f>
        <v>2</v>
      </c>
      <c r="GO1" s="50">
        <f ca="1">+Resultado!GO3</f>
        <v>2</v>
      </c>
      <c r="GP1" s="50">
        <f ca="1">+Resultado!GP3</f>
        <v>2</v>
      </c>
      <c r="GQ1" s="50">
        <f ca="1">+Resultado!GQ3</f>
        <v>2</v>
      </c>
      <c r="GR1" s="50" t="str">
        <f ca="1">+Resultado!GR3</f>
        <v>x</v>
      </c>
      <c r="GS1" s="50">
        <f ca="1">+Resultado!GS3</f>
        <v>3</v>
      </c>
      <c r="GT1" s="50">
        <f ca="1">+Resultado!GT3</f>
        <v>2</v>
      </c>
      <c r="GU1" s="50">
        <f ca="1">+Resultado!GU3</f>
        <v>1</v>
      </c>
      <c r="GV1" s="50">
        <f ca="1">+Resultado!GV3</f>
        <v>2</v>
      </c>
      <c r="GW1" s="50">
        <f ca="1">+Resultado!GW3</f>
        <v>2</v>
      </c>
      <c r="GX1" s="50" t="str">
        <f ca="1">+Resultado!GX3</f>
        <v>x</v>
      </c>
      <c r="GY1" s="50">
        <f ca="1">+Resultado!GY3</f>
        <v>2</v>
      </c>
      <c r="GZ1" s="50">
        <f ca="1">+Resultado!GZ3</f>
        <v>1</v>
      </c>
      <c r="HA1" s="50">
        <f ca="1">+Resultado!HA3</f>
        <v>1</v>
      </c>
      <c r="HB1" s="50">
        <f ca="1">+Resultado!HB3</f>
        <v>3</v>
      </c>
      <c r="HC1" s="50">
        <f ca="1">+Resultado!HC3</f>
        <v>1</v>
      </c>
      <c r="HD1" s="50">
        <f ca="1">+Resultado!HD3</f>
        <v>1</v>
      </c>
      <c r="HE1" s="50">
        <f ca="1">+Resultado!HE3</f>
        <v>1</v>
      </c>
      <c r="HF1" s="50">
        <f ca="1">+Resultado!HF3</f>
        <v>2</v>
      </c>
      <c r="HG1" s="50">
        <f ca="1">+Resultado!HG3</f>
        <v>2</v>
      </c>
      <c r="HH1" s="50">
        <f ca="1">+Resultado!HH3</f>
        <v>2</v>
      </c>
      <c r="HI1" s="50">
        <f ca="1">+Resultado!HI3</f>
        <v>1</v>
      </c>
      <c r="HJ1" s="50">
        <f ca="1">+Resultado!HJ3</f>
        <v>1</v>
      </c>
      <c r="HK1" s="50">
        <f ca="1">+Resultado!HK3</f>
        <v>3</v>
      </c>
      <c r="HL1" s="50">
        <f ca="1">+Resultado!HL3</f>
        <v>2</v>
      </c>
      <c r="HM1" s="50">
        <f ca="1">+Resultado!HM3</f>
        <v>1</v>
      </c>
      <c r="HN1" s="50">
        <f ca="1">+Resultado!HN3</f>
        <v>1</v>
      </c>
      <c r="HO1" s="50">
        <f ca="1">+Resultado!HO3</f>
        <v>3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>+GA2+1</f>
        <v>51</v>
      </c>
      <c r="GE2" s="111"/>
      <c r="GF2" s="111"/>
      <c r="GG2" s="111">
        <f>+GD2+1</f>
        <v>52</v>
      </c>
      <c r="GH2" s="111"/>
      <c r="GI2" s="111"/>
      <c r="GJ2" s="111">
        <f>+GG2+1</f>
        <v>53</v>
      </c>
      <c r="GK2" s="111"/>
      <c r="GL2" s="111"/>
      <c r="GM2" s="111">
        <f>+GJ2+1</f>
        <v>54</v>
      </c>
      <c r="GN2" s="111"/>
      <c r="GO2" s="111"/>
      <c r="GP2" s="111">
        <f>+GM2+1</f>
        <v>55</v>
      </c>
      <c r="GQ2" s="111"/>
      <c r="GR2" s="111"/>
      <c r="GS2" s="111">
        <f>+GP2+1</f>
        <v>56</v>
      </c>
      <c r="GT2" s="111"/>
      <c r="GU2" s="111"/>
      <c r="GV2" s="111">
        <f>+GS2+1</f>
        <v>57</v>
      </c>
      <c r="GW2" s="111"/>
      <c r="GX2" s="111"/>
      <c r="GY2" s="111">
        <f>+GV2+1</f>
        <v>58</v>
      </c>
      <c r="GZ2" s="111"/>
      <c r="HA2" s="111"/>
      <c r="HB2" s="111">
        <f>+GY2+1</f>
        <v>59</v>
      </c>
      <c r="HC2" s="111"/>
      <c r="HD2" s="111"/>
      <c r="HE2" s="111">
        <f>+HB2+1</f>
        <v>60</v>
      </c>
      <c r="HF2" s="111"/>
      <c r="HG2" s="111"/>
      <c r="HH2" s="111">
        <f>+HE2+1</f>
        <v>61</v>
      </c>
      <c r="HI2" s="111"/>
      <c r="HJ2" s="111"/>
      <c r="HK2" s="111">
        <f>+HH2+1</f>
        <v>62</v>
      </c>
      <c r="HL2" s="111"/>
      <c r="HM2" s="111"/>
      <c r="HN2" s="111">
        <f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1</v>
      </c>
      <c r="F3" s="147">
        <f ca="1">VLOOKUP(E2,Aux!$M:$AZ,10,0)</f>
        <v>2</v>
      </c>
      <c r="G3" s="147">
        <f ca="1">IF(OR(E3="",F3=""),"",IF(E3&gt;F3,1,IF(E3=F3,"x",2)))</f>
        <v>2</v>
      </c>
      <c r="H3" s="147">
        <f ca="1">VLOOKUP(H2,Aux!$M:$AZ,9,0)</f>
        <v>6</v>
      </c>
      <c r="I3" s="147">
        <f ca="1">VLOOKUP(H2,Aux!$M:$AZ,10,0)</f>
        <v>0</v>
      </c>
      <c r="J3" s="147">
        <f ca="1">IF(OR(H3="",I3=""),"",IF(H3&gt;I3,1,IF(H3=I3,"x",2)))</f>
        <v>1</v>
      </c>
      <c r="K3" s="147">
        <f ca="1">VLOOKUP(K2,Aux!$M:$AZ,9,0)</f>
        <v>2</v>
      </c>
      <c r="L3" s="147">
        <f ca="1">VLOOKUP(K2,Aux!$M:$AZ,10,0)</f>
        <v>1</v>
      </c>
      <c r="M3" s="147">
        <f ca="1">IF(OR(K3="",L3=""),"",IF(K3&gt;L3,1,IF(K3=L3,"x",2)))</f>
        <v>1</v>
      </c>
      <c r="N3" s="147">
        <f ca="1">VLOOKUP(N2,Aux!$M:$AZ,9,0)</f>
        <v>1</v>
      </c>
      <c r="O3" s="147">
        <f ca="1">VLOOKUP(N2,Aux!$M:$AZ,10,0)</f>
        <v>1</v>
      </c>
      <c r="P3" s="147" t="str">
        <f ca="1">IF(OR(N3="",O3=""),"",IF(N3&gt;O3,1,IF(N3=O3,"x",2)))</f>
        <v>x</v>
      </c>
      <c r="Q3" s="147">
        <f ca="1">VLOOKUP(Q2,Aux!$M:$AZ,9,0)</f>
        <v>1</v>
      </c>
      <c r="R3" s="147">
        <f ca="1">VLOOKUP(Q2,Aux!$M:$AZ,10,0)</f>
        <v>0</v>
      </c>
      <c r="S3" s="147">
        <f ca="1">IF(OR(Q3="",R3=""),"",IF(Q3&gt;R3,1,IF(Q3=R3,"x",2)))</f>
        <v>1</v>
      </c>
      <c r="T3" s="147">
        <f ca="1">VLOOKUP(T2,Aux!$M:$AZ,9,0)</f>
        <v>2</v>
      </c>
      <c r="U3" s="147">
        <f ca="1">VLOOKUP(T2,Aux!$M:$AZ,10,0)</f>
        <v>0</v>
      </c>
      <c r="V3" s="147">
        <f ca="1">IF(OR(T3="",U3=""),"",IF(T3&gt;U3,1,IF(T3=U3,"x",2)))</f>
        <v>1</v>
      </c>
      <c r="W3" s="147">
        <f ca="1">VLOOKUP(W2,Aux!$M:$AZ,9,0)</f>
        <v>1</v>
      </c>
      <c r="X3" s="147">
        <f ca="1">VLOOKUP(W2,Aux!$M:$AZ,10,0)</f>
        <v>1</v>
      </c>
      <c r="Y3" s="147" t="str">
        <f ca="1">IF(OR(W3="",X3=""),"",IF(W3&gt;X3,1,IF(W3=X3,"x",2)))</f>
        <v>x</v>
      </c>
      <c r="Z3" s="147">
        <f ca="1">VLOOKUP(Z2,Aux!$M:$AZ,9,0)</f>
        <v>3</v>
      </c>
      <c r="AA3" s="147">
        <f ca="1">VLOOKUP(Z2,Aux!$M:$AZ,10,0)</f>
        <v>0</v>
      </c>
      <c r="AB3" s="147">
        <f ca="1">IF(OR(Z3="",AA3=""),"",IF(Z3&gt;AA3,1,IF(Z3=AA3,"x",2)))</f>
        <v>1</v>
      </c>
      <c r="AC3" s="147">
        <f ca="1">VLOOKUP(AC2,Aux!$M:$AZ,9,0)</f>
        <v>1</v>
      </c>
      <c r="AD3" s="147">
        <f ca="1">VLOOKUP(AC2,Aux!$M:$AZ,10,0)</f>
        <v>3</v>
      </c>
      <c r="AE3" s="147">
        <f ca="1">IF(OR(AC3="",AD3=""),"",IF(AC3&gt;AD3,1,IF(AC3=AD3,"x",2)))</f>
        <v>2</v>
      </c>
      <c r="AF3" s="147">
        <f ca="1">VLOOKUP(AF2,Aux!$M:$AZ,9,0)</f>
        <v>1</v>
      </c>
      <c r="AG3" s="147">
        <f ca="1">VLOOKUP(AF2,Aux!$M:$AZ,10,0)</f>
        <v>1</v>
      </c>
      <c r="AH3" s="147" t="str">
        <f ca="1">IF(OR(AF3="",AG3=""),"",IF(AF3&gt;AG3,1,IF(AF3=AG3,"x",2)))</f>
        <v>x</v>
      </c>
      <c r="AI3" s="147">
        <f ca="1">VLOOKUP(AI2,Aux!$M:$AZ,9,0)</f>
        <v>2</v>
      </c>
      <c r="AJ3" s="147">
        <f ca="1">VLOOKUP(AI2,Aux!$M:$AZ,10,0)</f>
        <v>3</v>
      </c>
      <c r="AK3" s="147">
        <f ca="1">IF(OR(AI3="",AJ3=""),"",IF(AI3&gt;AJ3,1,IF(AI3=AJ3,"x",2)))</f>
        <v>2</v>
      </c>
      <c r="AL3" s="147">
        <f ca="1">VLOOKUP(AL2,Aux!$M:$AZ,9,0)</f>
        <v>0</v>
      </c>
      <c r="AM3" s="147">
        <f ca="1">VLOOKUP(AL2,Aux!$M:$AZ,10,0)</f>
        <v>2</v>
      </c>
      <c r="AN3" s="147">
        <f ca="1">IF(OR(AL3="",AM3=""),"",IF(AL3&gt;AM3,1,IF(AL3=AM3,"x",2)))</f>
        <v>2</v>
      </c>
      <c r="AO3" s="147">
        <f ca="1">VLOOKUP(AO2,Aux!$M:$AZ,9,0)</f>
        <v>5</v>
      </c>
      <c r="AP3" s="147">
        <f ca="1">VLOOKUP(AO2,Aux!$M:$AZ,10,0)</f>
        <v>1</v>
      </c>
      <c r="AQ3" s="147">
        <f ca="1">IF(OR(AO3="",AP3=""),"",IF(AO3&gt;AP3,1,IF(AO3=AP3,"x",2)))</f>
        <v>1</v>
      </c>
      <c r="AR3" s="147">
        <f ca="1">VLOOKUP(AR2,Aux!$M:$AZ,9,0)</f>
        <v>3</v>
      </c>
      <c r="AS3" s="147">
        <f ca="1">VLOOKUP(AR2,Aux!$M:$AZ,10,0)</f>
        <v>2</v>
      </c>
      <c r="AT3" s="147">
        <f ca="1">IF(OR(AR3="",AS3=""),"",IF(AR3&gt;AS3,1,IF(AR3=AS3,"x",2)))</f>
        <v>1</v>
      </c>
      <c r="AU3" s="147">
        <f ca="1">VLOOKUP(AU2,Aux!$M:$AZ,9,0)</f>
        <v>1</v>
      </c>
      <c r="AV3" s="147">
        <f ca="1">VLOOKUP(AU2,Aux!$M:$AZ,10,0)</f>
        <v>0</v>
      </c>
      <c r="AW3" s="147">
        <f ca="1">IF(OR(AU3="",AV3=""),"",IF(AU3&gt;AV3,1,IF(AU3=AV3,"x",2)))</f>
        <v>1</v>
      </c>
      <c r="AX3" s="147">
        <f ca="1">VLOOKUP(AX2,Aux!$M:$AZ,9,0)</f>
        <v>1</v>
      </c>
      <c r="AY3" s="147">
        <f ca="1">VLOOKUP(AX2,Aux!$M:$AZ,10,0)</f>
        <v>1</v>
      </c>
      <c r="AZ3" s="147" t="str">
        <f ca="1">IF(OR(AX3="",AY3=""),"",IF(AX3&gt;AY3,1,IF(AX3=AY3,"x",2)))</f>
        <v>x</v>
      </c>
      <c r="BA3" s="147">
        <f ca="1">VLOOKUP(BA2,Aux!$M:$AZ,9,0)</f>
        <v>3</v>
      </c>
      <c r="BB3" s="147">
        <f ca="1">VLOOKUP(BA2,Aux!$M:$AZ,10,0)</f>
        <v>0</v>
      </c>
      <c r="BC3" s="147">
        <f ca="1">IF(OR(BA3="",BB3=""),"",IF(BA3&gt;BB3,1,IF(BA3=BB3,"x",2)))</f>
        <v>1</v>
      </c>
      <c r="BD3" s="147">
        <f ca="1">VLOOKUP(BD2,Aux!$M:$AZ,9,0)</f>
        <v>1</v>
      </c>
      <c r="BE3" s="147">
        <f ca="1">VLOOKUP(BD2,Aux!$M:$AZ,10,0)</f>
        <v>2</v>
      </c>
      <c r="BF3" s="147">
        <f ca="1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2</v>
      </c>
      <c r="BI3" s="147">
        <f ca="1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0</v>
      </c>
      <c r="BL3" s="147">
        <f ca="1">IF(OR(BJ3="",BK3=""),"",IF(BJ3&gt;BK3,1,IF(BJ3=BK3,"x",2)))</f>
        <v>1</v>
      </c>
      <c r="BM3" s="147">
        <f ca="1">VLOOKUP(BM2,Aux!$M:$AZ,9,0)</f>
        <v>3</v>
      </c>
      <c r="BN3" s="147">
        <f ca="1">VLOOKUP(BM2,Aux!$M:$AZ,10,0)</f>
        <v>0</v>
      </c>
      <c r="BO3" s="147">
        <f ca="1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3</v>
      </c>
      <c r="BR3" s="147">
        <f ca="1">IF(OR(BP3="",BQ3=""),"",IF(BP3&gt;BQ3,1,IF(BP3=BQ3,"x",2)))</f>
        <v>2</v>
      </c>
      <c r="BS3" s="147">
        <f ca="1">VLOOKUP(BS2,Aux!$M:$AZ,9,0)</f>
        <v>1</v>
      </c>
      <c r="BT3" s="147">
        <f ca="1">VLOOKUP(BS2,Aux!$M:$AZ,10,0)</f>
        <v>1</v>
      </c>
      <c r="BU3" s="147" t="str">
        <f ca="1">IF(OR(BS3="",BT3=""),"",IF(BS3&gt;BT3,1,IF(BS3=BT3,"x",2)))</f>
        <v>x</v>
      </c>
      <c r="BV3" s="147">
        <f ca="1">VLOOKUP(BV2,Aux!$M:$AZ,9,0)</f>
        <v>3</v>
      </c>
      <c r="BW3" s="147">
        <f ca="1">VLOOKUP(BV2,Aux!$M:$AZ,10,0)</f>
        <v>1</v>
      </c>
      <c r="BX3" s="147">
        <f ca="1">IF(OR(BV3="",BW3=""),"",IF(BV3&gt;BW3,1,IF(BV3=BW3,"x",2)))</f>
        <v>1</v>
      </c>
      <c r="BY3" s="147">
        <f ca="1">VLOOKUP(BY2,Aux!$M:$AZ,9,0)</f>
        <v>1</v>
      </c>
      <c r="BZ3" s="147">
        <f ca="1">VLOOKUP(BY2,Aux!$M:$AZ,10,0)</f>
        <v>3</v>
      </c>
      <c r="CA3" s="147">
        <f ca="1">IF(OR(BY3="",BZ3=""),"",IF(BY3&gt;BZ3,1,IF(BY3=BZ3,"x",2)))</f>
        <v>2</v>
      </c>
      <c r="CB3" s="147">
        <f ca="1">VLOOKUP(CB2,Aux!$M:$AZ,9,0)</f>
        <v>2</v>
      </c>
      <c r="CC3" s="147">
        <f ca="1">VLOOKUP(CB2,Aux!$M:$AZ,10,0)</f>
        <v>0</v>
      </c>
      <c r="CD3" s="147">
        <f ca="1">IF(OR(CB3="",CC3=""),"",IF(CB3&gt;CC3,1,IF(CB3=CC3,"x",2)))</f>
        <v>1</v>
      </c>
      <c r="CE3" s="147">
        <f ca="1">VLOOKUP(CE2,Aux!$M:$AZ,9,0)</f>
        <v>2</v>
      </c>
      <c r="CF3" s="147">
        <f ca="1">VLOOKUP(CE2,Aux!$M:$AZ,10,0)</f>
        <v>1</v>
      </c>
      <c r="CG3" s="147">
        <f ca="1">IF(OR(CE3="",CF3=""),"",IF(CE3&gt;CF3,1,IF(CE3=CF3,"x",2)))</f>
        <v>1</v>
      </c>
      <c r="CH3" s="147">
        <f ca="1">VLOOKUP(CH2,Aux!$M:$AZ,9,0)</f>
        <v>1</v>
      </c>
      <c r="CI3" s="147">
        <f ca="1">VLOOKUP(CH2,Aux!$M:$AZ,10,0)</f>
        <v>0</v>
      </c>
      <c r="CJ3" s="147">
        <f ca="1">IF(OR(CH3="",CI3=""),"",IF(CH3&gt;CI3,1,IF(CH3=CI3,"x",2)))</f>
        <v>1</v>
      </c>
      <c r="CK3" s="147">
        <f ca="1">VLOOKUP(CK2,Aux!$M:$AZ,9,0)</f>
        <v>3</v>
      </c>
      <c r="CL3" s="147">
        <f ca="1">VLOOKUP(CK2,Aux!$M:$AZ,10,0)</f>
        <v>1</v>
      </c>
      <c r="CM3" s="147">
        <f ca="1">IF(OR(CK3="",CL3=""),"",IF(CK3&gt;CL3,1,IF(CK3=CL3,"x",2)))</f>
        <v>1</v>
      </c>
      <c r="CN3" s="147">
        <f ca="1">VLOOKUP(CN2,Aux!$M:$AZ,9,0)</f>
        <v>2</v>
      </c>
      <c r="CO3" s="147">
        <f ca="1">VLOOKUP(CN2,Aux!$M:$AZ,10,0)</f>
        <v>1</v>
      </c>
      <c r="CP3" s="147">
        <f ca="1">IF(OR(CN3="",CO3=""),"",IF(CN3&gt;CO3,1,IF(CN3=CO3,"x",2)))</f>
        <v>1</v>
      </c>
      <c r="CQ3" s="147">
        <f ca="1">VLOOKUP(CQ2,Aux!$M:$AZ,9,0)</f>
        <v>1</v>
      </c>
      <c r="CR3" s="147">
        <f ca="1">VLOOKUP(CQ2,Aux!$M:$AZ,10,0)</f>
        <v>1</v>
      </c>
      <c r="CS3" s="147" t="str">
        <f ca="1">IF(OR(CQ3="",CR3=""),"",IF(CQ3&gt;CR3,1,IF(CQ3=CR3,"x",2)))</f>
        <v>x</v>
      </c>
      <c r="CT3" s="147">
        <f ca="1">VLOOKUP(CT2,Aux!$M:$AZ,9,0)</f>
        <v>3</v>
      </c>
      <c r="CU3" s="147">
        <f ca="1">VLOOKUP(CT2,Aux!$M:$AZ,10,0)</f>
        <v>0</v>
      </c>
      <c r="CV3" s="147">
        <f ca="1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4</v>
      </c>
      <c r="CY3" s="147">
        <f ca="1">IF(OR(CW3="",CX3=""),"",IF(CW3&gt;CX3,1,IF(CW3=CX3,"x",2)))</f>
        <v>2</v>
      </c>
      <c r="CZ3" s="147">
        <f ca="1">VLOOKUP(CZ2,Aux!$M:$AZ,9,0)</f>
        <v>1</v>
      </c>
      <c r="DA3" s="147">
        <f ca="1">VLOOKUP(CZ2,Aux!$M:$AZ,10,0)</f>
        <v>0</v>
      </c>
      <c r="DB3" s="147">
        <f ca="1">IF(OR(CZ3="",DA3=""),"",IF(CZ3&gt;DA3,1,IF(CZ3=DA3,"x",2)))</f>
        <v>1</v>
      </c>
      <c r="DC3" s="147">
        <f ca="1">VLOOKUP(DC2,Aux!$M:$AZ,9,0)</f>
        <v>1</v>
      </c>
      <c r="DD3" s="147">
        <f ca="1">VLOOKUP(DC2,Aux!$M:$AZ,10,0)</f>
        <v>1</v>
      </c>
      <c r="DE3" s="147" t="str">
        <f ca="1">IF(OR(DC3="",DD3=""),"",IF(DC3&gt;DD3,1,IF(DC3=DD3,"x",2)))</f>
        <v>x</v>
      </c>
      <c r="DF3" s="147">
        <f ca="1">VLOOKUP(DF2,Aux!$M:$AZ,9,0)</f>
        <v>4</v>
      </c>
      <c r="DG3" s="147">
        <f ca="1">VLOOKUP(DF2,Aux!$M:$AZ,10,0)</f>
        <v>0</v>
      </c>
      <c r="DH3" s="147">
        <f ca="1">IF(OR(DF3="",DG3=""),"",IF(DF3&gt;DG3,1,IF(DF3=DG3,"x",2)))</f>
        <v>1</v>
      </c>
      <c r="DI3" s="147">
        <f ca="1">VLOOKUP(DI2,Aux!$M:$AZ,9,0)</f>
        <v>0</v>
      </c>
      <c r="DJ3" s="147">
        <f ca="1">VLOOKUP(DI2,Aux!$M:$AZ,10,0)</f>
        <v>1</v>
      </c>
      <c r="DK3" s="147">
        <f ca="1">IF(OR(DI3="",DJ3=""),"",IF(DI3&gt;DJ3,1,IF(DI3=DJ3,"x",2)))</f>
        <v>2</v>
      </c>
      <c r="DL3" s="147">
        <f ca="1">VLOOKUP(DL2,Aux!$M:$AZ,9,0)</f>
        <v>1</v>
      </c>
      <c r="DM3" s="147">
        <f ca="1">VLOOKUP(DL2,Aux!$M:$AZ,10,0)</f>
        <v>2</v>
      </c>
      <c r="DN3" s="147">
        <f ca="1">IF(OR(DL3="",DM3=""),"",IF(DL3&gt;DM3,1,IF(DL3=DM3,"x",2)))</f>
        <v>2</v>
      </c>
      <c r="DO3" s="147">
        <f ca="1">VLOOKUP(DO2,Aux!$M:$AZ,9,0)</f>
        <v>1</v>
      </c>
      <c r="DP3" s="147">
        <f ca="1">VLOOKUP(DO2,Aux!$M:$AZ,10,0)</f>
        <v>2</v>
      </c>
      <c r="DQ3" s="147">
        <f ca="1">IF(OR(DO3="",DP3=""),"",IF(DO3&gt;DP3,1,IF(DO3=DP3,"x",2)))</f>
        <v>2</v>
      </c>
      <c r="DR3" s="147">
        <f ca="1">VLOOKUP(DR2,Aux!$M:$AZ,9,0)</f>
        <v>1</v>
      </c>
      <c r="DS3" s="147">
        <f ca="1">VLOOKUP(DR2,Aux!$M:$AZ,10,0)</f>
        <v>4</v>
      </c>
      <c r="DT3" s="147">
        <f ca="1">IF(OR(DR3="",DS3=""),"",IF(DR3&gt;DS3,1,IF(DR3=DS3,"x",2)))</f>
        <v>2</v>
      </c>
      <c r="DU3" s="147">
        <f ca="1">VLOOKUP(DU2,Aux!$M:$AZ,9,0)</f>
        <v>2</v>
      </c>
      <c r="DV3" s="147">
        <f ca="1">VLOOKUP(DU2,Aux!$M:$AZ,10,0)</f>
        <v>0</v>
      </c>
      <c r="DW3" s="147">
        <f ca="1">IF(OR(DU3="",DV3=""),"",IF(DU3&gt;DV3,1,IF(DU3=DV3,"x",2)))</f>
        <v>1</v>
      </c>
      <c r="DX3" s="147">
        <f ca="1">VLOOKUP(DX2,Aux!$M:$AZ,9,0)</f>
        <v>2</v>
      </c>
      <c r="DY3" s="147">
        <f ca="1">VLOOKUP(DX2,Aux!$M:$AZ,10,0)</f>
        <v>4</v>
      </c>
      <c r="DZ3" s="147">
        <f ca="1">IF(OR(DX3="",DY3=""),"",IF(DX3&gt;DY3,1,IF(DX3=DY3,"x",2)))</f>
        <v>2</v>
      </c>
      <c r="EA3" s="147">
        <f ca="1">VLOOKUP(EA2,Aux!$M:$AZ,9,0)</f>
        <v>2</v>
      </c>
      <c r="EB3" s="147">
        <f ca="1">VLOOKUP(EA2,Aux!$M:$AZ,10,0)</f>
        <v>1</v>
      </c>
      <c r="EC3" s="147">
        <f ca="1">IF(OR(EA3="",EB3=""),"",IF(EA3&gt;EB3,1,IF(EA3=EB3,"x",2)))</f>
        <v>1</v>
      </c>
      <c r="ED3" s="147">
        <f ca="1">VLOOKUP(ED2,Aux!$M:$AZ,9,0)</f>
        <v>2</v>
      </c>
      <c r="EE3" s="147">
        <f ca="1">VLOOKUP(ED2,Aux!$M:$AZ,10,0)</f>
        <v>2</v>
      </c>
      <c r="EF3" s="147" t="str">
        <f ca="1">IF(OR(ED3="",EE3=""),"",IF(ED3&gt;EE3,1,IF(ED3=EE3,"x",2)))</f>
        <v>x</v>
      </c>
      <c r="EG3" s="147">
        <f ca="1">VLOOKUP(EG2,Aux!$M:$AZ,9,0)</f>
        <v>2</v>
      </c>
      <c r="EH3" s="147">
        <f ca="1">VLOOKUP(EG2,Aux!$M:$AZ,10,0)</f>
        <v>1</v>
      </c>
      <c r="EI3" s="147">
        <f ca="1">IF(OR(EG3="",EH3=""),"",IF(EG3&gt;EH3,1,IF(EG3=EH3,"x",2)))</f>
        <v>1</v>
      </c>
      <c r="EJ3" s="147">
        <f ca="1">VLOOKUP(EJ2,Aux!$M:$AZ,9,0)</f>
        <v>0</v>
      </c>
      <c r="EK3" s="147">
        <f ca="1">VLOOKUP(EJ2,Aux!$M:$AZ,10,0)</f>
        <v>1</v>
      </c>
      <c r="EL3" s="147">
        <f ca="1">IF(OR(EJ3="",EK3=""),"",IF(EJ3&gt;EK3,1,IF(EJ3=EK3,"x",2)))</f>
        <v>2</v>
      </c>
      <c r="EM3" s="147">
        <f ca="1">VLOOKUP(EM2,Aux!$M:$AZ,9,0)</f>
        <v>1</v>
      </c>
      <c r="EN3" s="147">
        <f ca="1">VLOOKUP(EM2,Aux!$M:$AZ,10,0)</f>
        <v>0</v>
      </c>
      <c r="EO3" s="147">
        <f ca="1">IF(OR(EM3="",EN3=""),"",IF(EM3&gt;EN3,1,IF(EM3=EN3,"x",2)))</f>
        <v>1</v>
      </c>
      <c r="EP3" s="147">
        <f ca="1">VLOOKUP(EP2,Aux!$M:$AZ,9,0)</f>
        <v>1</v>
      </c>
      <c r="EQ3" s="147">
        <f ca="1">VLOOKUP(EP2,Aux!$M:$AZ,10,0)</f>
        <v>4</v>
      </c>
      <c r="ER3" s="147">
        <f ca="1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Juventus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Palmeiras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Manchester City</v>
      </c>
      <c r="FH3" s="147" t="str" cm="1">
        <f t="array" aca="1" ref="FH3" ca="1">IF(INDIRECT(FH1&amp;"!AI10")&lt;3,"",INDIRECT(FH1&amp;"!T12"))</f>
        <v>Al-Hilal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Al-Hilal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Inter de Milán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Bayern Múnich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Paris Saint-Germain</v>
      </c>
      <c r="FX3" s="147">
        <f ca="1">VLOOKUP(FX2,Aux!$M:$AZ,9,0)</f>
        <v>1</v>
      </c>
      <c r="FY3" s="147">
        <f ca="1">VLOOKUP(FX2,Aux!$M:$AZ,10,0)</f>
        <v>2</v>
      </c>
      <c r="FZ3" s="147">
        <f ca="1">IF(OR(FX3="",FY3=""),"",IF(FX3&gt;FY3,1,IF(FX3=FY3,"x",2)))</f>
        <v>2</v>
      </c>
      <c r="GA3" s="147">
        <f ca="1">VLOOKUP(GA2,Aux!$M:$AZ,9,0)</f>
        <v>3</v>
      </c>
      <c r="GB3" s="147">
        <f ca="1">VLOOKUP(GA2,Aux!$M:$AZ,10,0)</f>
        <v>1</v>
      </c>
      <c r="GC3" s="147">
        <f ca="1">IF(OR(GA3="",GB3=""),"",IF(GA3&gt;GB3,1,IF(GA3=GB3,"x",2)))</f>
        <v>1</v>
      </c>
      <c r="GD3" s="147">
        <f ca="1">VLOOKUP(GD2,Aux!$M:$AZ,9,0)</f>
        <v>4</v>
      </c>
      <c r="GE3" s="147">
        <f ca="1">VLOOKUP(GD2,Aux!$M:$AZ,10,0)</f>
        <v>1</v>
      </c>
      <c r="GF3" s="147">
        <f ca="1">IF(OR(GD3="",GE3=""),"",IF(GD3&gt;GE3,1,IF(GD3=GE3,"x",2)))</f>
        <v>1</v>
      </c>
      <c r="GG3" s="147">
        <f ca="1">VLOOKUP(GG2,Aux!$M:$AZ,9,0)</f>
        <v>3</v>
      </c>
      <c r="GH3" s="147">
        <f ca="1">VLOOKUP(GG2,Aux!$M:$AZ,10,0)</f>
        <v>2</v>
      </c>
      <c r="GI3" s="147">
        <f ca="1">IF(OR(GG3="",GH3=""),"",IF(GG3&gt;GH3,1,IF(GG3=GH3,"x",2)))</f>
        <v>1</v>
      </c>
      <c r="GJ3" s="147">
        <f ca="1">VLOOKUP(GJ2,Aux!$M:$AZ,9,0)</f>
        <v>2</v>
      </c>
      <c r="GK3" s="147">
        <f ca="1">VLOOKUP(GJ2,Aux!$M:$AZ,10,0)</f>
        <v>1</v>
      </c>
      <c r="GL3" s="147">
        <f ca="1">IF(OR(GJ3="",GK3=""),"",IF(GJ3&gt;GK3,1,IF(GJ3=GK3,"x",2)))</f>
        <v>1</v>
      </c>
      <c r="GM3" s="147">
        <f ca="1">VLOOKUP(GM2,Aux!$M:$AZ,9,0)</f>
        <v>1</v>
      </c>
      <c r="GN3" s="147">
        <f ca="1">VLOOKUP(GM2,Aux!$M:$AZ,10,0)</f>
        <v>2</v>
      </c>
      <c r="GO3" s="147">
        <f ca="1">IF(OR(GM3="",GN3=""),"",IF(GM3&gt;GN3,1,IF(GM3=GN3,"x",2)))</f>
        <v>2</v>
      </c>
      <c r="GP3" s="147">
        <f ca="1">VLOOKUP(GP2,Aux!$M:$AZ,9,0)</f>
        <v>2</v>
      </c>
      <c r="GQ3" s="147">
        <f ca="1">VLOOKUP(GP2,Aux!$M:$AZ,10,0)</f>
        <v>2</v>
      </c>
      <c r="GR3" s="147" t="str">
        <f ca="1">IF(OR(GP3="",GQ3=""),"",IF(GP3&gt;GQ3,1,IF(GP3=GQ3,"x",2)))</f>
        <v>x</v>
      </c>
      <c r="GS3" s="147">
        <f ca="1">VLOOKUP(GS2,Aux!$M:$AZ,9,0)</f>
        <v>3</v>
      </c>
      <c r="GT3" s="147">
        <f ca="1">VLOOKUP(GS2,Aux!$M:$AZ,10,0)</f>
        <v>2</v>
      </c>
      <c r="GU3" s="147">
        <f ca="1">IF(OR(GS3="",GT3=""),"",IF(GS3&gt;GT3,1,IF(GS3=GT3,"x",2)))</f>
        <v>1</v>
      </c>
      <c r="GV3" s="147">
        <f ca="1">VLOOKUP(GV2,Aux!$M:$AZ,9,0)</f>
        <v>2</v>
      </c>
      <c r="GW3" s="147">
        <f ca="1">VLOOKUP(GV2,Aux!$M:$AZ,10,0)</f>
        <v>2</v>
      </c>
      <c r="GX3" s="147" t="str">
        <f ca="1">IF(OR(GV3="",GW3=""),"",IF(GV3&gt;GW3,1,IF(GV3=GW3,"x",2)))</f>
        <v>x</v>
      </c>
      <c r="GY3" s="147">
        <f ca="1">VLOOKUP(GY2,Aux!$M:$AZ,9,0)</f>
        <v>2</v>
      </c>
      <c r="GZ3" s="147">
        <f ca="1">VLOOKUP(GY2,Aux!$M:$AZ,10,0)</f>
        <v>1</v>
      </c>
      <c r="HA3" s="147">
        <f ca="1">IF(OR(GY3="",GZ3=""),"",IF(GY3&gt;GZ3,1,IF(GY3=GZ3,"x",2)))</f>
        <v>1</v>
      </c>
      <c r="HB3" s="147">
        <f ca="1">VLOOKUP(HB2,Aux!$M:$AZ,9,0)</f>
        <v>3</v>
      </c>
      <c r="HC3" s="147">
        <f ca="1">VLOOKUP(HB2,Aux!$M:$AZ,10,0)</f>
        <v>1</v>
      </c>
      <c r="HD3" s="147">
        <f ca="1">IF(OR(HB3="",HC3=""),"",IF(HB3&gt;HC3,1,IF(HB3=HC3,"x",2)))</f>
        <v>1</v>
      </c>
      <c r="HE3" s="147">
        <f ca="1">VLOOKUP(HE2,Aux!$M:$AZ,9,0)</f>
        <v>1</v>
      </c>
      <c r="HF3" s="147">
        <f ca="1">VLOOKUP(HE2,Aux!$M:$AZ,10,0)</f>
        <v>2</v>
      </c>
      <c r="HG3" s="147">
        <f ca="1">IF(OR(HE3="",HF3=""),"",IF(HE3&gt;HF3,1,IF(HE3=HF3,"x",2)))</f>
        <v>2</v>
      </c>
      <c r="HH3" s="147">
        <f ca="1">VLOOKUP(HH2,Aux!$M:$AZ,9,0)</f>
        <v>2</v>
      </c>
      <c r="HI3" s="147">
        <f ca="1">VLOOKUP(HH2,Aux!$M:$AZ,10,0)</f>
        <v>1</v>
      </c>
      <c r="HJ3" s="147">
        <f ca="1">IF(OR(HH3="",HI3=""),"",IF(HH3&gt;HI3,1,IF(HH3=HI3,"x",2)))</f>
        <v>1</v>
      </c>
      <c r="HK3" s="147">
        <f ca="1">VLOOKUP(HK2,Aux!$M:$AZ,9,0)</f>
        <v>3</v>
      </c>
      <c r="HL3" s="147">
        <f ca="1">VLOOKUP(HK2,Aux!$M:$AZ,10,0)</f>
        <v>2</v>
      </c>
      <c r="HM3" s="147">
        <f ca="1">IF(OR(HK3="",HL3=""),"",IF(HK3&gt;HL3,1,IF(HK3=HL3,"x",2)))</f>
        <v>1</v>
      </c>
      <c r="HN3" s="147">
        <f ca="1">VLOOKUP(HN2,Aux!$M:$AZ,9,0)</f>
        <v>1</v>
      </c>
      <c r="HO3" s="147">
        <f ca="1">VLOOKUP(HN2,Aux!$M:$AZ,10,0)</f>
        <v>3</v>
      </c>
      <c r="HP3" s="147">
        <f ca="1">IF(OR(HN3="",HO3=""),"",IF(HN3&gt;HO3,1,IF(HN3=HO3,"x",2)))</f>
        <v>2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7" t="s">
        <v>314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6" t="s">
        <v>317</v>
      </c>
      <c r="F3" s="316"/>
      <c r="G3" s="316"/>
      <c r="H3" s="316"/>
      <c r="I3" s="316"/>
      <c r="J3" s="316"/>
      <c r="K3" s="316"/>
      <c r="L3" s="316"/>
      <c r="M3" s="316"/>
      <c r="N3" s="316"/>
      <c r="O3" s="316"/>
      <c r="P3" s="316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>+SUM(AG20:AJ20)</f>
        <v>0</v>
      </c>
      <c r="AL20" s="269">
        <f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>+_xlfn.RANK.EQ(AL21,$AL$5:$AL$23)</f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>+SUM(X21:AE21)</f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>+SUM(AG21:AJ21)</f>
        <v>0</v>
      </c>
      <c r="AL21" s="269">
        <f>+IF(W21=0,0+ROW()/10000,AK21+AF21+ROW()/1000)</f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>+_xlfn.RANK.EQ(AL22,$AL$5:$AL$23)</f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>+SUM(X22:AE22)</f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>+SUM(AG22:AJ22)</f>
        <v>0</v>
      </c>
      <c r="AL22" s="269">
        <f>+IF(W22=0,0+ROW()/10000,AK22+AF22+ROW()/1000)</f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>+_xlfn.RANK.EQ(AL23,$AL$5:$AL$23)</f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>+SUM(X23:AE23)</f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>+SUM(AG23:AJ23)</f>
        <v>0</v>
      </c>
      <c r="AL23" s="269">
        <f>+IF(W23=0,0+ROW()/10000,AK23+AF23+ROW()/1000)</f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6" t="s">
        <v>134</v>
      </c>
    </row>
    <row r="29" spans="3:38" ht="14.25" customHeight="1" thickBot="1" x14ac:dyDescent="0.3">
      <c r="V29" s="297"/>
    </row>
    <row r="30" spans="3:38" x14ac:dyDescent="0.25">
      <c r="V30" s="298" t="s">
        <v>135</v>
      </c>
      <c r="W30" s="48"/>
    </row>
    <row r="31" spans="3:38" ht="15.75" thickBot="1" x14ac:dyDescent="0.3">
      <c r="V31" s="299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41" t="s">
        <v>318</v>
      </c>
      <c r="E5" s="341"/>
      <c r="F5" s="341"/>
      <c r="G5" s="341"/>
      <c r="H5" s="341"/>
      <c r="I5" s="341"/>
      <c r="J5" s="341"/>
      <c r="K5" s="341"/>
      <c r="L5" s="341"/>
      <c r="M5" s="341"/>
      <c r="N5" s="341"/>
      <c r="O5" s="341"/>
      <c r="P5" s="341"/>
      <c r="Q5" s="341"/>
      <c r="R5" s="341"/>
      <c r="S5" s="341"/>
      <c r="T5" s="341"/>
      <c r="U5" s="341"/>
      <c r="V5" s="341"/>
      <c r="W5" s="341"/>
      <c r="X5" s="341"/>
      <c r="Y5" s="341"/>
      <c r="Z5" s="341"/>
      <c r="AA5" s="341"/>
      <c r="AB5" s="341"/>
      <c r="AC5" s="341"/>
      <c r="AD5" s="341"/>
      <c r="AE5" s="341"/>
      <c r="AF5" s="341"/>
      <c r="AG5" s="341"/>
      <c r="AH5" s="341"/>
      <c r="AI5" s="341"/>
      <c r="AJ5" s="341"/>
      <c r="AK5" s="341"/>
      <c r="AL5" s="341"/>
      <c r="AM5" s="341"/>
      <c r="AN5" s="341"/>
      <c r="AO5" s="341"/>
      <c r="AP5" s="341"/>
      <c r="AQ5" s="341"/>
      <c r="AR5" s="341"/>
      <c r="AS5" s="341"/>
      <c r="AT5" s="341"/>
      <c r="AU5" s="341"/>
      <c r="AV5" s="80"/>
      <c r="AX5" s="134"/>
      <c r="AY5" s="326" t="s">
        <v>118</v>
      </c>
      <c r="AZ5" s="327"/>
      <c r="BA5" s="327"/>
      <c r="BB5" s="327"/>
      <c r="BC5" s="327"/>
      <c r="BD5" s="327"/>
      <c r="BE5" s="327"/>
      <c r="BF5" s="327"/>
      <c r="BG5" s="328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37" t="str">
        <f>"Grupo "&amp;VLOOKUP(I2,Aux!$M:$AZ,8,0)</f>
        <v>Grupo A</v>
      </c>
      <c r="E6" s="338"/>
      <c r="F6" s="338"/>
      <c r="G6" s="338"/>
      <c r="H6" s="338"/>
      <c r="I6" s="338"/>
      <c r="J6" s="338"/>
      <c r="K6" s="338"/>
      <c r="L6" s="338"/>
      <c r="M6" s="338"/>
      <c r="N6" s="339"/>
      <c r="O6" s="337" t="str">
        <f>"Grupo "&amp;VLOOKUP(T2,Aux!$M:$AZ,8,0)</f>
        <v>Grupo C</v>
      </c>
      <c r="P6" s="338"/>
      <c r="Q6" s="338"/>
      <c r="R6" s="338"/>
      <c r="S6" s="338"/>
      <c r="T6" s="338"/>
      <c r="U6" s="338"/>
      <c r="V6" s="338"/>
      <c r="W6" s="338"/>
      <c r="X6" s="338"/>
      <c r="Y6" s="339"/>
      <c r="Z6" s="337" t="str">
        <f>"Grupo "&amp;VLOOKUP(AE2,Aux!$M:$AZ,8,0)</f>
        <v>Grupo B</v>
      </c>
      <c r="AA6" s="338"/>
      <c r="AB6" s="338"/>
      <c r="AC6" s="338"/>
      <c r="AD6" s="338"/>
      <c r="AE6" s="338"/>
      <c r="AF6" s="338"/>
      <c r="AG6" s="338"/>
      <c r="AH6" s="338"/>
      <c r="AI6" s="338"/>
      <c r="AJ6" s="339"/>
      <c r="AK6" s="337" t="str">
        <f>"Grupo "&amp;VLOOKUP(AP2,Aux!$M:$AZ,8,0)</f>
        <v>Grupo A</v>
      </c>
      <c r="AL6" s="338"/>
      <c r="AM6" s="338"/>
      <c r="AN6" s="338"/>
      <c r="AO6" s="338"/>
      <c r="AP6" s="338"/>
      <c r="AQ6" s="338"/>
      <c r="AR6" s="338"/>
      <c r="AS6" s="338"/>
      <c r="AT6" s="338"/>
      <c r="AU6" s="339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3"/>
      <c r="E7" s="329" t="e" vm="5">
        <f>IFERROR(VLOOKUP(F7,Aux!$A:$X,8,0),"")</f>
        <v>#VALUE!</v>
      </c>
      <c r="F7" s="329" t="str">
        <f>VLOOKUP(I2,Aux!$M:$AZ,5,0)</f>
        <v>Al-Ahly</v>
      </c>
      <c r="G7" s="329" t="e" vm="6">
        <f>IFERROR(VLOOKUP(F7,Aux!$A:$C,3,0),"")</f>
        <v>#VALUE!</v>
      </c>
      <c r="H7" s="238"/>
      <c r="I7" s="237">
        <f>VLOOKUP(I2,Aux!$M:$AZ,3,0)</f>
        <v>45822.833333333336</v>
      </c>
      <c r="J7" s="332"/>
      <c r="K7" s="331" t="e" vm="7">
        <f>IFERROR(VLOOKUP(L7,Aux!$A:$C,3,0),"")</f>
        <v>#VALUE!</v>
      </c>
      <c r="L7" s="331" t="str">
        <f>VLOOKUP(I2,Aux!$M:$AZ,6,0)</f>
        <v>Inter Miami</v>
      </c>
      <c r="M7" s="331" t="e" vm="1">
        <f>IFERROR(VLOOKUP(L7,Aux!$A:$X,8,0),"")</f>
        <v>#VALUE!</v>
      </c>
      <c r="N7" s="335"/>
      <c r="O7" s="333"/>
      <c r="P7" s="329" t="e" vm="18">
        <f>IFERROR(VLOOKUP(Q7,Aux!$A:$X,8,0),"")</f>
        <v>#VALUE!</v>
      </c>
      <c r="Q7" s="329" t="str">
        <f>VLOOKUP(T2,Aux!$M:$AZ,5,0)</f>
        <v>Bayern Múnich</v>
      </c>
      <c r="R7" s="329" t="e" vm="19">
        <f>IFERROR(VLOOKUP(Q7,Aux!$A:$C,3,0),"")</f>
        <v>#VALUE!</v>
      </c>
      <c r="S7" s="238"/>
      <c r="T7" s="237">
        <f>VLOOKUP(T2,Aux!$M:$AZ,3,0)</f>
        <v>45823.5</v>
      </c>
      <c r="U7" s="332"/>
      <c r="V7" s="331" t="e" vm="20">
        <f>IFERROR(VLOOKUP(W7,Aux!$A:$C,3,0),"")</f>
        <v>#VALUE!</v>
      </c>
      <c r="W7" s="331" t="str">
        <f>VLOOKUP(T2,Aux!$M:$AZ,6,0)</f>
        <v>Auckland City</v>
      </c>
      <c r="X7" s="331" t="e" vm="21">
        <f>IFERROR(VLOOKUP(W7,Aux!$A:$X,8,0),"")</f>
        <v>#VALUE!</v>
      </c>
      <c r="Y7" s="335"/>
      <c r="Z7" s="333"/>
      <c r="AA7" s="329" t="e" vm="12">
        <f>IFERROR(VLOOKUP(AB7,Aux!$A:$X,8,0),"")</f>
        <v>#VALUE!</v>
      </c>
      <c r="AB7" s="329" t="str">
        <f>VLOOKUP(AE2,Aux!$M:$AZ,5,0)</f>
        <v>Paris Saint-Germain</v>
      </c>
      <c r="AC7" s="329" t="e" vm="13">
        <f>IFERROR(VLOOKUP(AB7,Aux!$A:$C,3,0),"")</f>
        <v>#VALUE!</v>
      </c>
      <c r="AD7" s="238"/>
      <c r="AE7" s="237">
        <f>VLOOKUP(AE2,Aux!$M:$AZ,3,0)</f>
        <v>45823.5</v>
      </c>
      <c r="AF7" s="332"/>
      <c r="AG7" s="331" t="e" vm="14">
        <f>IFERROR(VLOOKUP(AH7,Aux!$A:$C,3,0),"")</f>
        <v>#VALUE!</v>
      </c>
      <c r="AH7" s="331" t="str">
        <f>VLOOKUP(AE2,Aux!$M:$AZ,6,0)</f>
        <v>Atlético de Madrid</v>
      </c>
      <c r="AI7" s="331" t="e" vm="15">
        <f>IFERROR(VLOOKUP(AH7,Aux!$A:$X,8,0),"")</f>
        <v>#VALUE!</v>
      </c>
      <c r="AJ7" s="335"/>
      <c r="AK7" s="333"/>
      <c r="AL7" s="329" t="e" vm="8">
        <f>IFERROR(VLOOKUP(AM7,Aux!$A:$X,8,0),"")</f>
        <v>#VALUE!</v>
      </c>
      <c r="AM7" s="329" t="str">
        <f>VLOOKUP(AP2,Aux!$M:$AZ,5,0)</f>
        <v>Palmeiras</v>
      </c>
      <c r="AN7" s="329" t="e" vm="9">
        <f>IFERROR(VLOOKUP(AM7,Aux!$A:$C,3,0),"")</f>
        <v>#VALUE!</v>
      </c>
      <c r="AO7" s="238"/>
      <c r="AP7" s="237">
        <f>VLOOKUP(AP2,Aux!$M:$AZ,3,0)</f>
        <v>45823.75</v>
      </c>
      <c r="AQ7" s="332"/>
      <c r="AR7" s="331" t="e" vm="10">
        <f>IFERROR(VLOOKUP(AS7,Aux!$A:$C,3,0),"")</f>
        <v>#VALUE!</v>
      </c>
      <c r="AS7" s="331" t="str">
        <f>VLOOKUP(AP2,Aux!$M:$AZ,6,0)</f>
        <v>Porto</v>
      </c>
      <c r="AT7" s="331" t="e" vm="11">
        <f>IFERROR(VLOOKUP(AS7,Aux!$A:$X,8,0),"")</f>
        <v>#VALUE!</v>
      </c>
      <c r="AU7" s="335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4"/>
      <c r="E8" s="330"/>
      <c r="F8" s="330"/>
      <c r="G8" s="330"/>
      <c r="H8" s="239"/>
      <c r="I8" s="236">
        <f>+I7</f>
        <v>45822.833333333336</v>
      </c>
      <c r="J8" s="332"/>
      <c r="K8" s="331"/>
      <c r="L8" s="331"/>
      <c r="M8" s="331"/>
      <c r="N8" s="335"/>
      <c r="O8" s="334"/>
      <c r="P8" s="330"/>
      <c r="Q8" s="330"/>
      <c r="R8" s="330"/>
      <c r="S8" s="239"/>
      <c r="T8" s="236">
        <f>+T7</f>
        <v>45823.5</v>
      </c>
      <c r="U8" s="332"/>
      <c r="V8" s="331"/>
      <c r="W8" s="331"/>
      <c r="X8" s="331"/>
      <c r="Y8" s="335"/>
      <c r="Z8" s="334"/>
      <c r="AA8" s="330"/>
      <c r="AB8" s="330"/>
      <c r="AC8" s="330"/>
      <c r="AD8" s="239"/>
      <c r="AE8" s="236">
        <f>+AE7</f>
        <v>45823.5</v>
      </c>
      <c r="AF8" s="332"/>
      <c r="AG8" s="331"/>
      <c r="AH8" s="331"/>
      <c r="AI8" s="331"/>
      <c r="AJ8" s="335"/>
      <c r="AK8" s="334"/>
      <c r="AL8" s="330"/>
      <c r="AM8" s="330"/>
      <c r="AN8" s="330"/>
      <c r="AO8" s="239"/>
      <c r="AP8" s="236">
        <f>+AP7</f>
        <v>45823.75</v>
      </c>
      <c r="AQ8" s="332"/>
      <c r="AR8" s="331"/>
      <c r="AS8" s="331"/>
      <c r="AT8" s="331"/>
      <c r="AU8" s="335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6">
        <f ca="1">VLOOKUP(I2,Aux!$M:$AZ,9,0)</f>
        <v>1</v>
      </c>
      <c r="E9" s="336"/>
      <c r="F9" s="336"/>
      <c r="G9" s="336"/>
      <c r="H9" s="336"/>
      <c r="I9" s="232">
        <f ca="1">+IF(D9="","",IF(D9&gt;J9,1,IF(D9=J9,"X",2)))</f>
        <v>2</v>
      </c>
      <c r="J9" s="336">
        <f ca="1">VLOOKUP(I2,Aux!$M:$AZ,10,0)</f>
        <v>2</v>
      </c>
      <c r="K9" s="336"/>
      <c r="L9" s="336"/>
      <c r="M9" s="336"/>
      <c r="N9" s="336"/>
      <c r="O9" s="336">
        <f ca="1">VLOOKUP(T2,Aux!$M:$AZ,9,0)</f>
        <v>6</v>
      </c>
      <c r="P9" s="336"/>
      <c r="Q9" s="336"/>
      <c r="R9" s="336"/>
      <c r="S9" s="336"/>
      <c r="T9" s="232">
        <f ca="1">+IF(O9="","",IF(O9&gt;U9,1,IF(O9=U9,"X",2)))</f>
        <v>1</v>
      </c>
      <c r="U9" s="336">
        <f ca="1">VLOOKUP(T2,Aux!$M:$AZ,10,0)</f>
        <v>0</v>
      </c>
      <c r="V9" s="336"/>
      <c r="W9" s="336"/>
      <c r="X9" s="336"/>
      <c r="Y9" s="336"/>
      <c r="Z9" s="336">
        <f ca="1">VLOOKUP(AE2,Aux!$M:$AZ,9,0)</f>
        <v>2</v>
      </c>
      <c r="AA9" s="336"/>
      <c r="AB9" s="336"/>
      <c r="AC9" s="336"/>
      <c r="AD9" s="336"/>
      <c r="AE9" s="232">
        <f ca="1">+IF(Z9="","",IF(Z9&gt;AF9,1,IF(Z9=AF9,"X",2)))</f>
        <v>1</v>
      </c>
      <c r="AF9" s="336">
        <f ca="1">VLOOKUP(AE2,Aux!$M:$AZ,10,0)</f>
        <v>1</v>
      </c>
      <c r="AG9" s="336"/>
      <c r="AH9" s="336"/>
      <c r="AI9" s="336"/>
      <c r="AJ9" s="336"/>
      <c r="AK9" s="336">
        <f ca="1">VLOOKUP(AP2,Aux!$M:$AZ,9,0)</f>
        <v>1</v>
      </c>
      <c r="AL9" s="336"/>
      <c r="AM9" s="336"/>
      <c r="AN9" s="336"/>
      <c r="AO9" s="336"/>
      <c r="AP9" s="232" t="str">
        <f ca="1">+IF(AK9="","",IF(AK9&gt;AQ9,1,IF(AK9=AQ9,"X",2)))</f>
        <v>X</v>
      </c>
      <c r="AQ9" s="336">
        <f ca="1">VLOOKUP(AP2,Aux!$M:$AZ,10,0)</f>
        <v>1</v>
      </c>
      <c r="AR9" s="336"/>
      <c r="AS9" s="336"/>
      <c r="AT9" s="336"/>
      <c r="AU9" s="336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3" t="str">
        <f>IF($C11="","",INDEX(TotalApuestas!$A$1:$GL$50007,MATCH(Seguimiento!$C11,TotalApuestas!$B$1:$B$50007,0),MATCH(Seguimiento!I$2,Resultado!$2:$2,0)))</f>
        <v/>
      </c>
      <c r="E11" s="324"/>
      <c r="F11" s="324"/>
      <c r="G11" s="324"/>
      <c r="H11" s="324"/>
      <c r="I11" s="256" t="str">
        <f t="shared" ref="I11:I25" si="0">+IF(D11="","",IF(D11&gt;J11,1,IF(D11=J11,"X",2)))</f>
        <v/>
      </c>
      <c r="J11" s="324" t="str" cm="1">
        <f t="array" ref="J11">IF($C11="","",INDEX(TotalApuestas!$A$1:$GL$50007,MATCH(Seguimiento!$C11,TotalApuestas!$B$1:$B$50007,0),MATCH(Seguimiento!I$2,Resultado!$2:$2,0)+1))</f>
        <v/>
      </c>
      <c r="K11" s="324"/>
      <c r="L11" s="324"/>
      <c r="M11" s="324"/>
      <c r="N11" s="325"/>
      <c r="O11" s="323" t="str">
        <f>IF($C11="","",INDEX(TotalApuestas!$A$1:$GL$50007,MATCH(Seguimiento!$C11,TotalApuestas!$B$1:$B$50007,0),MATCH(Seguimiento!T$2,Resultado!$2:$2,0)))</f>
        <v/>
      </c>
      <c r="P11" s="324"/>
      <c r="Q11" s="324"/>
      <c r="R11" s="324"/>
      <c r="S11" s="324"/>
      <c r="T11" s="256" t="str">
        <f t="shared" ref="T11:T25" si="1">+IF(O11="","",IF(O11&gt;U11,1,IF(O11=U11,"X",2)))</f>
        <v/>
      </c>
      <c r="U11" s="324" t="str" cm="1">
        <f t="array" ref="U11">IF($C11="","",INDEX(TotalApuestas!$A$1:$GL$50007,MATCH(Seguimiento!$C11,TotalApuestas!$B$1:$B$50007,0),MATCH(Seguimiento!T$2,Resultado!$2:$2,0)+1))</f>
        <v/>
      </c>
      <c r="V11" s="324"/>
      <c r="W11" s="324"/>
      <c r="X11" s="324"/>
      <c r="Y11" s="325"/>
      <c r="Z11" s="323" t="str">
        <f>IF($C11="","",INDEX(TotalApuestas!$A$1:$GL$50007,MATCH(Seguimiento!$C11,TotalApuestas!$B$1:$B$50007,0),MATCH(Seguimiento!AE$2,Resultado!$2:$2,0)))</f>
        <v/>
      </c>
      <c r="AA11" s="324"/>
      <c r="AB11" s="324"/>
      <c r="AC11" s="324"/>
      <c r="AD11" s="324"/>
      <c r="AE11" s="256" t="str">
        <f t="shared" ref="AE11:AE25" si="2">+IF(Z11="","",IF(Z11&gt;AF11,1,IF(Z11=AF11,"X",2)))</f>
        <v/>
      </c>
      <c r="AF11" s="324" t="str" cm="1">
        <f t="array" ref="AF11">IF($C11="","",INDEX(TotalApuestas!$A$1:$GL$50007,MATCH(Seguimiento!$C11,TotalApuestas!$B$1:$B$50007,0),MATCH(Seguimiento!AE$2,Resultado!$2:$2,0)+1))</f>
        <v/>
      </c>
      <c r="AG11" s="324"/>
      <c r="AH11" s="324"/>
      <c r="AI11" s="324"/>
      <c r="AJ11" s="325"/>
      <c r="AK11" s="323" t="str">
        <f>IF($C11="","",INDEX(TotalApuestas!$A$1:$GL$50007,MATCH(Seguimiento!$C11,TotalApuestas!$B$1:$B$50007,0),MATCH(Seguimiento!AP$2,Resultado!$2:$2,0)))</f>
        <v/>
      </c>
      <c r="AL11" s="324"/>
      <c r="AM11" s="324"/>
      <c r="AN11" s="324"/>
      <c r="AO11" s="324"/>
      <c r="AP11" s="256" t="str">
        <f t="shared" ref="AP11:AP25" si="3">+IF(AK11="","",IF(AK11&gt;AQ11,1,IF(AK11=AQ11,"X",2)))</f>
        <v/>
      </c>
      <c r="AQ11" s="323" t="str" cm="1">
        <f t="array" ref="AQ11">IF($C11="","",INDEX(TotalApuestas!$A$1:$GL$50007,MATCH(Seguimiento!$C11,TotalApuestas!$B$1:$B$50007,0),MATCH(Seguimiento!AP$2,Resultado!$2:$2,0)+1))</f>
        <v/>
      </c>
      <c r="AR11" s="324"/>
      <c r="AS11" s="324"/>
      <c r="AT11" s="324"/>
      <c r="AU11" s="325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8" t="str">
        <f>IF($C12="","",INDEX(TotalApuestas!$A$1:$GL$50007,MATCH(Seguimiento!$C12,TotalApuestas!$B$1:$B$50007,0),MATCH(Seguimiento!I$2,Resultado!$2:$2,0)))</f>
        <v/>
      </c>
      <c r="E12" s="319"/>
      <c r="F12" s="319"/>
      <c r="G12" s="319"/>
      <c r="H12" s="319"/>
      <c r="I12" s="257" t="str">
        <f t="shared" si="0"/>
        <v/>
      </c>
      <c r="J12" s="319" t="str" cm="1">
        <f t="array" ref="J12">IF($C12="","",INDEX(TotalApuestas!$A$1:$GL$50007,MATCH(Seguimiento!$C12,TotalApuestas!$B$1:$B$50007,0),MATCH(Seguimiento!I$2,Resultado!$2:$2,0)+1))</f>
        <v/>
      </c>
      <c r="K12" s="319"/>
      <c r="L12" s="319"/>
      <c r="M12" s="319"/>
      <c r="N12" s="320"/>
      <c r="O12" s="318" t="str">
        <f>IF($C12="","",INDEX(TotalApuestas!$A$1:$GL$50007,MATCH(Seguimiento!$C12,TotalApuestas!$B$1:$B$50007,0),MATCH(Seguimiento!T$2,Resultado!$2:$2,0)))</f>
        <v/>
      </c>
      <c r="P12" s="319"/>
      <c r="Q12" s="319"/>
      <c r="R12" s="319"/>
      <c r="S12" s="319"/>
      <c r="T12" s="257" t="str">
        <f t="shared" si="1"/>
        <v/>
      </c>
      <c r="U12" s="319" t="str" cm="1">
        <f t="array" ref="U12">IF($C12="","",INDEX(TotalApuestas!$A$1:$GL$50007,MATCH(Seguimiento!$C12,TotalApuestas!$B$1:$B$50007,0),MATCH(Seguimiento!T$2,Resultado!$2:$2,0)+1))</f>
        <v/>
      </c>
      <c r="V12" s="319"/>
      <c r="W12" s="319"/>
      <c r="X12" s="319"/>
      <c r="Y12" s="320"/>
      <c r="Z12" s="318" t="str">
        <f>IF($C12="","",INDEX(TotalApuestas!$A$1:$GL$50007,MATCH(Seguimiento!$C12,TotalApuestas!$B$1:$B$50007,0),MATCH(Seguimiento!AE$2,Resultado!$2:$2,0)))</f>
        <v/>
      </c>
      <c r="AA12" s="319"/>
      <c r="AB12" s="319"/>
      <c r="AC12" s="319"/>
      <c r="AD12" s="319"/>
      <c r="AE12" s="257" t="str">
        <f t="shared" si="2"/>
        <v/>
      </c>
      <c r="AF12" s="319" t="str" cm="1">
        <f t="array" ref="AF12">IF($C12="","",INDEX(TotalApuestas!$A$1:$GL$50007,MATCH(Seguimiento!$C12,TotalApuestas!$B$1:$B$50007,0),MATCH(Seguimiento!AE$2,Resultado!$2:$2,0)+1))</f>
        <v/>
      </c>
      <c r="AG12" s="319"/>
      <c r="AH12" s="319"/>
      <c r="AI12" s="319"/>
      <c r="AJ12" s="320"/>
      <c r="AK12" s="318" t="str">
        <f>IF($C12="","",INDEX(TotalApuestas!$A$1:$GL$50007,MATCH(Seguimiento!$C12,TotalApuestas!$B$1:$B$50007,0),MATCH(Seguimiento!AP$2,Resultado!$2:$2,0)))</f>
        <v/>
      </c>
      <c r="AL12" s="319"/>
      <c r="AM12" s="319"/>
      <c r="AN12" s="319"/>
      <c r="AO12" s="319"/>
      <c r="AP12" s="257" t="str">
        <f t="shared" si="3"/>
        <v/>
      </c>
      <c r="AQ12" s="318" t="str" cm="1">
        <f t="array" ref="AQ12">IF($C12="","",INDEX(TotalApuestas!$A$1:$GL$50007,MATCH(Seguimiento!$C12,TotalApuestas!$B$1:$B$50007,0),MATCH(Seguimiento!AP$2,Resultado!$2:$2,0)+1))</f>
        <v/>
      </c>
      <c r="AR12" s="319"/>
      <c r="AS12" s="319"/>
      <c r="AT12" s="319"/>
      <c r="AU12" s="320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8" t="str">
        <f>IF($C13="","",INDEX(TotalApuestas!$A$1:$GL$50007,MATCH(Seguimiento!$C13,TotalApuestas!$B$1:$B$50007,0),MATCH(Seguimiento!I$2,Resultado!$2:$2,0)))</f>
        <v/>
      </c>
      <c r="E13" s="319"/>
      <c r="F13" s="319"/>
      <c r="G13" s="319"/>
      <c r="H13" s="319"/>
      <c r="I13" s="257" t="str">
        <f t="shared" si="0"/>
        <v/>
      </c>
      <c r="J13" s="319" t="str" cm="1">
        <f t="array" ref="J13">IF($C13="","",INDEX(TotalApuestas!$A$1:$GL$50007,MATCH(Seguimiento!$C13,TotalApuestas!$B$1:$B$50007,0),MATCH(Seguimiento!I$2,Resultado!$2:$2,0)+1))</f>
        <v/>
      </c>
      <c r="K13" s="319"/>
      <c r="L13" s="319"/>
      <c r="M13" s="319"/>
      <c r="N13" s="320"/>
      <c r="O13" s="318" t="str">
        <f>IF($C13="","",INDEX(TotalApuestas!$A$1:$GL$50007,MATCH(Seguimiento!$C13,TotalApuestas!$B$1:$B$50007,0),MATCH(Seguimiento!T$2,Resultado!$2:$2,0)))</f>
        <v/>
      </c>
      <c r="P13" s="319"/>
      <c r="Q13" s="319"/>
      <c r="R13" s="319"/>
      <c r="S13" s="319"/>
      <c r="T13" s="257" t="str">
        <f t="shared" si="1"/>
        <v/>
      </c>
      <c r="U13" s="319" t="str" cm="1">
        <f t="array" ref="U13">IF($C13="","",INDEX(TotalApuestas!$A$1:$GL$50007,MATCH(Seguimiento!$C13,TotalApuestas!$B$1:$B$50007,0),MATCH(Seguimiento!T$2,Resultado!$2:$2,0)+1))</f>
        <v/>
      </c>
      <c r="V13" s="319"/>
      <c r="W13" s="319"/>
      <c r="X13" s="319"/>
      <c r="Y13" s="320"/>
      <c r="Z13" s="318" t="str">
        <f>IF($C13="","",INDEX(TotalApuestas!$A$1:$GL$50007,MATCH(Seguimiento!$C13,TotalApuestas!$B$1:$B$50007,0),MATCH(Seguimiento!AE$2,Resultado!$2:$2,0)))</f>
        <v/>
      </c>
      <c r="AA13" s="319"/>
      <c r="AB13" s="319"/>
      <c r="AC13" s="319"/>
      <c r="AD13" s="319"/>
      <c r="AE13" s="257" t="str">
        <f t="shared" si="2"/>
        <v/>
      </c>
      <c r="AF13" s="319" t="str" cm="1">
        <f t="array" ref="AF13">IF($C13="","",INDEX(TotalApuestas!$A$1:$GL$50007,MATCH(Seguimiento!$C13,TotalApuestas!$B$1:$B$50007,0),MATCH(Seguimiento!AE$2,Resultado!$2:$2,0)+1))</f>
        <v/>
      </c>
      <c r="AG13" s="319"/>
      <c r="AH13" s="319"/>
      <c r="AI13" s="319"/>
      <c r="AJ13" s="320"/>
      <c r="AK13" s="318" t="str">
        <f>IF($C13="","",INDEX(TotalApuestas!$A$1:$GL$50007,MATCH(Seguimiento!$C13,TotalApuestas!$B$1:$B$50007,0),MATCH(Seguimiento!AP$2,Resultado!$2:$2,0)))</f>
        <v/>
      </c>
      <c r="AL13" s="319"/>
      <c r="AM13" s="319"/>
      <c r="AN13" s="319"/>
      <c r="AO13" s="319"/>
      <c r="AP13" s="257" t="str">
        <f t="shared" si="3"/>
        <v/>
      </c>
      <c r="AQ13" s="318" t="str" cm="1">
        <f t="array" ref="AQ13">IF($C13="","",INDEX(TotalApuestas!$A$1:$GL$50007,MATCH(Seguimiento!$C13,TotalApuestas!$B$1:$B$50007,0),MATCH(Seguimiento!AP$2,Resultado!$2:$2,0)+1))</f>
        <v/>
      </c>
      <c r="AR13" s="319"/>
      <c r="AS13" s="319"/>
      <c r="AT13" s="319"/>
      <c r="AU13" s="320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8" t="str">
        <f>IF($C14="","",INDEX(TotalApuestas!$A$1:$GL$50007,MATCH(Seguimiento!$C14,TotalApuestas!$B$1:$B$50007,0),MATCH(Seguimiento!I$2,Resultado!$2:$2,0)))</f>
        <v/>
      </c>
      <c r="E14" s="319"/>
      <c r="F14" s="319"/>
      <c r="G14" s="319"/>
      <c r="H14" s="319"/>
      <c r="I14" s="257" t="str">
        <f t="shared" si="0"/>
        <v/>
      </c>
      <c r="J14" s="319" t="str" cm="1">
        <f t="array" ref="J14">IF($C14="","",INDEX(TotalApuestas!$A$1:$GL$50007,MATCH(Seguimiento!$C14,TotalApuestas!$B$1:$B$50007,0),MATCH(Seguimiento!I$2,Resultado!$2:$2,0)+1))</f>
        <v/>
      </c>
      <c r="K14" s="319"/>
      <c r="L14" s="319"/>
      <c r="M14" s="319"/>
      <c r="N14" s="320"/>
      <c r="O14" s="318" t="str">
        <f>IF($C14="","",INDEX(TotalApuestas!$A$1:$GL$50007,MATCH(Seguimiento!$C14,TotalApuestas!$B$1:$B$50007,0),MATCH(Seguimiento!T$2,Resultado!$2:$2,0)))</f>
        <v/>
      </c>
      <c r="P14" s="319"/>
      <c r="Q14" s="319"/>
      <c r="R14" s="319"/>
      <c r="S14" s="319"/>
      <c r="T14" s="257" t="str">
        <f t="shared" si="1"/>
        <v/>
      </c>
      <c r="U14" s="319" t="str" cm="1">
        <f t="array" ref="U14">IF($C14="","",INDEX(TotalApuestas!$A$1:$GL$50007,MATCH(Seguimiento!$C14,TotalApuestas!$B$1:$B$50007,0),MATCH(Seguimiento!T$2,Resultado!$2:$2,0)+1))</f>
        <v/>
      </c>
      <c r="V14" s="319"/>
      <c r="W14" s="319"/>
      <c r="X14" s="319"/>
      <c r="Y14" s="320"/>
      <c r="Z14" s="318" t="str">
        <f>IF($C14="","",INDEX(TotalApuestas!$A$1:$GL$50007,MATCH(Seguimiento!$C14,TotalApuestas!$B$1:$B$50007,0),MATCH(Seguimiento!AE$2,Resultado!$2:$2,0)))</f>
        <v/>
      </c>
      <c r="AA14" s="319"/>
      <c r="AB14" s="319"/>
      <c r="AC14" s="319"/>
      <c r="AD14" s="319"/>
      <c r="AE14" s="257" t="str">
        <f t="shared" si="2"/>
        <v/>
      </c>
      <c r="AF14" s="319" t="str" cm="1">
        <f t="array" ref="AF14">IF($C14="","",INDEX(TotalApuestas!$A$1:$GL$50007,MATCH(Seguimiento!$C14,TotalApuestas!$B$1:$B$50007,0),MATCH(Seguimiento!AE$2,Resultado!$2:$2,0)+1))</f>
        <v/>
      </c>
      <c r="AG14" s="319"/>
      <c r="AH14" s="319"/>
      <c r="AI14" s="319"/>
      <c r="AJ14" s="320"/>
      <c r="AK14" s="318" t="str">
        <f>IF($C14="","",INDEX(TotalApuestas!$A$1:$GL$50007,MATCH(Seguimiento!$C14,TotalApuestas!$B$1:$B$50007,0),MATCH(Seguimiento!AP$2,Resultado!$2:$2,0)))</f>
        <v/>
      </c>
      <c r="AL14" s="319"/>
      <c r="AM14" s="319"/>
      <c r="AN14" s="319"/>
      <c r="AO14" s="319"/>
      <c r="AP14" s="257" t="str">
        <f t="shared" si="3"/>
        <v/>
      </c>
      <c r="AQ14" s="318" t="str" cm="1">
        <f t="array" ref="AQ14">IF($C14="","",INDEX(TotalApuestas!$A$1:$GL$50007,MATCH(Seguimiento!$C14,TotalApuestas!$B$1:$B$50007,0),MATCH(Seguimiento!AP$2,Resultado!$2:$2,0)+1))</f>
        <v/>
      </c>
      <c r="AR14" s="319"/>
      <c r="AS14" s="319"/>
      <c r="AT14" s="319"/>
      <c r="AU14" s="320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8" t="str">
        <f>IF($C15="","",INDEX(TotalApuestas!$A$1:$GL$50007,MATCH(Seguimiento!$C15,TotalApuestas!$B$1:$B$50007,0),MATCH(Seguimiento!I$2,Resultado!$2:$2,0)))</f>
        <v/>
      </c>
      <c r="E15" s="319"/>
      <c r="F15" s="319"/>
      <c r="G15" s="319"/>
      <c r="H15" s="319"/>
      <c r="I15" s="257" t="str">
        <f t="shared" ref="I15:I22" si="4">+IF(D15="","",IF(D15&gt;J15,1,IF(D15=J15,"X",2)))</f>
        <v/>
      </c>
      <c r="J15" s="319" t="str" cm="1">
        <f t="array" ref="J15">IF($C15="","",INDEX(TotalApuestas!$A$1:$GL$50007,MATCH(Seguimiento!$C15,TotalApuestas!$B$1:$B$50007,0),MATCH(Seguimiento!I$2,Resultado!$2:$2,0)+1))</f>
        <v/>
      </c>
      <c r="K15" s="319"/>
      <c r="L15" s="319"/>
      <c r="M15" s="319"/>
      <c r="N15" s="320"/>
      <c r="O15" s="318" t="str">
        <f>IF($C15="","",INDEX(TotalApuestas!$A$1:$GL$50007,MATCH(Seguimiento!$C15,TotalApuestas!$B$1:$B$50007,0),MATCH(Seguimiento!T$2,Resultado!$2:$2,0)))</f>
        <v/>
      </c>
      <c r="P15" s="319"/>
      <c r="Q15" s="319"/>
      <c r="R15" s="319"/>
      <c r="S15" s="319"/>
      <c r="T15" s="257" t="str">
        <f t="shared" ref="T15:T22" si="5">+IF(O15="","",IF(O15&gt;U15,1,IF(O15=U15,"X",2)))</f>
        <v/>
      </c>
      <c r="U15" s="319" t="str" cm="1">
        <f t="array" ref="U15">IF($C15="","",INDEX(TotalApuestas!$A$1:$GL$50007,MATCH(Seguimiento!$C15,TotalApuestas!$B$1:$B$50007,0),MATCH(Seguimiento!T$2,Resultado!$2:$2,0)+1))</f>
        <v/>
      </c>
      <c r="V15" s="319"/>
      <c r="W15" s="319"/>
      <c r="X15" s="319"/>
      <c r="Y15" s="320"/>
      <c r="Z15" s="318" t="str">
        <f>IF($C15="","",INDEX(TotalApuestas!$A$1:$GL$50007,MATCH(Seguimiento!$C15,TotalApuestas!$B$1:$B$50007,0),MATCH(Seguimiento!AE$2,Resultado!$2:$2,0)))</f>
        <v/>
      </c>
      <c r="AA15" s="319"/>
      <c r="AB15" s="319"/>
      <c r="AC15" s="319"/>
      <c r="AD15" s="319"/>
      <c r="AE15" s="257" t="str">
        <f t="shared" ref="AE15:AE22" si="6">+IF(Z15="","",IF(Z15&gt;AF15,1,IF(Z15=AF15,"X",2)))</f>
        <v/>
      </c>
      <c r="AF15" s="319" t="str" cm="1">
        <f t="array" ref="AF15">IF($C15="","",INDEX(TotalApuestas!$A$1:$GL$50007,MATCH(Seguimiento!$C15,TotalApuestas!$B$1:$B$50007,0),MATCH(Seguimiento!AE$2,Resultado!$2:$2,0)+1))</f>
        <v/>
      </c>
      <c r="AG15" s="319"/>
      <c r="AH15" s="319"/>
      <c r="AI15" s="319"/>
      <c r="AJ15" s="320"/>
      <c r="AK15" s="318" t="str">
        <f>IF($C15="","",INDEX(TotalApuestas!$A$1:$GL$50007,MATCH(Seguimiento!$C15,TotalApuestas!$B$1:$B$50007,0),MATCH(Seguimiento!AP$2,Resultado!$2:$2,0)))</f>
        <v/>
      </c>
      <c r="AL15" s="319"/>
      <c r="AM15" s="319"/>
      <c r="AN15" s="319"/>
      <c r="AO15" s="319"/>
      <c r="AP15" s="257" t="str">
        <f t="shared" ref="AP15:AP22" si="7">+IF(AK15="","",IF(AK15&gt;AQ15,1,IF(AK15=AQ15,"X",2)))</f>
        <v/>
      </c>
      <c r="AQ15" s="318" t="str" cm="1">
        <f t="array" ref="AQ15">IF($C15="","",INDEX(TotalApuestas!$A$1:$GL$50007,MATCH(Seguimiento!$C15,TotalApuestas!$B$1:$B$50007,0),MATCH(Seguimiento!AP$2,Resultado!$2:$2,0)+1))</f>
        <v/>
      </c>
      <c r="AR15" s="319"/>
      <c r="AS15" s="319"/>
      <c r="AT15" s="319"/>
      <c r="AU15" s="320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8" t="str">
        <f>IF($C16="","",INDEX(TotalApuestas!$A$1:$GL$50007,MATCH(Seguimiento!$C16,TotalApuestas!$B$1:$B$50007,0),MATCH(Seguimiento!I$2,Resultado!$2:$2,0)))</f>
        <v/>
      </c>
      <c r="E16" s="319"/>
      <c r="F16" s="319"/>
      <c r="G16" s="319"/>
      <c r="H16" s="319"/>
      <c r="I16" s="257" t="str">
        <f t="shared" si="4"/>
        <v/>
      </c>
      <c r="J16" s="319" t="str" cm="1">
        <f t="array" ref="J16">IF($C16="","",INDEX(TotalApuestas!$A$1:$GL$50007,MATCH(Seguimiento!$C16,TotalApuestas!$B$1:$B$50007,0),MATCH(Seguimiento!I$2,Resultado!$2:$2,0)+1))</f>
        <v/>
      </c>
      <c r="K16" s="319"/>
      <c r="L16" s="319"/>
      <c r="M16" s="319"/>
      <c r="N16" s="320"/>
      <c r="O16" s="318" t="str">
        <f>IF($C16="","",INDEX(TotalApuestas!$A$1:$GL$50007,MATCH(Seguimiento!$C16,TotalApuestas!$B$1:$B$50007,0),MATCH(Seguimiento!T$2,Resultado!$2:$2,0)))</f>
        <v/>
      </c>
      <c r="P16" s="319"/>
      <c r="Q16" s="319"/>
      <c r="R16" s="319"/>
      <c r="S16" s="319"/>
      <c r="T16" s="257" t="str">
        <f t="shared" si="5"/>
        <v/>
      </c>
      <c r="U16" s="319" t="str" cm="1">
        <f t="array" ref="U16">IF($C16="","",INDEX(TotalApuestas!$A$1:$GL$50007,MATCH(Seguimiento!$C16,TotalApuestas!$B$1:$B$50007,0),MATCH(Seguimiento!T$2,Resultado!$2:$2,0)+1))</f>
        <v/>
      </c>
      <c r="V16" s="319"/>
      <c r="W16" s="319"/>
      <c r="X16" s="319"/>
      <c r="Y16" s="320"/>
      <c r="Z16" s="318" t="str">
        <f>IF($C16="","",INDEX(TotalApuestas!$A$1:$GL$50007,MATCH(Seguimiento!$C16,TotalApuestas!$B$1:$B$50007,0),MATCH(Seguimiento!AE$2,Resultado!$2:$2,0)))</f>
        <v/>
      </c>
      <c r="AA16" s="319"/>
      <c r="AB16" s="319"/>
      <c r="AC16" s="319"/>
      <c r="AD16" s="319"/>
      <c r="AE16" s="257" t="str">
        <f t="shared" si="6"/>
        <v/>
      </c>
      <c r="AF16" s="319" t="str" cm="1">
        <f t="array" ref="AF16">IF($C16="","",INDEX(TotalApuestas!$A$1:$GL$50007,MATCH(Seguimiento!$C16,TotalApuestas!$B$1:$B$50007,0),MATCH(Seguimiento!AE$2,Resultado!$2:$2,0)+1))</f>
        <v/>
      </c>
      <c r="AG16" s="319"/>
      <c r="AH16" s="319"/>
      <c r="AI16" s="319"/>
      <c r="AJ16" s="320"/>
      <c r="AK16" s="318" t="str">
        <f>IF($C16="","",INDEX(TotalApuestas!$A$1:$GL$50007,MATCH(Seguimiento!$C16,TotalApuestas!$B$1:$B$50007,0),MATCH(Seguimiento!AP$2,Resultado!$2:$2,0)))</f>
        <v/>
      </c>
      <c r="AL16" s="319"/>
      <c r="AM16" s="319"/>
      <c r="AN16" s="319"/>
      <c r="AO16" s="319"/>
      <c r="AP16" s="257" t="str">
        <f t="shared" si="7"/>
        <v/>
      </c>
      <c r="AQ16" s="318" t="str" cm="1">
        <f t="array" ref="AQ16">IF($C16="","",INDEX(TotalApuestas!$A$1:$GL$50007,MATCH(Seguimiento!$C16,TotalApuestas!$B$1:$B$50007,0),MATCH(Seguimiento!AP$2,Resultado!$2:$2,0)+1))</f>
        <v/>
      </c>
      <c r="AR16" s="319"/>
      <c r="AS16" s="319"/>
      <c r="AT16" s="319"/>
      <c r="AU16" s="320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8" t="str">
        <f>IF($C17="","",INDEX(TotalApuestas!$A$1:$GL$50007,MATCH(Seguimiento!$C17,TotalApuestas!$B$1:$B$50007,0),MATCH(Seguimiento!I$2,Resultado!$2:$2,0)))</f>
        <v/>
      </c>
      <c r="E17" s="319"/>
      <c r="F17" s="319"/>
      <c r="G17" s="319"/>
      <c r="H17" s="319"/>
      <c r="I17" s="257" t="str">
        <f t="shared" si="4"/>
        <v/>
      </c>
      <c r="J17" s="319" t="str" cm="1">
        <f t="array" ref="J17">IF($C17="","",INDEX(TotalApuestas!$A$1:$GL$50007,MATCH(Seguimiento!$C17,TotalApuestas!$B$1:$B$50007,0),MATCH(Seguimiento!I$2,Resultado!$2:$2,0)+1))</f>
        <v/>
      </c>
      <c r="K17" s="319"/>
      <c r="L17" s="319"/>
      <c r="M17" s="319"/>
      <c r="N17" s="320"/>
      <c r="O17" s="318" t="str">
        <f>IF($C17="","",INDEX(TotalApuestas!$A$1:$GL$50007,MATCH(Seguimiento!$C17,TotalApuestas!$B$1:$B$50007,0),MATCH(Seguimiento!T$2,Resultado!$2:$2,0)))</f>
        <v/>
      </c>
      <c r="P17" s="319"/>
      <c r="Q17" s="319"/>
      <c r="R17" s="319"/>
      <c r="S17" s="319"/>
      <c r="T17" s="257" t="str">
        <f t="shared" si="5"/>
        <v/>
      </c>
      <c r="U17" s="319" t="str" cm="1">
        <f t="array" ref="U17">IF($C17="","",INDEX(TotalApuestas!$A$1:$GL$50007,MATCH(Seguimiento!$C17,TotalApuestas!$B$1:$B$50007,0),MATCH(Seguimiento!T$2,Resultado!$2:$2,0)+1))</f>
        <v/>
      </c>
      <c r="V17" s="319"/>
      <c r="W17" s="319"/>
      <c r="X17" s="319"/>
      <c r="Y17" s="320"/>
      <c r="Z17" s="318" t="str">
        <f>IF($C17="","",INDEX(TotalApuestas!$A$1:$GL$50007,MATCH(Seguimiento!$C17,TotalApuestas!$B$1:$B$50007,0),MATCH(Seguimiento!AE$2,Resultado!$2:$2,0)))</f>
        <v/>
      </c>
      <c r="AA17" s="319"/>
      <c r="AB17" s="319"/>
      <c r="AC17" s="319"/>
      <c r="AD17" s="319"/>
      <c r="AE17" s="257" t="str">
        <f t="shared" si="6"/>
        <v/>
      </c>
      <c r="AF17" s="319" t="str" cm="1">
        <f t="array" ref="AF17">IF($C17="","",INDEX(TotalApuestas!$A$1:$GL$50007,MATCH(Seguimiento!$C17,TotalApuestas!$B$1:$B$50007,0),MATCH(Seguimiento!AE$2,Resultado!$2:$2,0)+1))</f>
        <v/>
      </c>
      <c r="AG17" s="319"/>
      <c r="AH17" s="319"/>
      <c r="AI17" s="319"/>
      <c r="AJ17" s="320"/>
      <c r="AK17" s="318" t="str">
        <f>IF($C17="","",INDEX(TotalApuestas!$A$1:$GL$50007,MATCH(Seguimiento!$C17,TotalApuestas!$B$1:$B$50007,0),MATCH(Seguimiento!AP$2,Resultado!$2:$2,0)))</f>
        <v/>
      </c>
      <c r="AL17" s="319"/>
      <c r="AM17" s="319"/>
      <c r="AN17" s="319"/>
      <c r="AO17" s="319"/>
      <c r="AP17" s="257" t="str">
        <f t="shared" si="7"/>
        <v/>
      </c>
      <c r="AQ17" s="318" t="str" cm="1">
        <f t="array" ref="AQ17">IF($C17="","",INDEX(TotalApuestas!$A$1:$GL$50007,MATCH(Seguimiento!$C17,TotalApuestas!$B$1:$B$50007,0),MATCH(Seguimiento!AP$2,Resultado!$2:$2,0)+1))</f>
        <v/>
      </c>
      <c r="AR17" s="319"/>
      <c r="AS17" s="319"/>
      <c r="AT17" s="319"/>
      <c r="AU17" s="320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8" t="str">
        <f>IF($C18="","",INDEX(TotalApuestas!$A$1:$GL$50007,MATCH(Seguimiento!$C18,TotalApuestas!$B$1:$B$50007,0),MATCH(Seguimiento!I$2,Resultado!$2:$2,0)))</f>
        <v/>
      </c>
      <c r="E18" s="319"/>
      <c r="F18" s="319"/>
      <c r="G18" s="319"/>
      <c r="H18" s="319"/>
      <c r="I18" s="257" t="str">
        <f t="shared" si="4"/>
        <v/>
      </c>
      <c r="J18" s="319" t="str" cm="1">
        <f t="array" ref="J18">IF($C18="","",INDEX(TotalApuestas!$A$1:$GL$50007,MATCH(Seguimiento!$C18,TotalApuestas!$B$1:$B$50007,0),MATCH(Seguimiento!I$2,Resultado!$2:$2,0)+1))</f>
        <v/>
      </c>
      <c r="K18" s="319"/>
      <c r="L18" s="319"/>
      <c r="M18" s="319"/>
      <c r="N18" s="320"/>
      <c r="O18" s="318" t="str">
        <f>IF($C18="","",INDEX(TotalApuestas!$A$1:$GL$50007,MATCH(Seguimiento!$C18,TotalApuestas!$B$1:$B$50007,0),MATCH(Seguimiento!T$2,Resultado!$2:$2,0)))</f>
        <v/>
      </c>
      <c r="P18" s="319"/>
      <c r="Q18" s="319"/>
      <c r="R18" s="319"/>
      <c r="S18" s="319"/>
      <c r="T18" s="257" t="str">
        <f t="shared" si="5"/>
        <v/>
      </c>
      <c r="U18" s="319" t="str" cm="1">
        <f t="array" ref="U18">IF($C18="","",INDEX(TotalApuestas!$A$1:$GL$50007,MATCH(Seguimiento!$C18,TotalApuestas!$B$1:$B$50007,0),MATCH(Seguimiento!T$2,Resultado!$2:$2,0)+1))</f>
        <v/>
      </c>
      <c r="V18" s="319"/>
      <c r="W18" s="319"/>
      <c r="X18" s="319"/>
      <c r="Y18" s="320"/>
      <c r="Z18" s="318" t="str">
        <f>IF($C18="","",INDEX(TotalApuestas!$A$1:$GL$50007,MATCH(Seguimiento!$C18,TotalApuestas!$B$1:$B$50007,0),MATCH(Seguimiento!AE$2,Resultado!$2:$2,0)))</f>
        <v/>
      </c>
      <c r="AA18" s="319"/>
      <c r="AB18" s="319"/>
      <c r="AC18" s="319"/>
      <c r="AD18" s="319"/>
      <c r="AE18" s="257" t="str">
        <f t="shared" si="6"/>
        <v/>
      </c>
      <c r="AF18" s="319" t="str" cm="1">
        <f t="array" ref="AF18">IF($C18="","",INDEX(TotalApuestas!$A$1:$GL$50007,MATCH(Seguimiento!$C18,TotalApuestas!$B$1:$B$50007,0),MATCH(Seguimiento!AE$2,Resultado!$2:$2,0)+1))</f>
        <v/>
      </c>
      <c r="AG18" s="319"/>
      <c r="AH18" s="319"/>
      <c r="AI18" s="319"/>
      <c r="AJ18" s="320"/>
      <c r="AK18" s="318" t="str">
        <f>IF($C18="","",INDEX(TotalApuestas!$A$1:$GL$50007,MATCH(Seguimiento!$C18,TotalApuestas!$B$1:$B$50007,0),MATCH(Seguimiento!AP$2,Resultado!$2:$2,0)))</f>
        <v/>
      </c>
      <c r="AL18" s="319"/>
      <c r="AM18" s="319"/>
      <c r="AN18" s="319"/>
      <c r="AO18" s="319"/>
      <c r="AP18" s="257" t="str">
        <f t="shared" si="7"/>
        <v/>
      </c>
      <c r="AQ18" s="318" t="str" cm="1">
        <f t="array" ref="AQ18">IF($C18="","",INDEX(TotalApuestas!$A$1:$GL$50007,MATCH(Seguimiento!$C18,TotalApuestas!$B$1:$B$50007,0),MATCH(Seguimiento!AP$2,Resultado!$2:$2,0)+1))</f>
        <v/>
      </c>
      <c r="AR18" s="319"/>
      <c r="AS18" s="319"/>
      <c r="AT18" s="319"/>
      <c r="AU18" s="320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8" t="str">
        <f>IF($C19="","",INDEX(TotalApuestas!$A$1:$GL$50007,MATCH(Seguimiento!$C19,TotalApuestas!$B$1:$B$50007,0),MATCH(Seguimiento!I$2,Resultado!$2:$2,0)))</f>
        <v/>
      </c>
      <c r="E19" s="319"/>
      <c r="F19" s="319"/>
      <c r="G19" s="319"/>
      <c r="H19" s="319"/>
      <c r="I19" s="257" t="str">
        <f t="shared" si="4"/>
        <v/>
      </c>
      <c r="J19" s="319" t="str" cm="1">
        <f t="array" ref="J19">IF($C19="","",INDEX(TotalApuestas!$A$1:$GL$50007,MATCH(Seguimiento!$C19,TotalApuestas!$B$1:$B$50007,0),MATCH(Seguimiento!I$2,Resultado!$2:$2,0)+1))</f>
        <v/>
      </c>
      <c r="K19" s="319"/>
      <c r="L19" s="319"/>
      <c r="M19" s="319"/>
      <c r="N19" s="320"/>
      <c r="O19" s="318" t="str">
        <f>IF($C19="","",INDEX(TotalApuestas!$A$1:$GL$50007,MATCH(Seguimiento!$C19,TotalApuestas!$B$1:$B$50007,0),MATCH(Seguimiento!T$2,Resultado!$2:$2,0)))</f>
        <v/>
      </c>
      <c r="P19" s="319"/>
      <c r="Q19" s="319"/>
      <c r="R19" s="319"/>
      <c r="S19" s="319"/>
      <c r="T19" s="257" t="str">
        <f t="shared" si="5"/>
        <v/>
      </c>
      <c r="U19" s="319" t="str" cm="1">
        <f t="array" ref="U19">IF($C19="","",INDEX(TotalApuestas!$A$1:$GL$50007,MATCH(Seguimiento!$C19,TotalApuestas!$B$1:$B$50007,0),MATCH(Seguimiento!T$2,Resultado!$2:$2,0)+1))</f>
        <v/>
      </c>
      <c r="V19" s="319"/>
      <c r="W19" s="319"/>
      <c r="X19" s="319"/>
      <c r="Y19" s="320"/>
      <c r="Z19" s="318" t="str">
        <f>IF($C19="","",INDEX(TotalApuestas!$A$1:$GL$50007,MATCH(Seguimiento!$C19,TotalApuestas!$B$1:$B$50007,0),MATCH(Seguimiento!AE$2,Resultado!$2:$2,0)))</f>
        <v/>
      </c>
      <c r="AA19" s="319"/>
      <c r="AB19" s="319"/>
      <c r="AC19" s="319"/>
      <c r="AD19" s="319"/>
      <c r="AE19" s="257" t="str">
        <f t="shared" si="6"/>
        <v/>
      </c>
      <c r="AF19" s="319" t="str" cm="1">
        <f t="array" ref="AF19">IF($C19="","",INDEX(TotalApuestas!$A$1:$GL$50007,MATCH(Seguimiento!$C19,TotalApuestas!$B$1:$B$50007,0),MATCH(Seguimiento!AE$2,Resultado!$2:$2,0)+1))</f>
        <v/>
      </c>
      <c r="AG19" s="319"/>
      <c r="AH19" s="319"/>
      <c r="AI19" s="319"/>
      <c r="AJ19" s="320"/>
      <c r="AK19" s="318" t="str">
        <f>IF($C19="","",INDEX(TotalApuestas!$A$1:$GL$50007,MATCH(Seguimiento!$C19,TotalApuestas!$B$1:$B$50007,0),MATCH(Seguimiento!AP$2,Resultado!$2:$2,0)))</f>
        <v/>
      </c>
      <c r="AL19" s="319"/>
      <c r="AM19" s="319"/>
      <c r="AN19" s="319"/>
      <c r="AO19" s="319"/>
      <c r="AP19" s="257" t="str">
        <f t="shared" si="7"/>
        <v/>
      </c>
      <c r="AQ19" s="318" t="str" cm="1">
        <f t="array" ref="AQ19">IF($C19="","",INDEX(TotalApuestas!$A$1:$GL$50007,MATCH(Seguimiento!$C19,TotalApuestas!$B$1:$B$50007,0),MATCH(Seguimiento!AP$2,Resultado!$2:$2,0)+1))</f>
        <v/>
      </c>
      <c r="AR19" s="319"/>
      <c r="AS19" s="319"/>
      <c r="AT19" s="319"/>
      <c r="AU19" s="320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8" t="str">
        <f>IF($C20="","",INDEX(TotalApuestas!$A$1:$GL$50007,MATCH(Seguimiento!$C20,TotalApuestas!$B$1:$B$50007,0),MATCH(Seguimiento!I$2,Resultado!$2:$2,0)))</f>
        <v/>
      </c>
      <c r="E20" s="319"/>
      <c r="F20" s="319"/>
      <c r="G20" s="319"/>
      <c r="H20" s="319"/>
      <c r="I20" s="257" t="str">
        <f t="shared" si="4"/>
        <v/>
      </c>
      <c r="J20" s="319" t="str" cm="1">
        <f t="array" ref="J20">IF($C20="","",INDEX(TotalApuestas!$A$1:$GL$50007,MATCH(Seguimiento!$C20,TotalApuestas!$B$1:$B$50007,0),MATCH(Seguimiento!I$2,Resultado!$2:$2,0)+1))</f>
        <v/>
      </c>
      <c r="K20" s="319"/>
      <c r="L20" s="319"/>
      <c r="M20" s="319"/>
      <c r="N20" s="320"/>
      <c r="O20" s="318" t="str">
        <f>IF($C20="","",INDEX(TotalApuestas!$A$1:$GL$50007,MATCH(Seguimiento!$C20,TotalApuestas!$B$1:$B$50007,0),MATCH(Seguimiento!T$2,Resultado!$2:$2,0)))</f>
        <v/>
      </c>
      <c r="P20" s="319"/>
      <c r="Q20" s="319"/>
      <c r="R20" s="319"/>
      <c r="S20" s="319"/>
      <c r="T20" s="257" t="str">
        <f t="shared" si="5"/>
        <v/>
      </c>
      <c r="U20" s="319" t="str" cm="1">
        <f t="array" ref="U20">IF($C20="","",INDEX(TotalApuestas!$A$1:$GL$50007,MATCH(Seguimiento!$C20,TotalApuestas!$B$1:$B$50007,0),MATCH(Seguimiento!T$2,Resultado!$2:$2,0)+1))</f>
        <v/>
      </c>
      <c r="V20" s="319"/>
      <c r="W20" s="319"/>
      <c r="X20" s="319"/>
      <c r="Y20" s="320"/>
      <c r="Z20" s="318" t="str">
        <f>IF($C20="","",INDEX(TotalApuestas!$A$1:$GL$50007,MATCH(Seguimiento!$C20,TotalApuestas!$B$1:$B$50007,0),MATCH(Seguimiento!AE$2,Resultado!$2:$2,0)))</f>
        <v/>
      </c>
      <c r="AA20" s="319"/>
      <c r="AB20" s="319"/>
      <c r="AC20" s="319"/>
      <c r="AD20" s="319"/>
      <c r="AE20" s="257" t="str">
        <f t="shared" si="6"/>
        <v/>
      </c>
      <c r="AF20" s="319" t="str" cm="1">
        <f t="array" ref="AF20">IF($C20="","",INDEX(TotalApuestas!$A$1:$GL$50007,MATCH(Seguimiento!$C20,TotalApuestas!$B$1:$B$50007,0),MATCH(Seguimiento!AE$2,Resultado!$2:$2,0)+1))</f>
        <v/>
      </c>
      <c r="AG20" s="319"/>
      <c r="AH20" s="319"/>
      <c r="AI20" s="319"/>
      <c r="AJ20" s="320"/>
      <c r="AK20" s="318" t="str">
        <f>IF($C20="","",INDEX(TotalApuestas!$A$1:$GL$50007,MATCH(Seguimiento!$C20,TotalApuestas!$B$1:$B$50007,0),MATCH(Seguimiento!AP$2,Resultado!$2:$2,0)))</f>
        <v/>
      </c>
      <c r="AL20" s="319"/>
      <c r="AM20" s="319"/>
      <c r="AN20" s="319"/>
      <c r="AO20" s="319"/>
      <c r="AP20" s="257" t="str">
        <f t="shared" si="7"/>
        <v/>
      </c>
      <c r="AQ20" s="318" t="str" cm="1">
        <f t="array" ref="AQ20">IF($C20="","",INDEX(TotalApuestas!$A$1:$GL$50007,MATCH(Seguimiento!$C20,TotalApuestas!$B$1:$B$50007,0),MATCH(Seguimiento!AP$2,Resultado!$2:$2,0)+1))</f>
        <v/>
      </c>
      <c r="AR20" s="319"/>
      <c r="AS20" s="319"/>
      <c r="AT20" s="319"/>
      <c r="AU20" s="320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8" t="str">
        <f>IF($C21="","",INDEX(TotalApuestas!$A$1:$GL$50007,MATCH(Seguimiento!$C21,TotalApuestas!$B$1:$B$50007,0),MATCH(Seguimiento!I$2,Resultado!$2:$2,0)))</f>
        <v/>
      </c>
      <c r="E21" s="319"/>
      <c r="F21" s="319"/>
      <c r="G21" s="319"/>
      <c r="H21" s="319"/>
      <c r="I21" s="257" t="str">
        <f t="shared" si="4"/>
        <v/>
      </c>
      <c r="J21" s="319" t="str" cm="1">
        <f t="array" ref="J21">IF($C21="","",INDEX(TotalApuestas!$A$1:$GL$50007,MATCH(Seguimiento!$C21,TotalApuestas!$B$1:$B$50007,0),MATCH(Seguimiento!I$2,Resultado!$2:$2,0)+1))</f>
        <v/>
      </c>
      <c r="K21" s="319"/>
      <c r="L21" s="319"/>
      <c r="M21" s="319"/>
      <c r="N21" s="320"/>
      <c r="O21" s="318" t="str">
        <f>IF($C21="","",INDEX(TotalApuestas!$A$1:$GL$50007,MATCH(Seguimiento!$C21,TotalApuestas!$B$1:$B$50007,0),MATCH(Seguimiento!T$2,Resultado!$2:$2,0)))</f>
        <v/>
      </c>
      <c r="P21" s="319"/>
      <c r="Q21" s="319"/>
      <c r="R21" s="319"/>
      <c r="S21" s="319"/>
      <c r="T21" s="257" t="str">
        <f t="shared" si="5"/>
        <v/>
      </c>
      <c r="U21" s="319" t="str" cm="1">
        <f t="array" ref="U21">IF($C21="","",INDEX(TotalApuestas!$A$1:$GL$50007,MATCH(Seguimiento!$C21,TotalApuestas!$B$1:$B$50007,0),MATCH(Seguimiento!T$2,Resultado!$2:$2,0)+1))</f>
        <v/>
      </c>
      <c r="V21" s="319"/>
      <c r="W21" s="319"/>
      <c r="X21" s="319"/>
      <c r="Y21" s="320"/>
      <c r="Z21" s="318" t="str">
        <f>IF($C21="","",INDEX(TotalApuestas!$A$1:$GL$50007,MATCH(Seguimiento!$C21,TotalApuestas!$B$1:$B$50007,0),MATCH(Seguimiento!AE$2,Resultado!$2:$2,0)))</f>
        <v/>
      </c>
      <c r="AA21" s="319"/>
      <c r="AB21" s="319"/>
      <c r="AC21" s="319"/>
      <c r="AD21" s="319"/>
      <c r="AE21" s="257" t="str">
        <f t="shared" si="6"/>
        <v/>
      </c>
      <c r="AF21" s="319" t="str" cm="1">
        <f t="array" ref="AF21">IF($C21="","",INDEX(TotalApuestas!$A$1:$GL$50007,MATCH(Seguimiento!$C21,TotalApuestas!$B$1:$B$50007,0),MATCH(Seguimiento!AE$2,Resultado!$2:$2,0)+1))</f>
        <v/>
      </c>
      <c r="AG21" s="319"/>
      <c r="AH21" s="319"/>
      <c r="AI21" s="319"/>
      <c r="AJ21" s="320"/>
      <c r="AK21" s="318" t="str">
        <f>IF($C21="","",INDEX(TotalApuestas!$A$1:$GL$50007,MATCH(Seguimiento!$C21,TotalApuestas!$B$1:$B$50007,0),MATCH(Seguimiento!AP$2,Resultado!$2:$2,0)))</f>
        <v/>
      </c>
      <c r="AL21" s="319"/>
      <c r="AM21" s="319"/>
      <c r="AN21" s="319"/>
      <c r="AO21" s="319"/>
      <c r="AP21" s="257" t="str">
        <f t="shared" si="7"/>
        <v/>
      </c>
      <c r="AQ21" s="318" t="str" cm="1">
        <f t="array" ref="AQ21">IF($C21="","",INDEX(TotalApuestas!$A$1:$GL$50007,MATCH(Seguimiento!$C21,TotalApuestas!$B$1:$B$50007,0),MATCH(Seguimiento!AP$2,Resultado!$2:$2,0)+1))</f>
        <v/>
      </c>
      <c r="AR21" s="319"/>
      <c r="AS21" s="319"/>
      <c r="AT21" s="319"/>
      <c r="AU21" s="320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8" t="str">
        <f>IF($C22="","",INDEX(TotalApuestas!$A$1:$GL$50007,MATCH(Seguimiento!$C22,TotalApuestas!$B$1:$B$50007,0),MATCH(Seguimiento!I$2,Resultado!$2:$2,0)))</f>
        <v/>
      </c>
      <c r="E22" s="319"/>
      <c r="F22" s="319"/>
      <c r="G22" s="319"/>
      <c r="H22" s="319"/>
      <c r="I22" s="257" t="str">
        <f t="shared" si="4"/>
        <v/>
      </c>
      <c r="J22" s="319" t="str" cm="1">
        <f t="array" ref="J22">IF($C22="","",INDEX(TotalApuestas!$A$1:$GL$50007,MATCH(Seguimiento!$C22,TotalApuestas!$B$1:$B$50007,0),MATCH(Seguimiento!I$2,Resultado!$2:$2,0)+1))</f>
        <v/>
      </c>
      <c r="K22" s="319"/>
      <c r="L22" s="319"/>
      <c r="M22" s="319"/>
      <c r="N22" s="320"/>
      <c r="O22" s="318" t="str">
        <f>IF($C22="","",INDEX(TotalApuestas!$A$1:$GL$50007,MATCH(Seguimiento!$C22,TotalApuestas!$B$1:$B$50007,0),MATCH(Seguimiento!T$2,Resultado!$2:$2,0)))</f>
        <v/>
      </c>
      <c r="P22" s="319"/>
      <c r="Q22" s="319"/>
      <c r="R22" s="319"/>
      <c r="S22" s="319"/>
      <c r="T22" s="257" t="str">
        <f t="shared" si="5"/>
        <v/>
      </c>
      <c r="U22" s="319" t="str" cm="1">
        <f t="array" ref="U22">IF($C22="","",INDEX(TotalApuestas!$A$1:$GL$50007,MATCH(Seguimiento!$C22,TotalApuestas!$B$1:$B$50007,0),MATCH(Seguimiento!T$2,Resultado!$2:$2,0)+1))</f>
        <v/>
      </c>
      <c r="V22" s="319"/>
      <c r="W22" s="319"/>
      <c r="X22" s="319"/>
      <c r="Y22" s="320"/>
      <c r="Z22" s="318" t="str">
        <f>IF($C22="","",INDEX(TotalApuestas!$A$1:$GL$50007,MATCH(Seguimiento!$C22,TotalApuestas!$B$1:$B$50007,0),MATCH(Seguimiento!AE$2,Resultado!$2:$2,0)))</f>
        <v/>
      </c>
      <c r="AA22" s="319"/>
      <c r="AB22" s="319"/>
      <c r="AC22" s="319"/>
      <c r="AD22" s="319"/>
      <c r="AE22" s="257" t="str">
        <f t="shared" si="6"/>
        <v/>
      </c>
      <c r="AF22" s="319" t="str" cm="1">
        <f t="array" ref="AF22">IF($C22="","",INDEX(TotalApuestas!$A$1:$GL$50007,MATCH(Seguimiento!$C22,TotalApuestas!$B$1:$B$50007,0),MATCH(Seguimiento!AE$2,Resultado!$2:$2,0)+1))</f>
        <v/>
      </c>
      <c r="AG22" s="319"/>
      <c r="AH22" s="319"/>
      <c r="AI22" s="319"/>
      <c r="AJ22" s="320"/>
      <c r="AK22" s="318" t="str">
        <f>IF($C22="","",INDEX(TotalApuestas!$A$1:$GL$50007,MATCH(Seguimiento!$C22,TotalApuestas!$B$1:$B$50007,0),MATCH(Seguimiento!AP$2,Resultado!$2:$2,0)))</f>
        <v/>
      </c>
      <c r="AL22" s="319"/>
      <c r="AM22" s="319"/>
      <c r="AN22" s="319"/>
      <c r="AO22" s="319"/>
      <c r="AP22" s="257" t="str">
        <f t="shared" si="7"/>
        <v/>
      </c>
      <c r="AQ22" s="318" t="str" cm="1">
        <f t="array" ref="AQ22">IF($C22="","",INDEX(TotalApuestas!$A$1:$GL$50007,MATCH(Seguimiento!$C22,TotalApuestas!$B$1:$B$50007,0),MATCH(Seguimiento!AP$2,Resultado!$2:$2,0)+1))</f>
        <v/>
      </c>
      <c r="AR22" s="319"/>
      <c r="AS22" s="319"/>
      <c r="AT22" s="319"/>
      <c r="AU22" s="320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8" t="str">
        <f>IF($C23="","",INDEX(TotalApuestas!$A$1:$GL$50007,MATCH(Seguimiento!$C23,TotalApuestas!$B$1:$B$50007,0),MATCH(Seguimiento!I$2,Resultado!$2:$2,0)))</f>
        <v/>
      </c>
      <c r="E23" s="319"/>
      <c r="F23" s="319"/>
      <c r="G23" s="319"/>
      <c r="H23" s="319"/>
      <c r="I23" s="257" t="str">
        <f t="shared" si="0"/>
        <v/>
      </c>
      <c r="J23" s="319" t="str" cm="1">
        <f t="array" ref="J23">IF($C23="","",INDEX(TotalApuestas!$A$1:$GL$50007,MATCH(Seguimiento!$C23,TotalApuestas!$B$1:$B$50007,0),MATCH(Seguimiento!I$2,Resultado!$2:$2,0)+1))</f>
        <v/>
      </c>
      <c r="K23" s="319"/>
      <c r="L23" s="319"/>
      <c r="M23" s="319"/>
      <c r="N23" s="320"/>
      <c r="O23" s="318" t="str">
        <f>IF($C23="","",INDEX(TotalApuestas!$A$1:$GL$50007,MATCH(Seguimiento!$C23,TotalApuestas!$B$1:$B$50007,0),MATCH(Seguimiento!T$2,Resultado!$2:$2,0)))</f>
        <v/>
      </c>
      <c r="P23" s="319"/>
      <c r="Q23" s="319"/>
      <c r="R23" s="319"/>
      <c r="S23" s="319"/>
      <c r="T23" s="257" t="str">
        <f t="shared" si="1"/>
        <v/>
      </c>
      <c r="U23" s="319" t="str" cm="1">
        <f t="array" ref="U23">IF($C23="","",INDEX(TotalApuestas!$A$1:$GL$50007,MATCH(Seguimiento!$C23,TotalApuestas!$B$1:$B$50007,0),MATCH(Seguimiento!T$2,Resultado!$2:$2,0)+1))</f>
        <v/>
      </c>
      <c r="V23" s="319"/>
      <c r="W23" s="319"/>
      <c r="X23" s="319"/>
      <c r="Y23" s="320"/>
      <c r="Z23" s="318" t="str">
        <f>IF($C23="","",INDEX(TotalApuestas!$A$1:$GL$50007,MATCH(Seguimiento!$C23,TotalApuestas!$B$1:$B$50007,0),MATCH(Seguimiento!AE$2,Resultado!$2:$2,0)))</f>
        <v/>
      </c>
      <c r="AA23" s="319"/>
      <c r="AB23" s="319"/>
      <c r="AC23" s="319"/>
      <c r="AD23" s="319"/>
      <c r="AE23" s="257" t="str">
        <f t="shared" si="2"/>
        <v/>
      </c>
      <c r="AF23" s="319" t="str" cm="1">
        <f t="array" ref="AF23">IF($C23="","",INDEX(TotalApuestas!$A$1:$GL$50007,MATCH(Seguimiento!$C23,TotalApuestas!$B$1:$B$50007,0),MATCH(Seguimiento!AE$2,Resultado!$2:$2,0)+1))</f>
        <v/>
      </c>
      <c r="AG23" s="319"/>
      <c r="AH23" s="319"/>
      <c r="AI23" s="319"/>
      <c r="AJ23" s="320"/>
      <c r="AK23" s="318" t="str">
        <f>IF($C23="","",INDEX(TotalApuestas!$A$1:$GL$50007,MATCH(Seguimiento!$C23,TotalApuestas!$B$1:$B$50007,0),MATCH(Seguimiento!AP$2,Resultado!$2:$2,0)))</f>
        <v/>
      </c>
      <c r="AL23" s="319"/>
      <c r="AM23" s="319"/>
      <c r="AN23" s="319"/>
      <c r="AO23" s="319"/>
      <c r="AP23" s="257" t="str">
        <f t="shared" si="3"/>
        <v/>
      </c>
      <c r="AQ23" s="318" t="str" cm="1">
        <f t="array" ref="AQ23">IF($C23="","",INDEX(TotalApuestas!$A$1:$GL$50007,MATCH(Seguimiento!$C23,TotalApuestas!$B$1:$B$50007,0),MATCH(Seguimiento!AP$2,Resultado!$2:$2,0)+1))</f>
        <v/>
      </c>
      <c r="AR23" s="319"/>
      <c r="AS23" s="319"/>
      <c r="AT23" s="319"/>
      <c r="AU23" s="320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8" t="str">
        <f>IF($C24="","",INDEX(TotalApuestas!$A$1:$GL$50007,MATCH(Seguimiento!$C24,TotalApuestas!$B$1:$B$50007,0),MATCH(Seguimiento!I$2,Resultado!$2:$2,0)))</f>
        <v/>
      </c>
      <c r="E24" s="319"/>
      <c r="F24" s="319"/>
      <c r="G24" s="319"/>
      <c r="H24" s="319"/>
      <c r="I24" s="257" t="str">
        <f t="shared" si="0"/>
        <v/>
      </c>
      <c r="J24" s="319" t="str" cm="1">
        <f t="array" ref="J24">IF($C24="","",INDEX(TotalApuestas!$A$1:$GL$50007,MATCH(Seguimiento!$C24,TotalApuestas!$B$1:$B$50007,0),MATCH(Seguimiento!I$2,Resultado!$2:$2,0)+1))</f>
        <v/>
      </c>
      <c r="K24" s="319"/>
      <c r="L24" s="319"/>
      <c r="M24" s="319"/>
      <c r="N24" s="320"/>
      <c r="O24" s="318" t="str">
        <f>IF($C24="","",INDEX(TotalApuestas!$A$1:$GL$50007,MATCH(Seguimiento!$C24,TotalApuestas!$B$1:$B$50007,0),MATCH(Seguimiento!T$2,Resultado!$2:$2,0)))</f>
        <v/>
      </c>
      <c r="P24" s="319"/>
      <c r="Q24" s="319"/>
      <c r="R24" s="319"/>
      <c r="S24" s="319"/>
      <c r="T24" s="257" t="str">
        <f t="shared" si="1"/>
        <v/>
      </c>
      <c r="U24" s="319" t="str" cm="1">
        <f t="array" ref="U24">IF($C24="","",INDEX(TotalApuestas!$A$1:$GL$50007,MATCH(Seguimiento!$C24,TotalApuestas!$B$1:$B$50007,0),MATCH(Seguimiento!T$2,Resultado!$2:$2,0)+1))</f>
        <v/>
      </c>
      <c r="V24" s="319"/>
      <c r="W24" s="319"/>
      <c r="X24" s="319"/>
      <c r="Y24" s="320"/>
      <c r="Z24" s="318" t="str">
        <f>IF($C24="","",INDEX(TotalApuestas!$A$1:$GL$50007,MATCH(Seguimiento!$C24,TotalApuestas!$B$1:$B$50007,0),MATCH(Seguimiento!AE$2,Resultado!$2:$2,0)))</f>
        <v/>
      </c>
      <c r="AA24" s="319"/>
      <c r="AB24" s="319"/>
      <c r="AC24" s="319"/>
      <c r="AD24" s="319"/>
      <c r="AE24" s="257" t="str">
        <f t="shared" si="2"/>
        <v/>
      </c>
      <c r="AF24" s="319" t="str" cm="1">
        <f t="array" ref="AF24">IF($C24="","",INDEX(TotalApuestas!$A$1:$GL$50007,MATCH(Seguimiento!$C24,TotalApuestas!$B$1:$B$50007,0),MATCH(Seguimiento!AE$2,Resultado!$2:$2,0)+1))</f>
        <v/>
      </c>
      <c r="AG24" s="319"/>
      <c r="AH24" s="319"/>
      <c r="AI24" s="319"/>
      <c r="AJ24" s="320"/>
      <c r="AK24" s="318" t="str">
        <f>IF($C24="","",INDEX(TotalApuestas!$A$1:$GL$50007,MATCH(Seguimiento!$C24,TotalApuestas!$B$1:$B$50007,0),MATCH(Seguimiento!AP$2,Resultado!$2:$2,0)))</f>
        <v/>
      </c>
      <c r="AL24" s="319"/>
      <c r="AM24" s="319"/>
      <c r="AN24" s="319"/>
      <c r="AO24" s="319"/>
      <c r="AP24" s="257" t="str">
        <f t="shared" si="3"/>
        <v/>
      </c>
      <c r="AQ24" s="318" t="str" cm="1">
        <f t="array" ref="AQ24">IF($C24="","",INDEX(TotalApuestas!$A$1:$GL$50007,MATCH(Seguimiento!$C24,TotalApuestas!$B$1:$B$50007,0),MATCH(Seguimiento!AP$2,Resultado!$2:$2,0)+1))</f>
        <v/>
      </c>
      <c r="AR24" s="319"/>
      <c r="AS24" s="319"/>
      <c r="AT24" s="319"/>
      <c r="AU24" s="320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8" t="str">
        <f>IF($C25="","",INDEX(TotalApuestas!$A$1:$GL$50007,MATCH(Seguimiento!$C25,TotalApuestas!$B$1:$B$50007,0),MATCH(Seguimiento!I$2,Resultado!$2:$2,0)))</f>
        <v/>
      </c>
      <c r="E25" s="319"/>
      <c r="F25" s="319"/>
      <c r="G25" s="319"/>
      <c r="H25" s="319"/>
      <c r="I25" s="257" t="str">
        <f t="shared" si="0"/>
        <v/>
      </c>
      <c r="J25" s="319" t="str" cm="1">
        <f t="array" ref="J25">IF($C25="","",INDEX(TotalApuestas!$A$1:$GL$50007,MATCH(Seguimiento!$C25,TotalApuestas!$B$1:$B$50007,0),MATCH(Seguimiento!I$2,Resultado!$2:$2,0)+1))</f>
        <v/>
      </c>
      <c r="K25" s="319"/>
      <c r="L25" s="319"/>
      <c r="M25" s="319"/>
      <c r="N25" s="320"/>
      <c r="O25" s="318" t="str">
        <f>IF($C25="","",INDEX(TotalApuestas!$A$1:$GL$50007,MATCH(Seguimiento!$C25,TotalApuestas!$B$1:$B$50007,0),MATCH(Seguimiento!T$2,Resultado!$2:$2,0)))</f>
        <v/>
      </c>
      <c r="P25" s="319"/>
      <c r="Q25" s="319"/>
      <c r="R25" s="319"/>
      <c r="S25" s="319"/>
      <c r="T25" s="257" t="str">
        <f t="shared" si="1"/>
        <v/>
      </c>
      <c r="U25" s="319" t="str" cm="1">
        <f t="array" ref="U25">IF($C25="","",INDEX(TotalApuestas!$A$1:$GL$50007,MATCH(Seguimiento!$C25,TotalApuestas!$B$1:$B$50007,0),MATCH(Seguimiento!T$2,Resultado!$2:$2,0)+1))</f>
        <v/>
      </c>
      <c r="V25" s="319"/>
      <c r="W25" s="319"/>
      <c r="X25" s="319"/>
      <c r="Y25" s="320"/>
      <c r="Z25" s="318" t="str">
        <f>IF($C25="","",INDEX(TotalApuestas!$A$1:$GL$50007,MATCH(Seguimiento!$C25,TotalApuestas!$B$1:$B$50007,0),MATCH(Seguimiento!AE$2,Resultado!$2:$2,0)))</f>
        <v/>
      </c>
      <c r="AA25" s="319"/>
      <c r="AB25" s="319"/>
      <c r="AC25" s="319"/>
      <c r="AD25" s="319"/>
      <c r="AE25" s="257" t="str">
        <f t="shared" si="2"/>
        <v/>
      </c>
      <c r="AF25" s="319" t="str" cm="1">
        <f t="array" ref="AF25">IF($C25="","",INDEX(TotalApuestas!$A$1:$GL$50007,MATCH(Seguimiento!$C25,TotalApuestas!$B$1:$B$50007,0),MATCH(Seguimiento!AE$2,Resultado!$2:$2,0)+1))</f>
        <v/>
      </c>
      <c r="AG25" s="319"/>
      <c r="AH25" s="319"/>
      <c r="AI25" s="319"/>
      <c r="AJ25" s="320"/>
      <c r="AK25" s="318" t="str">
        <f>IF($C25="","",INDEX(TotalApuestas!$A$1:$GL$50007,MATCH(Seguimiento!$C25,TotalApuestas!$B$1:$B$50007,0),MATCH(Seguimiento!AP$2,Resultado!$2:$2,0)))</f>
        <v/>
      </c>
      <c r="AL25" s="319"/>
      <c r="AM25" s="319"/>
      <c r="AN25" s="319"/>
      <c r="AO25" s="319"/>
      <c r="AP25" s="257" t="str">
        <f t="shared" si="3"/>
        <v/>
      </c>
      <c r="AQ25" s="318" t="str" cm="1">
        <f t="array" ref="AQ25">IF($C25="","",INDEX(TotalApuestas!$A$1:$GL$50007,MATCH(Seguimiento!$C25,TotalApuestas!$B$1:$B$50007,0),MATCH(Seguimiento!AP$2,Resultado!$2:$2,0)+1))</f>
        <v/>
      </c>
      <c r="AR25" s="319"/>
      <c r="AS25" s="319"/>
      <c r="AT25" s="319"/>
      <c r="AU25" s="320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8" t="str">
        <f>IF($C26="","",INDEX(TotalApuestas!$A$1:$GL$50007,MATCH(Seguimiento!$C26,TotalApuestas!$B$1:$B$50007,0),MATCH(Seguimiento!I$2,Resultado!$2:$2,0)))</f>
        <v/>
      </c>
      <c r="E26" s="319"/>
      <c r="F26" s="319"/>
      <c r="G26" s="319"/>
      <c r="H26" s="319"/>
      <c r="I26" s="257" t="str">
        <f>+IF(D26="","",IF(D26&gt;J26,1,IF(D26=J26,"X",2)))</f>
        <v/>
      </c>
      <c r="J26" s="319" t="str" cm="1">
        <f t="array" ref="J26">IF($C26="","",INDEX(TotalApuestas!$A$1:$GL$50007,MATCH(Seguimiento!$C26,TotalApuestas!$B$1:$B$50007,0),MATCH(Seguimiento!I$2,Resultado!$2:$2,0)+1))</f>
        <v/>
      </c>
      <c r="K26" s="319"/>
      <c r="L26" s="319"/>
      <c r="M26" s="319"/>
      <c r="N26" s="320"/>
      <c r="O26" s="318" t="str">
        <f>IF($C26="","",INDEX(TotalApuestas!$A$1:$GL$50007,MATCH(Seguimiento!$C26,TotalApuestas!$B$1:$B$50007,0),MATCH(Seguimiento!T$2,Resultado!$2:$2,0)))</f>
        <v/>
      </c>
      <c r="P26" s="319"/>
      <c r="Q26" s="319"/>
      <c r="R26" s="319"/>
      <c r="S26" s="319"/>
      <c r="T26" s="257" t="str">
        <f>+IF(O26="","",IF(O26&gt;U26,1,IF(O26=U26,"X",2)))</f>
        <v/>
      </c>
      <c r="U26" s="319" t="str" cm="1">
        <f t="array" ref="U26">IF($C26="","",INDEX(TotalApuestas!$A$1:$GL$50007,MATCH(Seguimiento!$C26,TotalApuestas!$B$1:$B$50007,0),MATCH(Seguimiento!T$2,Resultado!$2:$2,0)+1))</f>
        <v/>
      </c>
      <c r="V26" s="319"/>
      <c r="W26" s="319"/>
      <c r="X26" s="319"/>
      <c r="Y26" s="320"/>
      <c r="Z26" s="318" t="str">
        <f>IF($C26="","",INDEX(TotalApuestas!$A$1:$GL$50007,MATCH(Seguimiento!$C26,TotalApuestas!$B$1:$B$50007,0),MATCH(Seguimiento!AE$2,Resultado!$2:$2,0)))</f>
        <v/>
      </c>
      <c r="AA26" s="319"/>
      <c r="AB26" s="319"/>
      <c r="AC26" s="319"/>
      <c r="AD26" s="319"/>
      <c r="AE26" s="257" t="str">
        <f>+IF(Z26="","",IF(Z26&gt;AF26,1,IF(Z26=AF26,"X",2)))</f>
        <v/>
      </c>
      <c r="AF26" s="319" t="str" cm="1">
        <f t="array" ref="AF26">IF($C26="","",INDEX(TotalApuestas!$A$1:$GL$50007,MATCH(Seguimiento!$C26,TotalApuestas!$B$1:$B$50007,0),MATCH(Seguimiento!AE$2,Resultado!$2:$2,0)+1))</f>
        <v/>
      </c>
      <c r="AG26" s="319"/>
      <c r="AH26" s="319"/>
      <c r="AI26" s="319"/>
      <c r="AJ26" s="320"/>
      <c r="AK26" s="318" t="str">
        <f>IF($C26="","",INDEX(TotalApuestas!$A$1:$GL$50007,MATCH(Seguimiento!$C26,TotalApuestas!$B$1:$B$50007,0),MATCH(Seguimiento!AP$2,Resultado!$2:$2,0)))</f>
        <v/>
      </c>
      <c r="AL26" s="319"/>
      <c r="AM26" s="319"/>
      <c r="AN26" s="319"/>
      <c r="AO26" s="319"/>
      <c r="AP26" s="257" t="str">
        <f>+IF(AK26="","",IF(AK26&gt;AQ26,1,IF(AK26=AQ26,"X",2)))</f>
        <v/>
      </c>
      <c r="AQ26" s="318" t="str" cm="1">
        <f t="array" ref="AQ26">IF($C26="","",INDEX(TotalApuestas!$A$1:$GL$50007,MATCH(Seguimiento!$C26,TotalApuestas!$B$1:$B$50007,0),MATCH(Seguimiento!AP$2,Resultado!$2:$2,0)+1))</f>
        <v/>
      </c>
      <c r="AR26" s="319"/>
      <c r="AS26" s="319"/>
      <c r="AT26" s="319"/>
      <c r="AU26" s="320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40" t="str">
        <f>IF($C27="","",INDEX(TotalApuestas!$A$1:$GL$50007,MATCH(Seguimiento!$C27,TotalApuestas!$B$1:$B$50007,0),MATCH(Seguimiento!I$2,Resultado!$2:$2,0)))</f>
        <v/>
      </c>
      <c r="E27" s="321"/>
      <c r="F27" s="321"/>
      <c r="G27" s="321"/>
      <c r="H27" s="321"/>
      <c r="I27" s="258" t="str">
        <f>+IF(D27="","",IF(D27&gt;J27,1,IF(D27=J27,"X",2)))</f>
        <v/>
      </c>
      <c r="J27" s="321" t="str" cm="1">
        <f t="array" ref="J27">IF($C27="","",INDEX(TotalApuestas!$A$1:$GL$50007,MATCH(Seguimiento!$C27,TotalApuestas!$B$1:$B$50007,0),MATCH(Seguimiento!I$2,Resultado!$2:$2,0)+1))</f>
        <v/>
      </c>
      <c r="K27" s="321"/>
      <c r="L27" s="321"/>
      <c r="M27" s="321"/>
      <c r="N27" s="322"/>
      <c r="O27" s="340" t="str">
        <f>IF($C27="","",INDEX(TotalApuestas!$A$1:$GL$50007,MATCH(Seguimiento!$C27,TotalApuestas!$B$1:$B$50007,0),MATCH(Seguimiento!T$2,Resultado!$2:$2,0)))</f>
        <v/>
      </c>
      <c r="P27" s="321"/>
      <c r="Q27" s="321"/>
      <c r="R27" s="321"/>
      <c r="S27" s="321"/>
      <c r="T27" s="258" t="str">
        <f>+IF(O27="","",IF(O27&gt;U27,1,IF(O27=U27,"X",2)))</f>
        <v/>
      </c>
      <c r="U27" s="321" t="str" cm="1">
        <f t="array" ref="U27">IF($C27="","",INDEX(TotalApuestas!$A$1:$GL$50007,MATCH(Seguimiento!$C27,TotalApuestas!$B$1:$B$50007,0),MATCH(Seguimiento!T$2,Resultado!$2:$2,0)+1))</f>
        <v/>
      </c>
      <c r="V27" s="321"/>
      <c r="W27" s="321"/>
      <c r="X27" s="321"/>
      <c r="Y27" s="322"/>
      <c r="Z27" s="340" t="str">
        <f>IF($C27="","",INDEX(TotalApuestas!$A$1:$GL$50007,MATCH(Seguimiento!$C27,TotalApuestas!$B$1:$B$50007,0),MATCH(Seguimiento!AE$2,Resultado!$2:$2,0)))</f>
        <v/>
      </c>
      <c r="AA27" s="321"/>
      <c r="AB27" s="321"/>
      <c r="AC27" s="321"/>
      <c r="AD27" s="321"/>
      <c r="AE27" s="258" t="str">
        <f>+IF(Z27="","",IF(Z27&gt;AF27,1,IF(Z27=AF27,"X",2)))</f>
        <v/>
      </c>
      <c r="AF27" s="321" t="str" cm="1">
        <f t="array" ref="AF27">IF($C27="","",INDEX(TotalApuestas!$A$1:$GL$50007,MATCH(Seguimiento!$C27,TotalApuestas!$B$1:$B$50007,0),MATCH(Seguimiento!AE$2,Resultado!$2:$2,0)+1))</f>
        <v/>
      </c>
      <c r="AG27" s="321"/>
      <c r="AH27" s="321"/>
      <c r="AI27" s="321"/>
      <c r="AJ27" s="322"/>
      <c r="AK27" s="340" t="str">
        <f>IF($C27="","",INDEX(TotalApuestas!$A$1:$GL$50007,MATCH(Seguimiento!$C27,TotalApuestas!$B$1:$B$50007,0),MATCH(Seguimiento!AP$2,Resultado!$2:$2,0)))</f>
        <v/>
      </c>
      <c r="AL27" s="321"/>
      <c r="AM27" s="321"/>
      <c r="AN27" s="321"/>
      <c r="AO27" s="321"/>
      <c r="AP27" s="258" t="str">
        <f>+IF(AK27="","",IF(AK27&gt;AQ27,1,IF(AK27=AQ27,"X",2)))</f>
        <v/>
      </c>
      <c r="AQ27" s="340" t="str" cm="1">
        <f t="array" ref="AQ27">IF($C27="","",INDEX(TotalApuestas!$A$1:$GL$50007,MATCH(Seguimiento!$C27,TotalApuestas!$B$1:$B$50007,0),MATCH(Seguimiento!AP$2,Resultado!$2:$2,0)+1))</f>
        <v/>
      </c>
      <c r="AR27" s="321"/>
      <c r="AS27" s="321"/>
      <c r="AT27" s="321"/>
      <c r="AU27" s="322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6" t="s">
        <v>134</v>
      </c>
    </row>
    <row r="32" spans="2:63" ht="20.100000000000001" customHeight="1" thickBot="1" x14ac:dyDescent="0.3">
      <c r="AW32" s="297"/>
    </row>
    <row r="33" spans="49:49" ht="20.100000000000001" customHeight="1" x14ac:dyDescent="0.25">
      <c r="AW33" s="298" t="s">
        <v>135</v>
      </c>
    </row>
    <row r="34" spans="49:49" ht="20.100000000000001" customHeight="1" thickBot="1" x14ac:dyDescent="0.3">
      <c r="AW34" s="299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Administrador</cp:lastModifiedBy>
  <dcterms:created xsi:type="dcterms:W3CDTF">2024-01-15T16:01:21Z</dcterms:created>
  <dcterms:modified xsi:type="dcterms:W3CDTF">2025-06-15T00:06:49Z</dcterms:modified>
</cp:coreProperties>
</file>