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A9E0CAA2-A623-4A64-8E6A-183BF72D7034}" xr6:coauthVersionLast="47" xr6:coauthVersionMax="47" xr10:uidLastSave="{00000000-0000-0000-0000-000000000000}"/>
  <bookViews>
    <workbookView xWindow="-120" yWindow="-120" windowWidth="29040" windowHeight="157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2" i="1"/>
  <c r="V51" i="1"/>
  <c r="V58" i="1"/>
  <c r="V56" i="1"/>
  <c r="V65" i="1"/>
  <c r="V62" i="1"/>
  <c r="V53" i="1"/>
  <c r="V59" i="1"/>
  <c r="V55" i="1"/>
  <c r="V63" i="1"/>
  <c r="V54" i="1"/>
  <c r="V2" i="1"/>
  <c r="V64" i="1"/>
  <c r="V61" i="1"/>
  <c r="V57" i="1"/>
  <c r="V60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4" i="1"/>
  <c r="U51" i="1"/>
  <c r="U63" i="1"/>
  <c r="U65" i="1"/>
  <c r="U56" i="1"/>
  <c r="U58" i="1"/>
  <c r="U55" i="1"/>
  <c r="U52" i="1"/>
  <c r="U53" i="1"/>
  <c r="U57" i="1"/>
  <c r="U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49" i="1"/>
  <c r="V34" i="1"/>
  <c r="V18" i="1"/>
  <c r="U41" i="1"/>
  <c r="V38" i="1"/>
  <c r="U37" i="1"/>
  <c r="V29" i="1"/>
  <c r="V19" i="1"/>
  <c r="U28" i="1"/>
  <c r="V20" i="1"/>
  <c r="U19" i="1"/>
  <c r="V35" i="1"/>
  <c r="U9" i="1"/>
  <c r="U14" i="1"/>
  <c r="U5" i="1"/>
  <c r="U33" i="1"/>
  <c r="V39" i="1"/>
  <c r="V30" i="1"/>
  <c r="V7" i="1"/>
  <c r="V41" i="1"/>
  <c r="V5" i="1"/>
  <c r="U31" i="1"/>
  <c r="U4" i="1"/>
  <c r="U20" i="1"/>
  <c r="V50" i="1"/>
  <c r="V36" i="1"/>
  <c r="U49" i="1"/>
  <c r="U3" i="1"/>
  <c r="V47" i="1"/>
  <c r="U38" i="1"/>
  <c r="U27" i="1"/>
  <c r="V8" i="1"/>
  <c r="U16" i="1"/>
  <c r="V9" i="1"/>
  <c r="U46" i="1"/>
  <c r="U47" i="1"/>
  <c r="V46" i="1"/>
  <c r="V16" i="1"/>
  <c r="U39" i="1"/>
  <c r="U43" i="1"/>
  <c r="V15" i="1"/>
  <c r="V11" i="1"/>
  <c r="V6" i="1"/>
  <c r="U42" i="1"/>
  <c r="U10" i="1"/>
  <c r="V17" i="1"/>
  <c r="V12" i="1"/>
  <c r="U34" i="1"/>
  <c r="U48" i="1"/>
  <c r="U13" i="1"/>
  <c r="U8" i="1"/>
  <c r="V31" i="1"/>
  <c r="U29" i="1"/>
  <c r="U12" i="1"/>
  <c r="U44" i="1"/>
  <c r="U35" i="1"/>
  <c r="U36" i="1"/>
  <c r="V48" i="1"/>
  <c r="U40" i="1"/>
  <c r="U50" i="1"/>
  <c r="V44" i="1"/>
  <c r="U7" i="1"/>
  <c r="V45" i="1"/>
  <c r="V43" i="1"/>
  <c r="V3" i="1"/>
  <c r="U6" i="1"/>
  <c r="V37" i="1"/>
  <c r="V4" i="1"/>
  <c r="U17" i="1"/>
  <c r="V32" i="1"/>
  <c r="V27" i="1"/>
  <c r="V28" i="1"/>
  <c r="V14" i="1"/>
  <c r="V42" i="1"/>
  <c r="U32" i="1"/>
  <c r="V40" i="1"/>
  <c r="V10" i="1"/>
  <c r="V33" i="1"/>
  <c r="V13" i="1"/>
  <c r="U45" i="1"/>
  <c r="U30" i="1"/>
  <c r="U11" i="1"/>
  <c r="U15" i="1"/>
  <c r="U18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5" i="1"/>
  <c r="U26" i="1"/>
  <c r="U24" i="1"/>
  <c r="V21" i="1"/>
  <c r="U21" i="1"/>
  <c r="V25" i="1"/>
  <c r="V22" i="1"/>
  <c r="V26" i="1"/>
  <c r="U22" i="1"/>
  <c r="V23" i="1"/>
  <c r="U23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EY3" i="38" a="1"/>
  <c r="H19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16" i="63" a="1"/>
  <c r="ET3" i="38" a="1"/>
  <c r="P22" i="63" a="1"/>
  <c r="FC3" i="38" a="1"/>
  <c r="P10" i="63" a="1"/>
  <c r="FF3" i="38" a="1"/>
  <c r="H22" i="63" a="1"/>
  <c r="H31" i="63" a="1"/>
  <c r="P25" i="63" a="1"/>
  <c r="H10" i="63" a="1"/>
  <c r="FE3" i="38" a="1"/>
  <c r="P28" i="63" a="1"/>
  <c r="ES3" i="38" a="1"/>
  <c r="P16" i="63" a="1"/>
  <c r="EW3" i="38" a="1"/>
  <c r="EX3" i="38" a="1"/>
  <c r="H28" i="63" a="1"/>
  <c r="FH3" i="38" a="1"/>
  <c r="FB3" i="38" a="1"/>
  <c r="H13" i="63" a="1"/>
  <c r="EZ3" i="38" a="1"/>
  <c r="P19" i="63" a="1"/>
  <c r="EU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M3" i="38" a="1"/>
  <c r="FT3" i="38" a="1"/>
  <c r="FK3" i="38" a="1"/>
  <c r="FI3" i="38" a="1"/>
  <c r="FO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G10" i="66" l="1"/>
  <c r="I10" i="66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U3" i="38" a="1"/>
  <c r="FS3" i="38" a="1"/>
  <c r="FQ3" i="38" a="1"/>
  <c r="FQ3" i="38" l="1"/>
  <c r="FQ1" i="36" s="1"/>
  <c r="FU3" i="38"/>
  <c r="FU1" i="36" s="1"/>
  <c r="H17" i="66"/>
  <c r="P17" i="66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V3" i="38" a="1"/>
  <c r="FW3" i="38" a="1"/>
  <c r="FW3" i="38" l="1"/>
  <c r="FW1" i="36" s="1"/>
  <c r="FV3" i="38"/>
  <c r="FV1" i="36" s="1"/>
  <c r="FS20" i="38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<sst xmlns="http://schemas.openxmlformats.org/spreadsheetml/2006/main" count="1378" uniqueCount="356">
  <si>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</si>
  <si>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</si>
  <si>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</si>
  <si>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</si>
  <si>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</si>
  <si>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</si>
  <si>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</si>
  <si>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</si>
  <si>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</si>
  <si>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</si>
  <si>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</si>
  <si>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</si>
  <si>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</si>
  <si>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</si>
  <si>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</si>
  <si>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</si>
  <si>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</si>
  <si>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</si>
  <si>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</si>
  <si>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</si>
  <si>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</si>
  <si>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</si>
  <si>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</si>
  <si>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</si>
  <si>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</si>
  <si>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</si>
  <si>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</si>
  <si>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</si>
  <si>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</si>
  <si>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</si>
  <si>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</si>
  <si>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</si>
  <si>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</si>
  <si>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</si>
  <si>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</si>
  <si>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</si>
  <si>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</si>
  <si>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</si>
  <si>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</si>
  <si>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</si>
  <si>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</si>
  <si>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joymancastro@gmail.com</t>
  </si>
  <si>
    <t>Teléfono</t>
  </si>
  <si>
    <t>UTC</t>
  </si>
  <si>
    <t>Goleador</t>
  </si>
  <si>
    <t>kane</t>
  </si>
  <si>
    <t>Max. Asistidor</t>
  </si>
  <si>
    <t>dembele</t>
  </si>
  <si>
    <t>MVP del torneo</t>
  </si>
  <si>
    <t>haaland</t>
  </si>
  <si>
    <t>Portero de oro</t>
  </si>
  <si>
    <t>ederson</t>
  </si>
  <si>
    <t>MOP del torneo (Jugador decepcion)</t>
  </si>
  <si>
    <t>palmer</t>
  </si>
  <si>
    <t>Equipo San marino (peor equipo de la competicion)</t>
  </si>
  <si>
    <t>seattle sounders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</si>
  <si>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</si>
  <si>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</si>
  <si>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</si>
  <si>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</si>
  <si>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</si>
  <si>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</si>
  <si>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</si>
  <si>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</si>
  <si>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</si>
  <si>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</si>
  <si>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</si>
  <si>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</si>
  <si>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</si>
  <si>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</si>
  <si>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</si>
  <si>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</si>
  <si>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</si>
  <si>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</si>
  <si>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</si>
  <si>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</si>
  <si>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</si>
  <si>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</si>
  <si>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</si>
  <si>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</si>
  <si>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</si>
  <si>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</si>
  <si>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</si>
  <si>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</si>
  <si>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</si>
  <si>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</si>
  <si>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</si>
  <si>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</si>
  <si>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</si>
  <si>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</si>
  <si>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</si>
  <si>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</si>
  <si>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</si>
  <si>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</si>
  <si>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</si>
  <si>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</si>
  <si>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</si>
  <si>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</si>
  <si>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</si>
  <si>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</si>
  <si>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</si>
  <si>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</si>
  <si>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</si>
  <si>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</si>
  <si>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</si>
  <si>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</si>
  <si>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</si>
  <si>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</si>
  <si>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</si>
  <si>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</si>
  <si>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</si>
  <si>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</si>
  <si>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</si>
  <si>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</si>
  <si>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</si>
  <si>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</si>
  <si>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</si>
  <si>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</si>
  <si>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</si>
  <si>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</si>
  <si>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</si>
  <si>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</si>
  <si>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</si>
  <si>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</si>
  <si>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</si>
  <si>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</si>
  <si>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</si>
  <si>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</si>
  <si>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</si>
  <si>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</si>
  <si>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</si>
  <si>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</si>
  <si>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</si>
  <si>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</si>
  <si>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</si>
  <si>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</si>
  <si>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</si>
  <si>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</si>
  <si>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</si>
  <si>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</si>
  <si>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</si>
  <si>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</si>
  <si>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</si>
  <si>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</si>
  <si>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</si>
  <si>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</si>
  <si>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</si>
  <si>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</si>
  <si>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</si>
  <si>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</si>
  <si>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</si>
  <si>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</si>
  <si>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</si>
  <si>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</si>
  <si>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</si>
  <si>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</si>
  <si>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</si>
  <si>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</si>
  <si>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</si>
  <si>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</si>
  <si>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</si>
  <si>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</si>
  <si>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</si>
  <si>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</si>
  <si>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</si>
  <si>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</si>
  <si>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</si>
  <si>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</si>
  <si>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</si>
  <si>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</si>
  <si>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</si>
  <si>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</si>
  <si>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</si>
  <si>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</si>
  <si>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</si>
  <si>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</si>
  <si>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</si>
  <si>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</si>
  <si>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</si>
  <si>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</si>
  <si>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</si>
  <si>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</si>
  <si>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</si>
  <si>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</si>
  <si>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</si>
  <si>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</si>
  <si>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</si>
  <si>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</si>
  <si>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</si>
  <si>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</si>
  <si>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</si>
  <si>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</si>
  <si>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</si>
  <si>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</si>
  <si>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</si>
  <si>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</si>
  <si>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</si>
  <si>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</si>
  <si>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</si>
  <si>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</si>
  <si>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</si>
  <si>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</si>
  <si>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</si>
  <si>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</si>
  <si>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</si>
  <si>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</si>
  <si>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</si>
  <si>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</si>
  <si>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</si>
  <si>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</si>
  <si>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</si>
  <si>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</si>
  <si>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</si>
  <si>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</si>
  <si>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</si>
  <si>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</si>
  <si>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</si>
  <si>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</si>
  <si>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</si>
  <si>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</si>
  <si>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</si>
  <si>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</si>
  <si>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</si>
  <si>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</si>
  <si>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</si>
  <si>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</si>
  <si>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</si>
  <si>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</si>
  <si>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</si>
  <si>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</si>
  <si>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</si>
  <si>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</si>
  <si>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</si>
  <si>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</si>
  <si>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</si>
  <si>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</si>
  <si>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</si>
  <si>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</si>
  <si>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</si>
  <si>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</si>
  <si>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</si>
  <si>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</si>
  <si>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</si>
  <si>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</si>
  <si>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</si>
  <si>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</si>
  <si>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</si>
  <si>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</si>
  <si>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</si>
  <si>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</si>
  <si>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</si>
  <si>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</si>
  <si>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</si>
  <si>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</si>
  <si>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</si>
  <si>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</si>
  <si>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</si>
  <si>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</si>
  <si>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</si>
  <si>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</si>
  <si>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</si>
  <si>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</si>
  <si>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</si>
  <si>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</si>
  <si>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</si>
  <si>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</si>
  <si>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</si>
  <si>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</si>
  <si>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</si>
  <si>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</si>
  <si>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</si>
  <si>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</si>
  <si>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</si>
  <si>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</si>
  <si>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</si>
  <si>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</si>
  <si>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</si>
  <si>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</si>
  <si>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</si>
  <si>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</si>
  <si>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</si>
  <si>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</si>
  <si>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</si>
  <si>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</si>
  <si>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</si>
  <si>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</si>
  <si>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</si>
  <si>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</si>
  <si>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</si>
  <si>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</si>
  <si>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</si>
  <si>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</si>
  <si>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</si>
  <si>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</si>
  <si>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</si>
  <si>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</si>
  <si>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</si>
  <si>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</si>
  <si>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</si>
  <si>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</si>
  <si>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</si>
  <si>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</si>
  <si>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</si>
  <si>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</si>
  <si>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</si>
  <si>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</si>
  <si>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</si>
  <si>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</si>
  <si>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</si>
  <si>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</si>
  <si>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</si>
  <si>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</si>
  <si>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</si>
  <si>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</si>
  <si>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</si>
  <si>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</si>
  <si>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</si>
  <si>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</si>
  <si>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</si>
  <si>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</si>
  <si>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</si>
  <si>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</si>
  <si>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</si>
  <si>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</si>
  <si>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</si>
  <si>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</si>
  <si>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</si>
  <si>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</si>
  <si>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</si>
  <si>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</si>
  <si>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</si>
  <si>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</si>
  <si>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</si>
  <si>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</si>
  <si>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</si>
  <si>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</si>
  <si>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</si>
  <si>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</si>
  <si>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</si>
  <si>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</si>
  <si>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</si>
  <si>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</si>
  <si>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</si>
  <si>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</si>
  <si>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</si>
  <si>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</si>
  <si>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</si>
  <si>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</si>
  <si>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</si>
  <si>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</si>
  <si>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</si>
  <si>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</si>
  <si>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</si>
  <si>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</si>
  <si>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</si>
  <si>
    <t>Joyman Castro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</si>
</sst>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10</v>
    <v>5</v>
    <v>0</v>
    <v>0</v>
  </rv>
  <rv s="0">
    <v>7</v>
    <v>1</v>
    <v>0</v>
    <v>0</v>
  </rv>
  <rv s="0">
    <v>13</v>
    <v>1</v>
    <v>0</v>
    <v>0</v>
  </rv>
  <rv s="0">
    <v>14</v>
    <v>5</v>
    <v>0</v>
    <v>0</v>
  </rv>
  <rv s="0">
    <v>17</v>
    <v>5</v>
    <v>0</v>
    <v>0</v>
  </rv>
  <rv s="0">
    <v>18</v>
    <v>1</v>
    <v>0</v>
    <v>0</v>
  </rv>
  <rv s="0">
    <v>26</v>
    <v>1</v>
    <v>0</v>
    <v>0</v>
  </rv>
  <rv s="0">
    <v>8</v>
    <v>5</v>
    <v>0</v>
    <v>0</v>
  </rv>
  <rv s="0">
    <v>34</v>
    <v>5</v>
    <v>0</v>
    <v>0</v>
  </rv>
  <rv s="0">
    <v>32</v>
    <v>1</v>
    <v>0</v>
    <v>0</v>
  </rv>
  <rv s="0">
    <v>35</v>
    <v>1</v>
    <v>0</v>
    <v>0</v>
  </rv>
  <rv s="0">
    <v>24</v>
    <v>5</v>
    <v>0</v>
    <v>0</v>
  </rv>
  <rv s="0">
    <v>41</v>
    <v>1</v>
    <v>0</v>
    <v>0</v>
  </rv>
  <rv s="0">
    <v>51</v>
    <v>1</v>
    <v>0</v>
    <v>0</v>
  </rv>
  <rv s="0">
    <v>52</v>
    <v>5</v>
    <v>0</v>
    <v>0</v>
  </rv>
  <rv s="0">
    <v>11</v>
    <v>5</v>
    <v>0</v>
    <v>0</v>
  </rv>
  <rv s="0">
    <v>12</v>
    <v>1</v>
    <v>0</v>
    <v>0</v>
  </rv>
  <rv s="0">
    <v>6</v>
    <v>1</v>
    <v>0</v>
    <v>0</v>
  </rv>
  <rv s="0">
    <v>0</v>
    <v>5</v>
    <v>0</v>
    <v>0</v>
  </rv>
  <rv s="0">
    <v>25</v>
    <v>1</v>
    <v>0</v>
    <v>0</v>
  </rv>
  <rv s="0">
    <v>23</v>
    <v>1</v>
    <v>0</v>
    <v>0</v>
  </rv>
  <rv s="0">
    <v>36</v>
    <v>1</v>
    <v>0</v>
    <v>0</v>
  </rv>
  <rv s="0">
    <v>33</v>
    <v>1</v>
    <v>0</v>
    <v>0</v>
  </rv>
  <rv s="0">
    <v>3</v>
    <v>5</v>
    <v>0</v>
    <v>0</v>
  </rv>
  <rv s="0">
    <v>47</v>
    <v>1</v>
    <v>0</v>
    <v>0</v>
  </rv>
  <rv s="0">
    <v>46</v>
    <v>1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50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joymancastro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16" zoomScaleNormal="100" workbookViewId="0">
      <selection activeCell="I28" sqref="I28"/>
    </sheetView>
  </sheetViews>
  <sheetFormatPr baseColWidth="10" defaultColWidth="11.4257812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 x14ac:dyDescent="0.25">
      <c r="B3" s="288" t="s">
        <v>1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6" t="s">
        <v>2</v>
      </c>
      <c r="D5" s="217" t="s">
        <v>3</v>
      </c>
      <c r="G5" s="289" t="s">
        <v>4</v>
      </c>
      <c r="H5" s="290"/>
      <c r="I5" s="290"/>
      <c r="J5" s="290"/>
      <c r="K5" s="290"/>
      <c r="L5" s="291"/>
    </row>
    <row r="6" spans="1:19" x14ac:dyDescent="0.25">
      <c r="B6" s="53" t="s">
        <v>5</v>
      </c>
      <c r="C6" s="54">
        <v>3</v>
      </c>
      <c r="D6" s="54">
        <f>C6*6*8</f>
        <v>144</v>
      </c>
      <c r="E6" s="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</row>
    <row r="7" spans="1:19" x14ac:dyDescent="0.25">
      <c r="B7" s="55" t="s">
        <v>9</v>
      </c>
      <c r="C7" s="56">
        <v>0</v>
      </c>
      <c r="D7" s="56">
        <f>C7*2*6*8</f>
        <v>0</v>
      </c>
      <c r="E7" s="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</row>
    <row r="8" spans="1:19" ht="15.75" thickBot="1" x14ac:dyDescent="0.3">
      <c r="B8" s="58" t="s">
        <v>11</v>
      </c>
      <c r="C8" s="59">
        <v>5</v>
      </c>
      <c r="D8" s="59">
        <f>C8*6*8</f>
        <v>240</v>
      </c>
      <c r="E8" s="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</row>
    <row r="9" spans="1:19" x14ac:dyDescent="0.25">
      <c r="B9" s="249" t="s">
        <v>13</v>
      </c>
      <c r="C9" s="54">
        <v>9</v>
      </c>
      <c r="D9" s="54">
        <f>C9*8</f>
        <v>72</v>
      </c>
      <c r="E9" s="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</row>
    <row r="10" spans="1:19" x14ac:dyDescent="0.25">
      <c r="B10" s="250" t="s">
        <v>15</v>
      </c>
      <c r="C10" s="56">
        <v>0</v>
      </c>
      <c r="D10" s="56">
        <f>C10*2*8</f>
        <v>0</v>
      </c>
      <c r="E10" s="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</row>
    <row r="11" spans="1:19" ht="15.75" thickBot="1" x14ac:dyDescent="0.3">
      <c r="B11" s="251" t="s">
        <v>17</v>
      </c>
      <c r="C11" s="59">
        <v>15</v>
      </c>
      <c r="D11" s="59">
        <f>C11*8</f>
        <v>120</v>
      </c>
      <c r="E11" s="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</row>
    <row r="12" spans="1:19" x14ac:dyDescent="0.25">
      <c r="B12" s="60" t="s">
        <v>19</v>
      </c>
      <c r="C12" s="54">
        <v>9</v>
      </c>
      <c r="D12" s="54">
        <f>C12*4</f>
        <v>36</v>
      </c>
      <c r="E12" s="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</row>
    <row r="13" spans="1:19" ht="15.75" thickBot="1" x14ac:dyDescent="0.3">
      <c r="B13" s="61" t="s">
        <v>21</v>
      </c>
      <c r="C13" s="56">
        <v>0</v>
      </c>
      <c r="D13" s="56">
        <f>C13*2*4</f>
        <v>0</v>
      </c>
      <c r="E13" s="81"/>
      <c r="G13" s="214" t="s">
        <v>22</v>
      </c>
      <c r="H13" s="62">
        <v>0</v>
      </c>
      <c r="I13" s="214"/>
      <c r="J13" s="62"/>
      <c r="K13" s="214"/>
      <c r="L13" s="63"/>
    </row>
    <row r="14" spans="1:19" ht="15.75" thickBot="1" x14ac:dyDescent="0.3">
      <c r="B14" s="64" t="s">
        <v>23</v>
      </c>
      <c r="C14" s="59">
        <f>+C11</f>
        <v>15</v>
      </c>
      <c r="D14" s="59">
        <f>C14*4</f>
        <v>60</v>
      </c>
      <c r="E14" s="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</row>
    <row r="15" spans="1:19" x14ac:dyDescent="0.25">
      <c r="B15" s="65" t="s">
        <v>25</v>
      </c>
      <c r="C15" s="54">
        <v>9</v>
      </c>
      <c r="D15" s="54">
        <f>C15*2</f>
        <v>18</v>
      </c>
      <c r="E15" s="81"/>
    </row>
    <row r="16" spans="1:19" x14ac:dyDescent="0.25">
      <c r="B16" s="66" t="s">
        <v>26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27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29</v>
      </c>
      <c r="C19" s="56">
        <v>0</v>
      </c>
      <c r="D19" s="56">
        <f>C19*2</f>
        <v>0</v>
      </c>
      <c r="E19" s="81"/>
      <c r="I19" s="298" t="s">
        <v>30</v>
      </c>
    </row>
    <row r="20" spans="2:9" ht="15.75" thickBot="1" x14ac:dyDescent="0.3">
      <c r="B20" s="70" t="s">
        <v>31</v>
      </c>
      <c r="C20" s="59">
        <v>15</v>
      </c>
      <c r="D20" s="59">
        <f>C20</f>
        <v>15</v>
      </c>
      <c r="E20" s="81"/>
      <c r="I20" s="299"/>
    </row>
    <row r="21" spans="2:9" x14ac:dyDescent="0.25">
      <c r="B21" s="142" t="s">
        <v>32</v>
      </c>
      <c r="C21" s="71">
        <v>15</v>
      </c>
      <c r="D21" s="54">
        <f>+C21*8</f>
        <v>120</v>
      </c>
      <c r="E21" s="81"/>
      <c r="I21" s="300" t="s">
        <v>33</v>
      </c>
    </row>
    <row r="22" spans="2:9" ht="15.75" thickBot="1" x14ac:dyDescent="0.3">
      <c r="B22" s="143" t="s">
        <v>34</v>
      </c>
      <c r="C22" s="72">
        <v>20</v>
      </c>
      <c r="D22" s="56">
        <f>+C22*8</f>
        <v>160</v>
      </c>
      <c r="E22" s="81"/>
      <c r="I22" s="301"/>
    </row>
    <row r="23" spans="2:9" x14ac:dyDescent="0.25">
      <c r="B23" s="143" t="s">
        <v>35</v>
      </c>
      <c r="C23" s="72">
        <v>25</v>
      </c>
      <c r="D23" s="56">
        <f>+C23*8</f>
        <v>200</v>
      </c>
      <c r="E23" s="81"/>
    </row>
    <row r="24" spans="2:9" x14ac:dyDescent="0.25">
      <c r="B24" s="143" t="s">
        <v>36</v>
      </c>
      <c r="C24" s="72">
        <v>30</v>
      </c>
      <c r="D24" s="56">
        <f>+C24*4</f>
        <v>120</v>
      </c>
      <c r="E24" s="81"/>
    </row>
    <row r="25" spans="2:9" x14ac:dyDescent="0.25">
      <c r="B25" s="143" t="s">
        <v>37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38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8" t="s">
        <v>39</v>
      </c>
      <c r="C28" s="292" t="s">
        <v>355</v>
      </c>
      <c r="D28" s="293"/>
      <c r="E28" s="293"/>
      <c r="F28" s="293"/>
      <c r="G28" s="294"/>
    </row>
    <row r="29" spans="2:9" ht="15.75" thickBot="1" x14ac:dyDescent="0.3">
      <c r="B29" s="74"/>
    </row>
    <row r="30" spans="2:9" x14ac:dyDescent="0.25">
      <c r="B30" s="218" t="s">
        <v>40</v>
      </c>
      <c r="C30" s="295" t="s">
        <v>41</v>
      </c>
      <c r="D30" s="296"/>
      <c r="E30" s="296"/>
      <c r="F30" s="296"/>
      <c r="G30" s="297"/>
    </row>
    <row r="31" spans="2:9" ht="15.75" thickBot="1" x14ac:dyDescent="0.3"/>
    <row r="32" spans="2:9" ht="15.75" thickBot="1" x14ac:dyDescent="0.3">
      <c r="B32" s="218" t="s">
        <v>42</v>
      </c>
      <c r="C32" s="286">
        <v>4241170858</v>
      </c>
      <c r="D32" s="287"/>
      <c r="F32" s="218" t="s">
        <v>43</v>
      </c>
      <c r="G32" s="137">
        <v>2</v>
      </c>
    </row>
    <row r="34" spans="1:19" x14ac:dyDescent="0.25">
      <c r="C34" s="216" t="s">
        <v>2</v>
      </c>
      <c r="D34" s="217" t="s">
        <v>3</v>
      </c>
    </row>
    <row r="35" spans="1:19" x14ac:dyDescent="0.25">
      <c r="B35" s="277" t="s">
        <v>44</v>
      </c>
      <c r="C35" s="111">
        <v>15</v>
      </c>
      <c r="D35" s="111">
        <v>15</v>
      </c>
      <c r="E35" s="282" t="s">
        <v>45</v>
      </c>
      <c r="F35" s="283"/>
    </row>
    <row r="36" spans="1:19" x14ac:dyDescent="0.25">
      <c r="B36" s="277" t="s">
        <v>46</v>
      </c>
      <c r="C36" s="111">
        <v>15</v>
      </c>
      <c r="D36" s="111">
        <v>15</v>
      </c>
      <c r="E36" s="282" t="s">
        <v>47</v>
      </c>
      <c r="F36" s="283"/>
    </row>
    <row r="37" spans="1:19" x14ac:dyDescent="0.25">
      <c r="B37" s="277" t="s">
        <v>48</v>
      </c>
      <c r="C37" s="111">
        <v>15</v>
      </c>
      <c r="D37" s="111">
        <v>15</v>
      </c>
      <c r="E37" s="282" t="s">
        <v>49</v>
      </c>
      <c r="F37" s="283"/>
    </row>
    <row r="38" spans="1:19" x14ac:dyDescent="0.25">
      <c r="A38" s="278"/>
      <c r="B38" s="279" t="s">
        <v>50</v>
      </c>
      <c r="C38" s="280">
        <v>15</v>
      </c>
      <c r="D38" s="280">
        <v>15</v>
      </c>
      <c r="E38" s="284" t="s">
        <v>51</v>
      </c>
      <c r="F38" s="285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 x14ac:dyDescent="0.25">
      <c r="B39" s="277" t="s">
        <v>52</v>
      </c>
      <c r="C39" s="111">
        <v>15</v>
      </c>
      <c r="D39" s="111">
        <v>15</v>
      </c>
      <c r="E39" s="282" t="s">
        <v>53</v>
      </c>
      <c r="F39" s="283"/>
    </row>
    <row r="40" spans="1:19" x14ac:dyDescent="0.25">
      <c r="B40" s="277" t="s">
        <v>54</v>
      </c>
      <c r="C40" s="111">
        <v>15</v>
      </c>
      <c r="D40" s="111">
        <v>15</v>
      </c>
      <c r="E40" s="282" t="s">
        <v>55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joymancastro@gmail.com" xr:uid="{02E853BA-B249-4F24-83A5-FC93FCDCBCF2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 x14ac:dyDescent="0.25">
      <c r="C8" s="168" t="s">
        <v>56</v>
      </c>
      <c r="D8" s="169" t="s">
        <v>57</v>
      </c>
      <c r="E8" s="169" t="s">
        <v>58</v>
      </c>
      <c r="F8" s="170"/>
      <c r="G8" s="170"/>
      <c r="H8" s="302" t="s">
        <v>59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60</v>
      </c>
      <c r="U8" s="172" t="s">
        <v>61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62</v>
      </c>
      <c r="B10" s="49" t="s">
        <v>63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64</v>
      </c>
      <c r="I10" s="182" t="e" vm="2">
        <f>IFERROR(VLOOKUP(H10,Aux!$A:$C,3,0),"")</f>
        <v>#VALUE!</v>
      </c>
      <c r="J10" s="183"/>
      <c r="K10" s="202">
        <v>2</v>
      </c>
      <c r="L10" s="183" t="s">
        <v>65</v>
      </c>
      <c r="M10" s="202">
        <v>1</v>
      </c>
      <c r="N10" s="184"/>
      <c r="O10" s="183" t="e" vm="3">
        <f>IFERROR(VLOOKUP(P10,Aux!$A:$C,3,0),"")</f>
        <v>#VALUE!</v>
      </c>
      <c r="P10" s="185" t="s">
        <v>66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U10" s="205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7"/>
      <c r="D11" s="187"/>
      <c r="E11" s="188"/>
      <c r="F11" s="189"/>
      <c r="G11" s="189"/>
      <c r="H11" s="190" t="s">
        <v>67</v>
      </c>
      <c r="I11" s="190"/>
      <c r="J11" s="184"/>
      <c r="K11" s="191"/>
      <c r="L11" s="191" t="s">
        <v>65</v>
      </c>
      <c r="M11" s="191"/>
      <c r="N11" s="192"/>
      <c r="O11" s="191"/>
      <c r="P11" s="192"/>
      <c r="Q11" s="192"/>
      <c r="R11" s="192"/>
      <c r="S11" s="203"/>
      <c r="U11" s="206"/>
    </row>
    <row r="12" spans="1:21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1" ht="15" customHeight="1" x14ac:dyDescent="0.25">
      <c r="S13" s="247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K19" sqref="K1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0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47"/>
      <c r="AE8" s="39"/>
      <c r="AF8" s="39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2</v>
      </c>
      <c r="K10" s="145"/>
      <c r="L10" s="202">
        <v>4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10</v>
      </c>
      <c r="AP10" s="141">
        <f>AN10-AO10</f>
        <v>-7</v>
      </c>
      <c r="AQ10" s="138">
        <v>0</v>
      </c>
      <c r="AR10" s="141">
        <f>+AW10+AV10+AU10</f>
        <v>-6.9699999999999993E-6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-6.9699999999999993E-6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1</v>
      </c>
      <c r="K12" s="145" t="s">
        <v>65</v>
      </c>
      <c r="L12" s="202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39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7</v>
      </c>
      <c r="AC12" s="95">
        <f>AA12-AB12</f>
        <v>0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7</v>
      </c>
      <c r="AP12" s="141">
        <f>AN12-AO12</f>
        <v>0</v>
      </c>
      <c r="AQ12" s="138">
        <v>0</v>
      </c>
      <c r="AR12" s="141">
        <f>+AW12+AV12+AU12</f>
        <v>6.00060007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6.0006999999999997E-4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3</v>
      </c>
      <c r="K14" s="145" t="s">
        <v>65</v>
      </c>
      <c r="L14" s="202">
        <v>1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39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6</v>
      </c>
      <c r="AB14" s="95">
        <f>VLOOKUP($T14,$AH$10:$AO$16,8,0)</f>
        <v>6</v>
      </c>
      <c r="AC14" s="95">
        <f>AA14-AB14</f>
        <v>0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6</v>
      </c>
      <c r="AP14" s="141">
        <f>AN14-AO14</f>
        <v>0</v>
      </c>
      <c r="AQ14" s="138">
        <v>0</v>
      </c>
      <c r="AR14" s="141">
        <f>+AW14+AV14+AU14</f>
        <v>3.0003000599999998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3.0005999999999994E-4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3.302054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-0.98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0</v>
      </c>
      <c r="K16" s="145" t="s">
        <v>65</v>
      </c>
      <c r="L16" s="202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10</v>
      </c>
      <c r="AC16" s="95">
        <f>AA16-AB16</f>
        <v>-7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1</v>
      </c>
      <c r="AP16" s="141">
        <f>AN16-AO16</f>
        <v>7</v>
      </c>
      <c r="AQ16" s="138">
        <v>0</v>
      </c>
      <c r="AR16" s="141">
        <f>+AW16+AV16+AU16</f>
        <v>9.0009070799999993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3</v>
      </c>
      <c r="K18" s="145" t="s">
        <v>65</v>
      </c>
      <c r="L18" s="202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3</v>
      </c>
      <c r="K20" s="145" t="s">
        <v>65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A3" zoomScale="90" zoomScaleNormal="90" workbookViewId="0">
      <selection activeCell="L17" sqref="L1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3</v>
      </c>
      <c r="K10" s="145" t="s">
        <v>65</v>
      </c>
      <c r="L10" s="202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1</v>
      </c>
      <c r="AP10" s="141">
        <f>AN10-AO10</f>
        <v>11</v>
      </c>
      <c r="AQ10" s="138">
        <v>0</v>
      </c>
      <c r="AR10" s="141">
        <f>+AW10+AV10+AU10</f>
        <v>9.0009111199999996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9.1111999999999986E-4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4</v>
      </c>
      <c r="K12" s="145" t="s">
        <v>65</v>
      </c>
      <c r="L12" s="202">
        <v>2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3</v>
      </c>
      <c r="AP12" s="141">
        <f>AN12-AO12</f>
        <v>4</v>
      </c>
      <c r="AQ12" s="138">
        <v>0</v>
      </c>
      <c r="AR12" s="141">
        <f>+AW12+AV12+AU12</f>
        <v>6.0006040699999996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6.0406999999999995E-4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65</v>
      </c>
      <c r="L14" s="202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3.0002960399999998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2.9604000000000002E-4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302.04000000000002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4</v>
      </c>
      <c r="K16" s="145" t="s">
        <v>65</v>
      </c>
      <c r="L16" s="202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13</v>
      </c>
      <c r="AC16" s="95">
        <f>AA16-AB16</f>
        <v>-11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13</v>
      </c>
      <c r="AP16" s="141">
        <f>AN16-AO16</f>
        <v>-11</v>
      </c>
      <c r="AQ16" s="138">
        <v>0</v>
      </c>
      <c r="AR16" s="141">
        <f>+AW16+AV16+AU16</f>
        <v>-1.098E-5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-1.098E-5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-1.98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65</v>
      </c>
      <c r="L18" s="202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65</v>
      </c>
      <c r="L20" s="202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K19" sqref="K1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4</v>
      </c>
      <c r="K10" s="145" t="s">
        <v>65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1</v>
      </c>
      <c r="AP10" s="141">
        <f>AN10-AO10</f>
        <v>9</v>
      </c>
      <c r="AQ10" s="138">
        <v>0</v>
      </c>
      <c r="AR10" s="141">
        <f>+AW10+AV10+AU10</f>
        <v>9.0009090999999994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9.0909999999999993E-4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65</v>
      </c>
      <c r="L12" s="202">
        <v>4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-7.9899999999999997E-6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-7.9899999999999997E-6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3</v>
      </c>
      <c r="K14" s="145" t="s">
        <v>65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8</v>
      </c>
      <c r="AC14" s="95">
        <f>AA14-AB14</f>
        <v>-5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8</v>
      </c>
      <c r="AP14" s="141">
        <f>AN14-AO14</f>
        <v>-5</v>
      </c>
      <c r="AQ14" s="138">
        <v>0</v>
      </c>
      <c r="AR14" s="141">
        <f>+AW14+AV14+AU14</f>
        <v>3.0002950300000002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 t="s">
        <v>65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4</v>
      </c>
      <c r="AP16" s="141">
        <f>AN16-AO16</f>
        <v>4</v>
      </c>
      <c r="AQ16" s="138">
        <v>0</v>
      </c>
      <c r="AR16" s="141">
        <f>+AW16+AV16+AU16</f>
        <v>6.0006040799999996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303.04000000000002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65</v>
      </c>
      <c r="L18" s="202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1</v>
      </c>
      <c r="K20" s="145" t="s">
        <v>65</v>
      </c>
      <c r="L20" s="202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A3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4</v>
      </c>
      <c r="K10" s="145" t="s">
        <v>65</v>
      </c>
      <c r="L10" s="202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5</v>
      </c>
      <c r="AP10" s="141">
        <f>AN10-AO10</f>
        <v>1</v>
      </c>
      <c r="AQ10" s="138">
        <v>0</v>
      </c>
      <c r="AR10" s="141">
        <f>+AW10+AV10+AU10</f>
        <v>6.0006010600000002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6.0105999999999994E-4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65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-5.9900000000000002E-6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-5.9900000000000002E-6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65</v>
      </c>
      <c r="L14" s="202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1</v>
      </c>
      <c r="AP14" s="141">
        <f>AN14-AO14</f>
        <v>8</v>
      </c>
      <c r="AQ14" s="138">
        <v>0</v>
      </c>
      <c r="AR14" s="141">
        <f>+AW14+AV14+AU14</f>
        <v>9.0009080899999994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9.0808999999999996E-4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304.04000000000002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3</v>
      </c>
      <c r="K16" s="145" t="s">
        <v>65</v>
      </c>
      <c r="L16" s="202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8</v>
      </c>
      <c r="AP16" s="141">
        <f>AN16-AO16</f>
        <v>-3</v>
      </c>
      <c r="AQ16" s="138">
        <v>0</v>
      </c>
      <c r="AR16" s="141">
        <f>+AW16+AV16+AU16</f>
        <v>3.0002970499999999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2.9704999999999993E-4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-4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2</v>
      </c>
      <c r="K18" s="145" t="s">
        <v>65</v>
      </c>
      <c r="L18" s="202">
        <v>3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0</v>
      </c>
      <c r="K20" s="145" t="s">
        <v>65</v>
      </c>
      <c r="L20" s="202">
        <v>2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18" sqref="L1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3</v>
      </c>
      <c r="BB6" s="138">
        <f t="shared" ref="BB6:BD6" si="1">VLOOKUP(BB8,$AH$10:$AW$16,14,0)</f>
        <v>0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65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0</v>
      </c>
      <c r="AC10" s="95">
        <f>AA10-AB10</f>
        <v>7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6</v>
      </c>
      <c r="AP10" s="141">
        <f>AN10-AO10</f>
        <v>-2</v>
      </c>
      <c r="AQ10" s="138">
        <v>0</v>
      </c>
      <c r="AR10" s="141">
        <f>+AW10+AV10+AU10</f>
        <v>3.0002980400000001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2.9803999999999996E-4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0</v>
      </c>
      <c r="K12" s="145" t="s">
        <v>65</v>
      </c>
      <c r="L12" s="202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39" t="str">
        <f>INDEX($AH$10:$AH$17,MATCH(2,$AY$10:$AY$16,0))</f>
        <v>Monterrey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-5.9900000000000002E-6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-5.9900000000000002E-6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2</v>
      </c>
      <c r="K14" s="145" t="s">
        <v>65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River Plate</v>
      </c>
      <c r="U14" s="91" t="e" vm="3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6.0006010600000002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6.0105999999999994E-4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2</v>
      </c>
      <c r="K16" s="145" t="s">
        <v>65</v>
      </c>
      <c r="L16" s="202">
        <v>3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0</v>
      </c>
      <c r="AP16" s="141">
        <f>AN16-AO16</f>
        <v>7</v>
      </c>
      <c r="AQ16" s="138">
        <v>0</v>
      </c>
      <c r="AR16" s="141">
        <f>+AW16+AV16+AU16</f>
        <v>9.0009070700000002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9.0706999999999995E-4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2</v>
      </c>
      <c r="K18" s="145" t="s">
        <v>65</v>
      </c>
      <c r="L18" s="202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0</v>
      </c>
      <c r="K20" s="145" t="s">
        <v>65</v>
      </c>
      <c r="L20" s="202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A5" zoomScale="90" zoomScaleNormal="90" workbookViewId="0">
      <selection activeCell="L26" sqref="L2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65</v>
      </c>
      <c r="L10" s="202">
        <v>4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5</v>
      </c>
      <c r="AP10" s="141">
        <f>AN10-AO10</f>
        <v>0</v>
      </c>
      <c r="AQ10" s="138">
        <v>0</v>
      </c>
      <c r="AR10" s="141">
        <f>+AW10+AV10+AU10</f>
        <v>6.0006000500000001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6.0004999999999998E-4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2</v>
      </c>
      <c r="K12" s="145" t="s">
        <v>65</v>
      </c>
      <c r="L12" s="202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11</v>
      </c>
      <c r="AO12" s="29" cm="1">
        <f t="array" ref="AO12">SUM(($G$10:$G$23=$AH12)*($L$10:$L$23)+($O$10:$O$23=$AH12)*($J$10:$J$23))</f>
        <v>2</v>
      </c>
      <c r="AP12" s="141">
        <f>AN12-AO12</f>
        <v>9</v>
      </c>
      <c r="AQ12" s="138">
        <v>0</v>
      </c>
      <c r="AR12" s="141">
        <f>+AW12+AV12+AU12</f>
        <v>9.0009091100000003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9.0910999999999997E-4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303.04000000000002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65</v>
      </c>
      <c r="L14" s="202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3.0002960299999999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2.9602999999999997E-4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65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7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7</v>
      </c>
      <c r="AP16" s="141">
        <f>AN16-AO16</f>
        <v>-5</v>
      </c>
      <c r="AQ16" s="138">
        <v>0</v>
      </c>
      <c r="AR16" s="141">
        <f>+AW16+AV16+AU16</f>
        <v>-4.9800000000000006E-6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-4.9800000000000006E-6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4</v>
      </c>
      <c r="K18" s="145" t="s">
        <v>65</v>
      </c>
      <c r="L18" s="202">
        <v>1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1</v>
      </c>
      <c r="K20" s="145" t="s">
        <v>65</v>
      </c>
      <c r="L20" s="202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3" zoomScale="90" zoomScaleNormal="90" workbookViewId="0">
      <selection activeCell="L19" sqref="L1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5</v>
      </c>
      <c r="K10" s="145" t="s">
        <v>65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1</v>
      </c>
      <c r="AP10" s="141">
        <f>AN10-AO10</f>
        <v>10</v>
      </c>
      <c r="AQ10" s="138">
        <v>0</v>
      </c>
      <c r="AR10" s="141">
        <f>+AW10+AV10+AU10</f>
        <v>9.0003020300000003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65</v>
      </c>
      <c r="L12" s="202">
        <v>1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2</v>
      </c>
      <c r="K14" s="145" t="s">
        <v>65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3</v>
      </c>
      <c r="K16" s="145" t="s">
        <v>65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5.9999980099999997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65</v>
      </c>
      <c r="L18" s="202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2</v>
      </c>
      <c r="K20" s="145" t="s">
        <v>65</v>
      </c>
      <c r="L20" s="202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3" zoomScale="90" zoomScaleNormal="90" workbookViewId="0">
      <selection activeCell="J16" sqref="J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68</v>
      </c>
      <c r="AZ5" s="45"/>
      <c r="BA5" s="138">
        <f>VLOOKUP(BA8,$AH$10:$AW$16,15,0)</f>
        <v>0</v>
      </c>
      <c r="BB5" s="138">
        <f t="shared" ref="BB5:BD5" si="0">VLOOKUP(BB8,$AH$10:$AW$16,15,0)</f>
        <v>0.30002999999999996</v>
      </c>
      <c r="BC5" s="138">
        <f t="shared" si="0"/>
        <v>0.30003999999999997</v>
      </c>
      <c r="BD5" s="138">
        <f t="shared" si="0"/>
        <v>0.30003999999999997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70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3</v>
      </c>
      <c r="BD6" s="138">
        <f t="shared" si="1"/>
        <v>3</v>
      </c>
    </row>
    <row r="7" spans="1:56" s="30" customFormat="1" ht="22.15" customHeight="1" thickBot="1" x14ac:dyDescent="0.3">
      <c r="B7" s="107" t="s">
        <v>56</v>
      </c>
      <c r="C7" s="108" t="s">
        <v>57</v>
      </c>
      <c r="D7" s="108" t="s">
        <v>58</v>
      </c>
      <c r="E7" s="306" t="s">
        <v>71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60</v>
      </c>
      <c r="S7" s="34"/>
      <c r="T7" s="309" t="s">
        <v>72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73</v>
      </c>
      <c r="X8" s="37" t="s">
        <v>74</v>
      </c>
      <c r="Y8" s="37" t="s">
        <v>75</v>
      </c>
      <c r="Z8" s="37" t="s">
        <v>76</v>
      </c>
      <c r="AA8" s="38" t="s">
        <v>77</v>
      </c>
      <c r="AB8" s="38" t="s">
        <v>78</v>
      </c>
      <c r="AC8" s="38" t="s">
        <v>79</v>
      </c>
      <c r="AD8" s="33"/>
      <c r="AE8" s="39"/>
      <c r="AF8" s="46"/>
      <c r="AG8" s="46"/>
      <c r="AH8" s="173" t="s">
        <v>80</v>
      </c>
      <c r="AI8" s="174" t="s">
        <v>81</v>
      </c>
      <c r="AJ8" s="175" t="s">
        <v>73</v>
      </c>
      <c r="AK8" s="174" t="s">
        <v>74</v>
      </c>
      <c r="AL8" s="174" t="s">
        <v>75</v>
      </c>
      <c r="AM8" s="174" t="s">
        <v>76</v>
      </c>
      <c r="AN8" s="264" t="s">
        <v>77</v>
      </c>
      <c r="AO8" s="264" t="s">
        <v>78</v>
      </c>
      <c r="AP8" s="264" t="s">
        <v>82</v>
      </c>
      <c r="AQ8" s="264" t="s">
        <v>83</v>
      </c>
      <c r="AR8" s="264" t="s">
        <v>84</v>
      </c>
      <c r="AS8" s="264"/>
      <c r="AT8" s="264"/>
      <c r="AU8" s="29" t="s">
        <v>85</v>
      </c>
      <c r="AV8" s="29" t="s">
        <v>86</v>
      </c>
      <c r="AW8" s="29" t="s">
        <v>87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4</v>
      </c>
      <c r="K10" s="145" t="s">
        <v>65</v>
      </c>
      <c r="L10" s="202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3</v>
      </c>
      <c r="AP10" s="141">
        <f>AN10-AO10</f>
        <v>8</v>
      </c>
      <c r="AQ10" s="138">
        <v>0</v>
      </c>
      <c r="AR10" s="141">
        <f>+AW10+AV10+AU10</f>
        <v>9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0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2</v>
      </c>
      <c r="K12" s="145" t="s">
        <v>65</v>
      </c>
      <c r="L12" s="202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39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3</v>
      </c>
      <c r="X12" s="94">
        <f>VLOOKUP($T12,$AH$10:$AO$16,4,0)</f>
        <v>1</v>
      </c>
      <c r="Y12" s="94">
        <f>VLOOKUP($T12,$AH$10:$AO$16,5,0)</f>
        <v>0</v>
      </c>
      <c r="Z12" s="94">
        <f>VLOOKUP($T12,$AH$10:$AO$16,6,0)</f>
        <v>2</v>
      </c>
      <c r="AA12" s="95">
        <f>VLOOKUP($T12,$AH$10:$AO$16,7,0)</f>
        <v>6</v>
      </c>
      <c r="AB12" s="95">
        <f>VLOOKUP($T12,$AH$10:$AO$16,8,0)</f>
        <v>7</v>
      </c>
      <c r="AC12" s="95">
        <f>AA12-AB12</f>
        <v>-1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7</v>
      </c>
      <c r="AP12" s="141">
        <f>AN12-AO12</f>
        <v>-3</v>
      </c>
      <c r="AQ12" s="138">
        <v>0</v>
      </c>
      <c r="AR12" s="141">
        <f>+AW12+AV12+AU12</f>
        <v>3.30003</v>
      </c>
      <c r="AS12" s="29"/>
      <c r="AT12" s="29"/>
      <c r="AU12" s="141">
        <f>+AJ12</f>
        <v>3</v>
      </c>
      <c r="AV12" s="141">
        <f>SUMIFS($BA12:$BD12,$BA$6:$BD$6,AJ12)/1000</f>
        <v>0.30002999999999996</v>
      </c>
      <c r="AW12" s="141">
        <f>SUMIFS($BA12:$BD12,$BA$5:$BD$5,AV12)/1000000</f>
        <v>0</v>
      </c>
      <c r="AX12" s="29">
        <f>_xlfn.RANK.EQ(AJ12,$AJ$10:$AJ$16)+_xlfn.RANK.EQ(AR12,$AR$10:$AR$16)/10+_xlfn.RANK.EQ(AP12,$AP$10:$AP$16)/1000+_xlfn.RANK.EQ(AN12,$AN$10:$AN$16)/100000+_xlfn.RANK.EQ(AQ12,$AQ$10:$AQ$16)/100000+ROW()/1000000</f>
        <v>2.4030520000000002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4</v>
      </c>
      <c r="K14" s="145" t="s">
        <v>65</v>
      </c>
      <c r="L14" s="202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9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3.3000390199999998</v>
      </c>
      <c r="AS14" s="29"/>
      <c r="AT14" s="29"/>
      <c r="AU14" s="141">
        <f>+AJ14</f>
        <v>3</v>
      </c>
      <c r="AV14" s="141">
        <f>SUMIFS($BA14:$BD14,$BA$6:$BD$6,AJ14)/1000</f>
        <v>0.30003999999999997</v>
      </c>
      <c r="AW14" s="141">
        <f>SUMIFS($BA14:$BD14,$BA$5:$BD$5,AV14)/1000000</f>
        <v>-9.7999999999999993E-7</v>
      </c>
      <c r="AX14" s="29">
        <f>_xlfn.RANK.EQ(AJ14,$AJ$10:$AJ$16)+_xlfn.RANK.EQ(AR14,$AR$10:$AR$16)/10+_xlfn.RANK.EQ(AP14,$AP$10:$AP$16)/1000+_xlfn.RANK.EQ(AN14,$AN$10:$AN$16)/100000+_xlfn.RANK.EQ(AQ14,$AQ$10:$AQ$16)/100000+ROW()/1000000</f>
        <v>2.3040540000000003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-0.98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1</v>
      </c>
      <c r="K16" s="145" t="s">
        <v>65</v>
      </c>
      <c r="L16" s="202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39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3</v>
      </c>
      <c r="X16" s="94">
        <f>VLOOKUP($T16,$AH$10:$AO$16,4,0)</f>
        <v>1</v>
      </c>
      <c r="Y16" s="94">
        <f>VLOOKUP($T16,$AH$10:$AO$16,5,0)</f>
        <v>0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7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7</v>
      </c>
      <c r="AP16" s="141">
        <f>AN16-AO16</f>
        <v>-1</v>
      </c>
      <c r="AQ16" s="138">
        <v>0</v>
      </c>
      <c r="AR16" s="141">
        <f>+AW16+AV16+AU16</f>
        <v>3.3003410299999998</v>
      </c>
      <c r="AS16" s="29"/>
      <c r="AT16" s="29"/>
      <c r="AU16" s="141">
        <f>+AJ16</f>
        <v>3</v>
      </c>
      <c r="AV16" s="141">
        <f>SUMIFS($BA16:$BD16,$BA$6:$BD$6,AJ16)/1000</f>
        <v>0.30003999999999997</v>
      </c>
      <c r="AW16" s="141">
        <f>SUMIFS($BA16:$BD16,$BA$5:$BD$5,AV16)/1000000</f>
        <v>3.0102999999999998E-4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1</v>
      </c>
      <c r="K18" s="145" t="s">
        <v>65</v>
      </c>
      <c r="L18" s="202">
        <v>2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2</v>
      </c>
      <c r="K20" s="145" t="s">
        <v>65</v>
      </c>
      <c r="L20" s="202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9" zoomScaleNormal="100" workbookViewId="0">
      <selection activeCell="M9" sqref="M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A8" s="274"/>
      <c r="B8" s="274"/>
      <c r="C8" s="168" t="s">
        <v>56</v>
      </c>
      <c r="D8" s="169" t="s">
        <v>57</v>
      </c>
      <c r="E8" s="169" t="s">
        <v>58</v>
      </c>
      <c r="F8" s="170"/>
      <c r="G8" s="170"/>
      <c r="H8" s="302" t="s">
        <v>95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60</v>
      </c>
      <c r="U8" s="172" t="s">
        <v>61</v>
      </c>
    </row>
    <row r="9" spans="1:24" ht="15" customHeight="1" thickBot="1" x14ac:dyDescent="0.3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4" t="s">
        <v>62</v>
      </c>
      <c r="B10" s="275" t="s">
        <v>63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54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55">
        <f ca="1">IFERROR(VLOOKUP(H10,Aux!$A:$C,3,0),"")</f>
        <v>#VALUE!</v>
      </c>
      <c r="J10" s="183"/>
      <c r="K10" s="202">
        <v>1</v>
      </c>
      <c r="L10" s="183" t="s">
        <v>65</v>
      </c>
      <c r="M10" s="202">
        <v>3</v>
      </c>
      <c r="N10" s="184"/>
      <c r="O10" s="183" t="e" vm="56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57">
        <f ca="1">IFERROR(VLOOKUP(P10,Aux!$A:$X,8,0),"")</f>
        <v>#VALUE!</v>
      </c>
      <c r="R10" s="185"/>
      <c r="S10" s="246" t="str">
        <f>+VLOOKUP(C10,Aux!M:AZ,7,0)</f>
        <v>Lincoln Financial Field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4"/>
      <c r="B11" s="274"/>
      <c r="C11" s="177"/>
      <c r="D11" s="187"/>
      <c r="E11" s="188"/>
      <c r="F11" s="189"/>
      <c r="G11" s="189"/>
      <c r="H11" s="190" t="s">
        <v>67</v>
      </c>
      <c r="I11" s="190"/>
      <c r="J11" s="184"/>
      <c r="K11" s="191"/>
      <c r="L11" s="191" t="s">
        <v>65</v>
      </c>
      <c r="M11" s="191"/>
      <c r="N11" s="192"/>
      <c r="O11" s="192"/>
      <c r="P11" s="192"/>
      <c r="Q11" s="192"/>
      <c r="R11" s="192"/>
      <c r="S11" s="246"/>
      <c r="U11" s="206"/>
    </row>
    <row r="12" spans="1:24" ht="15" customHeight="1" thickBot="1" x14ac:dyDescent="0.3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U12" s="206"/>
    </row>
    <row r="13" spans="1:24" ht="22.15" customHeight="1" thickBot="1" x14ac:dyDescent="0.3">
      <c r="A13" s="276" t="s">
        <v>96</v>
      </c>
      <c r="B13" s="276" t="s">
        <v>97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5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59">
        <f ca="1">IFERROR(VLOOKUP(H13,Aux!$A:$C,3,0),"")</f>
        <v>#VALUE!</v>
      </c>
      <c r="J13" s="193"/>
      <c r="K13" s="202">
        <v>2</v>
      </c>
      <c r="L13" s="183" t="s">
        <v>65</v>
      </c>
      <c r="M13" s="202">
        <v>0</v>
      </c>
      <c r="N13" s="184"/>
      <c r="O13" s="183" t="e" vm="60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61">
        <f ca="1">IFERROR(VLOOKUP(P13,Aux!$A:$X,8,0),"")</f>
        <v>#VALUE!</v>
      </c>
      <c r="R13" s="185"/>
      <c r="S13" s="246" t="str">
        <f>+VLOOKUP(C13,Aux!M:AZ,7,0)</f>
        <v>Bank of America Stadium</v>
      </c>
      <c r="U13" s="205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4"/>
      <c r="B14" s="274"/>
      <c r="C14" s="177"/>
      <c r="D14" s="187"/>
      <c r="E14" s="188"/>
      <c r="F14" s="189"/>
      <c r="G14" s="189"/>
      <c r="H14" s="190" t="s">
        <v>67</v>
      </c>
      <c r="I14" s="190"/>
      <c r="J14" s="184"/>
      <c r="K14" s="191"/>
      <c r="L14" s="191" t="s">
        <v>65</v>
      </c>
      <c r="M14" s="191"/>
      <c r="N14" s="192"/>
      <c r="O14" s="192"/>
      <c r="P14" s="192"/>
      <c r="Q14" s="192"/>
      <c r="R14" s="192"/>
      <c r="S14" s="246"/>
      <c r="U14" s="206"/>
    </row>
    <row r="15" spans="1:24" ht="15" customHeight="1" thickBot="1" x14ac:dyDescent="0.3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U15" s="206"/>
    </row>
    <row r="16" spans="1:24" ht="22.15" customHeight="1" thickBot="1" x14ac:dyDescent="0.3">
      <c r="A16" s="276" t="s">
        <v>98</v>
      </c>
      <c r="B16" s="276" t="s">
        <v>99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62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63">
        <f ca="1">IFERROR(VLOOKUP(H16,Aux!$A:$C,3,0),"")</f>
        <v>#VALUE!</v>
      </c>
      <c r="J16" s="193"/>
      <c r="K16" s="202">
        <v>2</v>
      </c>
      <c r="L16" s="183" t="s">
        <v>65</v>
      </c>
      <c r="M16" s="202">
        <v>0</v>
      </c>
      <c r="N16" s="184"/>
      <c r="O16" s="183" t="e" vm="64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61">
        <f ca="1">IFERROR(VLOOKUP(P16,Aux!$A:$X,8,0),"")</f>
        <v>#VALUE!</v>
      </c>
      <c r="R16" s="185"/>
      <c r="S16" s="246" t="str">
        <f>+VLOOKUP(C16,Aux!M:AZ,7,0)</f>
        <v>Bank of America Stadium</v>
      </c>
      <c r="U16" s="205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4"/>
      <c r="B17" s="274"/>
      <c r="C17" s="177"/>
      <c r="D17" s="187"/>
      <c r="E17" s="188"/>
      <c r="F17" s="189"/>
      <c r="G17" s="189"/>
      <c r="H17" s="190" t="s">
        <v>67</v>
      </c>
      <c r="I17" s="190"/>
      <c r="J17" s="184"/>
      <c r="K17" s="191"/>
      <c r="L17" s="191" t="s">
        <v>65</v>
      </c>
      <c r="M17" s="191"/>
      <c r="N17" s="192"/>
      <c r="O17" s="192"/>
      <c r="P17" s="192"/>
      <c r="Q17" s="192"/>
      <c r="R17" s="192"/>
      <c r="S17" s="246"/>
      <c r="U17" s="206"/>
    </row>
    <row r="18" spans="1:21" ht="15" customHeight="1" thickBot="1" x14ac:dyDescent="0.3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U18" s="206"/>
    </row>
    <row r="19" spans="1:21" ht="22.15" customHeight="1" thickBot="1" x14ac:dyDescent="0.3">
      <c r="A19" s="276" t="s">
        <v>100</v>
      </c>
      <c r="B19" s="276" t="s">
        <v>101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65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66">
        <f ca="1">IFERROR(VLOOKUP(H19,Aux!$A:$C,3,0),"")</f>
        <v>#VALUE!</v>
      </c>
      <c r="J19" s="193"/>
      <c r="K19" s="202">
        <v>3</v>
      </c>
      <c r="L19" s="183" t="s">
        <v>65</v>
      </c>
      <c r="M19" s="202">
        <v>1</v>
      </c>
      <c r="N19" s="184"/>
      <c r="O19" s="183" t="e" vm="67">
        <f ca="1">IFERROR(VLOOKUP(P19,Aux!$A:$C,3,0),"")</f>
        <v>#VALUE!</v>
      </c>
      <c r="P19" s="185" t="str" cm="1">
        <f t="array" aca="1" ref="P19" ca="1">INDIRECT(RIGHT(B19,1)&amp;"!T"&amp;8+LEFT(B19,1)*2)</f>
        <v>Salzburgo</v>
      </c>
      <c r="Q19" s="180" t="e" vm="68">
        <f ca="1">IFERROR(VLOOKUP(P19,Aux!$A:$X,8,0),"")</f>
        <v>#VALUE!</v>
      </c>
      <c r="R19" s="185"/>
      <c r="S19" s="246" t="str">
        <f>+VLOOKUP(C19,Aux!M:AZ,7,0)</f>
        <v>Camping World Stadium</v>
      </c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4"/>
      <c r="B20" s="274"/>
      <c r="C20" s="194"/>
      <c r="D20" s="187"/>
      <c r="E20" s="188"/>
      <c r="F20" s="184"/>
      <c r="G20" s="184"/>
      <c r="H20" s="190" t="s">
        <v>67</v>
      </c>
      <c r="I20" s="190"/>
      <c r="J20" s="184"/>
      <c r="K20" s="191"/>
      <c r="L20" s="191" t="s">
        <v>65</v>
      </c>
      <c r="M20" s="191"/>
      <c r="N20" s="192"/>
      <c r="O20" s="192"/>
      <c r="P20" s="192"/>
      <c r="Q20" s="184"/>
      <c r="R20" s="184"/>
      <c r="S20" s="248"/>
      <c r="U20" s="207"/>
    </row>
    <row r="21" spans="1:21" ht="15" customHeight="1" thickBot="1" x14ac:dyDescent="0.3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U21" s="207"/>
    </row>
    <row r="22" spans="1:21" ht="22.15" customHeight="1" thickBot="1" x14ac:dyDescent="0.3">
      <c r="A22" s="274" t="s">
        <v>102</v>
      </c>
      <c r="B22" s="275" t="s">
        <v>103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69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70">
        <f ca="1">IFERROR(VLOOKUP(H22,Aux!$A:$C,3,0),"")</f>
        <v>#VALUE!</v>
      </c>
      <c r="J22" s="183"/>
      <c r="K22" s="202">
        <v>4</v>
      </c>
      <c r="L22" s="183" t="s">
        <v>65</v>
      </c>
      <c r="M22" s="202">
        <v>0</v>
      </c>
      <c r="N22" s="184"/>
      <c r="O22" s="183" t="e" vm="71">
        <f ca="1">IFERROR(VLOOKUP(P22,Aux!$A:$C,3,0),"")</f>
        <v>#VALUE!</v>
      </c>
      <c r="P22" s="185" t="str" cm="1">
        <f t="array" aca="1" ref="P22" ca="1">INDIRECT(RIGHT(B22,1)&amp;"!T"&amp;8+LEFT(B22,1)*2)</f>
        <v>Inter Miami</v>
      </c>
      <c r="Q22" s="180" t="e" vm="72">
        <f ca="1">IFERROR(VLOOKUP(P22,Aux!$A:$X,8,0),"")</f>
        <v>#VALUE!</v>
      </c>
      <c r="R22" s="185"/>
      <c r="S22" s="246" t="str">
        <f>+VLOOKUP(C22,Aux!M:AZ,7,0)</f>
        <v>Mercedes-Benz Stadium</v>
      </c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4"/>
      <c r="B23" s="274"/>
      <c r="C23" s="177"/>
      <c r="D23" s="187"/>
      <c r="E23" s="188"/>
      <c r="F23" s="189"/>
      <c r="G23" s="189"/>
      <c r="H23" s="190" t="s">
        <v>67</v>
      </c>
      <c r="I23" s="190"/>
      <c r="J23" s="184"/>
      <c r="K23" s="191"/>
      <c r="L23" s="191" t="s">
        <v>65</v>
      </c>
      <c r="M23" s="191"/>
      <c r="N23" s="192"/>
      <c r="O23" s="192"/>
      <c r="P23" s="192"/>
      <c r="Q23" s="192"/>
      <c r="R23" s="192"/>
      <c r="S23" s="246"/>
      <c r="U23" s="206"/>
    </row>
    <row r="24" spans="1:21" ht="15" customHeight="1" thickBot="1" x14ac:dyDescent="0.3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U24" s="206"/>
    </row>
    <row r="25" spans="1:21" ht="22.15" customHeight="1" thickBot="1" x14ac:dyDescent="0.3">
      <c r="A25" s="276" t="s">
        <v>104</v>
      </c>
      <c r="B25" s="276" t="s">
        <v>105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65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73">
        <f ca="1">IFERROR(VLOOKUP(H25,Aux!$A:$C,3,0),"")</f>
        <v>#VALUE!</v>
      </c>
      <c r="J25" s="193"/>
      <c r="K25" s="202">
        <v>3</v>
      </c>
      <c r="L25" s="183" t="s">
        <v>65</v>
      </c>
      <c r="M25" s="202">
        <v>0</v>
      </c>
      <c r="N25" s="184"/>
      <c r="O25" s="183" t="e" vm="7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54">
        <f ca="1">IFERROR(VLOOKUP(P25,Aux!$A:$X,8,0),"")</f>
        <v>#VALUE!</v>
      </c>
      <c r="R25" s="185"/>
      <c r="S25" s="246" t="str">
        <f>+VLOOKUP(C25,Aux!M:AZ,7,0)</f>
        <v>Hard Rock Stadium</v>
      </c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4"/>
      <c r="B26" s="274"/>
      <c r="C26" s="177"/>
      <c r="D26" s="187"/>
      <c r="E26" s="188"/>
      <c r="F26" s="189"/>
      <c r="G26" s="189"/>
      <c r="H26" s="190" t="s">
        <v>67</v>
      </c>
      <c r="I26" s="190"/>
      <c r="J26" s="184"/>
      <c r="K26" s="191"/>
      <c r="L26" s="191" t="s">
        <v>65</v>
      </c>
      <c r="M26" s="191"/>
      <c r="N26" s="192"/>
      <c r="O26" s="192"/>
      <c r="P26" s="192"/>
      <c r="Q26" s="192"/>
      <c r="R26" s="192"/>
      <c r="S26" s="246"/>
      <c r="U26" s="206"/>
    </row>
    <row r="27" spans="1:21" ht="15" customHeight="1" thickBot="1" x14ac:dyDescent="0.3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U27" s="206"/>
    </row>
    <row r="28" spans="1:21" ht="22.15" customHeight="1" thickBot="1" x14ac:dyDescent="0.3">
      <c r="A28" s="276" t="s">
        <v>106</v>
      </c>
      <c r="B28" s="276" t="s">
        <v>107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5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75">
        <f ca="1">IFERROR(VLOOKUP(H28,Aux!$A:$C,3,0),"")</f>
        <v>#VALUE!</v>
      </c>
      <c r="J28" s="193"/>
      <c r="K28" s="202">
        <v>4</v>
      </c>
      <c r="L28" s="183" t="s">
        <v>65</v>
      </c>
      <c r="M28" s="202">
        <v>2</v>
      </c>
      <c r="N28" s="184"/>
      <c r="O28" s="183" t="e" vm="76">
        <f ca="1">IFERROR(VLOOKUP(P28,Aux!$A:$C,3,0),"")</f>
        <v>#VALUE!</v>
      </c>
      <c r="P28" s="185" t="str" cm="1">
        <f t="array" aca="1" ref="P28" ca="1">INDIRECT(RIGHT(B28,1)&amp;"!T"&amp;8+LEFT(B28,1)*2)</f>
        <v>Monterrey</v>
      </c>
      <c r="Q28" s="180" t="e" vm="77">
        <f ca="1">IFERROR(VLOOKUP(P28,Aux!$A:$X,8,0),"")</f>
        <v>#VALUE!</v>
      </c>
      <c r="R28" s="185"/>
      <c r="S28" s="246" t="str">
        <f>+VLOOKUP(C28,Aux!M:AZ,7,0)</f>
        <v>Hard Rock Stadium</v>
      </c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4"/>
      <c r="B29" s="274"/>
      <c r="C29" s="177"/>
      <c r="D29" s="187"/>
      <c r="E29" s="188"/>
      <c r="F29" s="189"/>
      <c r="G29" s="189"/>
      <c r="H29" s="190" t="s">
        <v>67</v>
      </c>
      <c r="I29" s="190"/>
      <c r="J29" s="184"/>
      <c r="K29" s="191"/>
      <c r="L29" s="191" t="s">
        <v>65</v>
      </c>
      <c r="M29" s="191"/>
      <c r="N29" s="192"/>
      <c r="O29" s="192"/>
      <c r="P29" s="192"/>
      <c r="Q29" s="192"/>
      <c r="R29" s="192"/>
      <c r="S29" s="246"/>
      <c r="U29" s="206"/>
    </row>
    <row r="30" spans="1:21" ht="15" customHeight="1" thickBot="1" x14ac:dyDescent="0.3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U30" s="206"/>
    </row>
    <row r="31" spans="1:21" ht="22.15" customHeight="1" thickBot="1" x14ac:dyDescent="0.3">
      <c r="A31" s="276" t="s">
        <v>108</v>
      </c>
      <c r="B31" s="276" t="s">
        <v>109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57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78">
        <f ca="1">IFERROR(VLOOKUP(H31,Aux!$A:$C,3,0),"")</f>
        <v>#VALUE!</v>
      </c>
      <c r="J31" s="193"/>
      <c r="K31" s="202">
        <v>2</v>
      </c>
      <c r="L31" s="183" t="s">
        <v>65</v>
      </c>
      <c r="M31" s="202">
        <v>0</v>
      </c>
      <c r="N31" s="184"/>
      <c r="O31" s="183" t="e" vm="79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62">
        <f ca="1">IFERROR(VLOOKUP(P31,Aux!$A:$X,8,0),"")</f>
        <v>#VALUE!</v>
      </c>
      <c r="R31" s="185"/>
      <c r="S31" s="246" t="str">
        <f>+VLOOKUP(C31,Aux!M:AZ,7,0)</f>
        <v>Mercedes-Benz Stadium</v>
      </c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6"/>
      <c r="B32" s="276"/>
      <c r="C32" s="177"/>
      <c r="D32" s="178"/>
      <c r="E32" s="179"/>
      <c r="F32" s="180"/>
      <c r="G32" s="180"/>
      <c r="H32" s="190" t="s">
        <v>67</v>
      </c>
      <c r="I32" s="190"/>
      <c r="J32" s="184"/>
      <c r="K32" s="191"/>
      <c r="L32" s="191" t="s">
        <v>65</v>
      </c>
      <c r="M32" s="191"/>
      <c r="N32" s="192"/>
      <c r="O32" s="192"/>
      <c r="P32" s="192"/>
      <c r="Q32" s="180"/>
      <c r="R32" s="185"/>
      <c r="S32" s="186"/>
      <c r="U32" s="167"/>
    </row>
    <row r="33" spans="1:21" ht="15" customHeight="1" x14ac:dyDescent="0.25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</row>
    <row r="35" spans="1:21" ht="15" customHeight="1" thickBot="1" x14ac:dyDescent="0.3">
      <c r="U35" s="146"/>
    </row>
    <row r="36" spans="1:21" ht="15" customHeight="1" x14ac:dyDescent="0.25">
      <c r="U36" s="298" t="s">
        <v>30</v>
      </c>
    </row>
    <row r="37" spans="1:21" ht="15" customHeight="1" thickBot="1" x14ac:dyDescent="0.3">
      <c r="U37" s="313"/>
    </row>
    <row r="38" spans="1:21" ht="15" customHeight="1" x14ac:dyDescent="0.25">
      <c r="U38" s="300" t="s">
        <v>33</v>
      </c>
    </row>
    <row r="39" spans="1:21" ht="15" customHeight="1" thickBot="1" x14ac:dyDescent="0.3">
      <c r="U39" s="314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6" zoomScaleNormal="100" workbookViewId="0">
      <selection activeCell="M13" sqref="M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56</v>
      </c>
      <c r="D8" s="169" t="s">
        <v>57</v>
      </c>
      <c r="E8" s="169" t="s">
        <v>58</v>
      </c>
      <c r="F8" s="170"/>
      <c r="G8" s="170"/>
      <c r="H8" s="302" t="s">
        <v>59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60</v>
      </c>
      <c r="U8" s="172" t="s">
        <v>61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57">
        <f ca="1">IFERROR(VLOOKUP(H10,Aux!$A:$X,8,0),"")</f>
        <v>#VALUE!</v>
      </c>
      <c r="H10" s="181" t="str">
        <f ca="1">Octavos!U10</f>
        <v>Atlético de Madrid</v>
      </c>
      <c r="I10" s="182" t="e" vm="56">
        <f ca="1">IFERROR(VLOOKUP(H10,Aux!$A:$C,3,0),"")</f>
        <v>#VALUE!</v>
      </c>
      <c r="J10" s="183"/>
      <c r="K10" s="202">
        <v>1</v>
      </c>
      <c r="L10" s="183" t="s">
        <v>65</v>
      </c>
      <c r="M10" s="202">
        <v>2</v>
      </c>
      <c r="N10" s="184"/>
      <c r="O10" s="183" t="e" vm="59">
        <f ca="1">IFERROR(VLOOKUP(P10,Aux!$A:$C,3,0),"")</f>
        <v>#VALUE!</v>
      </c>
      <c r="P10" s="185" t="str">
        <f ca="1">Octavos!U13</f>
        <v>Bayern Múnich</v>
      </c>
      <c r="Q10" s="180" t="e" vm="58">
        <f ca="1">IFERROR(VLOOKUP(P10,Aux!$A:$X,8,0),"")</f>
        <v>#VALUE!</v>
      </c>
      <c r="R10" s="185"/>
      <c r="S10" s="246" t="str">
        <f>+VLOOKUP(C10,Aux!M:AZ,7,0)</f>
        <v>Camping World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67</v>
      </c>
      <c r="I11" s="190"/>
      <c r="J11" s="184"/>
      <c r="K11" s="191"/>
      <c r="L11" s="191" t="s">
        <v>65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62">
        <f ca="1">IFERROR(VLOOKUP(H13,Aux!$A:$X,8,0),"")</f>
        <v>#VALUE!</v>
      </c>
      <c r="H13" s="181" t="str">
        <f ca="1">Octavos!U16</f>
        <v>Inter de Milán</v>
      </c>
      <c r="I13" s="182" t="e" vm="63">
        <f ca="1">IFERROR(VLOOKUP(H13,Aux!$A:$C,3,0),"")</f>
        <v>#VALUE!</v>
      </c>
      <c r="J13" s="193"/>
      <c r="K13" s="202">
        <v>1</v>
      </c>
      <c r="L13" s="183" t="s">
        <v>65</v>
      </c>
      <c r="M13" s="202">
        <v>1</v>
      </c>
      <c r="N13" s="184"/>
      <c r="O13" s="183" t="e" vm="66">
        <f ca="1">IFERROR(VLOOKUP(P13,Aux!$A:$C,3,0),"")</f>
        <v>#VALUE!</v>
      </c>
      <c r="P13" s="185" t="str">
        <f ca="1">Octavos!U19</f>
        <v>Manchester City</v>
      </c>
      <c r="Q13" s="180" t="e" vm="65">
        <f ca="1">IFERROR(VLOOKUP(P13,Aux!$A:$X,8,0),"")</f>
        <v>#VALUE!</v>
      </c>
      <c r="R13" s="185"/>
      <c r="S13" s="246" t="str">
        <f>+VLOOKUP(C13,Aux!M:AZ,7,0)</f>
        <v>Lincoln Financial Field</v>
      </c>
      <c r="U13" s="205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67</v>
      </c>
      <c r="I14" s="190"/>
      <c r="J14" s="184"/>
      <c r="K14" s="191">
        <v>3</v>
      </c>
      <c r="L14" s="191" t="s">
        <v>65</v>
      </c>
      <c r="M14" s="191">
        <v>4</v>
      </c>
      <c r="N14" s="192"/>
      <c r="O14" s="191"/>
      <c r="P14" s="192"/>
      <c r="Q14" s="192"/>
      <c r="R14" s="192"/>
      <c r="S14" s="246"/>
      <c r="U14" s="206"/>
    </row>
    <row r="15" spans="1:24" ht="15" customHeight="1" thickBot="1" x14ac:dyDescent="0.3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U15" s="206"/>
    </row>
    <row r="16" spans="1:24" ht="22.15" customHeight="1" thickBot="1" x14ac:dyDescent="0.3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69">
        <f ca="1">IFERROR(VLOOKUP(H16,Aux!$A:$X,8,0),"")</f>
        <v>#VALUE!</v>
      </c>
      <c r="H16" s="181" t="str">
        <f ca="1">Octavos!U22</f>
        <v>Paris Saint-Germain</v>
      </c>
      <c r="I16" s="182" t="e" vm="70">
        <f ca="1">IFERROR(VLOOKUP(H16,Aux!$A:$C,3,0),"")</f>
        <v>#VALUE!</v>
      </c>
      <c r="J16" s="193"/>
      <c r="K16" s="202">
        <v>2</v>
      </c>
      <c r="L16" s="183" t="s">
        <v>65</v>
      </c>
      <c r="M16" s="202">
        <v>0</v>
      </c>
      <c r="N16" s="184"/>
      <c r="O16" s="183" t="e" vm="73">
        <f ca="1">IFERROR(VLOOKUP(P16,Aux!$A:$C,3,0),"")</f>
        <v>#VALUE!</v>
      </c>
      <c r="P16" s="185" t="str">
        <f ca="1">Octavos!U25</f>
        <v>Chelsea</v>
      </c>
      <c r="Q16" s="180" t="e" vm="65">
        <f ca="1">IFERROR(VLOOKUP(P16,Aux!$A:$X,8,0),"")</f>
        <v>#VALUE!</v>
      </c>
      <c r="R16" s="185"/>
      <c r="S16" s="246" t="str">
        <f>+VLOOKUP(C16,Aux!M:AZ,7,0)</f>
        <v>Mercedes-Benz Stadium</v>
      </c>
      <c r="U16" s="205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7"/>
      <c r="D17" s="187"/>
      <c r="E17" s="188"/>
      <c r="F17" s="189"/>
      <c r="G17" s="189"/>
      <c r="H17" s="190" t="s">
        <v>67</v>
      </c>
      <c r="I17" s="190"/>
      <c r="J17" s="184"/>
      <c r="K17" s="191"/>
      <c r="L17" s="191" t="s">
        <v>65</v>
      </c>
      <c r="M17" s="191"/>
      <c r="N17" s="192"/>
      <c r="O17" s="191"/>
      <c r="P17" s="192"/>
      <c r="Q17" s="192"/>
      <c r="R17" s="192"/>
      <c r="S17" s="246"/>
      <c r="U17" s="206"/>
    </row>
    <row r="18" spans="1:21" ht="15" customHeight="1" thickBot="1" x14ac:dyDescent="0.3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U18" s="206"/>
    </row>
    <row r="19" spans="1:21" ht="22.15" customHeight="1" thickBot="1" x14ac:dyDescent="0.3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58">
        <f ca="1">IFERROR(VLOOKUP(H19,Aux!$A:$X,8,0),"")</f>
        <v>#VALUE!</v>
      </c>
      <c r="H19" s="181" t="str">
        <f ca="1">Octavos!U28</f>
        <v>Borussia Dortmund</v>
      </c>
      <c r="I19" s="182" t="e" vm="75">
        <f ca="1">IFERROR(VLOOKUP(H19,Aux!$A:$C,3,0),"")</f>
        <v>#VALUE!</v>
      </c>
      <c r="J19" s="193"/>
      <c r="K19" s="202">
        <v>1</v>
      </c>
      <c r="L19" s="183" t="s">
        <v>65</v>
      </c>
      <c r="M19" s="202">
        <v>3</v>
      </c>
      <c r="N19" s="184"/>
      <c r="O19" s="183" t="e" vm="78">
        <f ca="1">IFERROR(VLOOKUP(P19,Aux!$A:$C,3,0),"")</f>
        <v>#VALUE!</v>
      </c>
      <c r="P19" s="185" t="str">
        <f ca="1">Octavos!U31</f>
        <v>Real Madrid</v>
      </c>
      <c r="Q19" s="180" t="e" vm="57">
        <f ca="1">IFERROR(VLOOKUP(P19,Aux!$A:$X,8,0),"")</f>
        <v>#VALUE!</v>
      </c>
      <c r="R19" s="185"/>
      <c r="S19" s="246" t="str">
        <f>+VLOOKUP(C19,Aux!M:AZ,7,0)</f>
        <v>MetLife Stadium</v>
      </c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4"/>
      <c r="D20" s="187"/>
      <c r="E20" s="188"/>
      <c r="F20" s="184"/>
      <c r="G20" s="184"/>
      <c r="H20" s="190" t="s">
        <v>67</v>
      </c>
      <c r="I20" s="190"/>
      <c r="J20" s="184"/>
      <c r="K20" s="191"/>
      <c r="L20" s="191" t="s">
        <v>65</v>
      </c>
      <c r="M20" s="191"/>
      <c r="N20" s="192"/>
      <c r="O20" s="191"/>
      <c r="P20" s="192"/>
      <c r="Q20" s="184"/>
      <c r="R20" s="184"/>
      <c r="S20" s="204"/>
      <c r="U20" s="207"/>
    </row>
    <row r="21" spans="1:21" ht="15" customHeight="1" x14ac:dyDescent="0.25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3" sqref="K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56</v>
      </c>
      <c r="D8" s="169" t="s">
        <v>57</v>
      </c>
      <c r="E8" s="169" t="s">
        <v>58</v>
      </c>
      <c r="F8" s="170"/>
      <c r="G8" s="170"/>
      <c r="H8" s="302" t="s">
        <v>59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60</v>
      </c>
      <c r="U8" s="172" t="s">
        <v>61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58">
        <f ca="1">IFERROR(VLOOKUP(H10,Aux!$A:$X,8,0),"")</f>
        <v>#VALUE!</v>
      </c>
      <c r="H10" s="181" t="str">
        <f ca="1">Cuartos!U10</f>
        <v>Bayern Múnich</v>
      </c>
      <c r="I10" s="182" t="e" vm="59">
        <f ca="1">IFERROR(VLOOKUP(H10,Aux!$A:$C,3,0),"")</f>
        <v>#VALUE!</v>
      </c>
      <c r="J10" s="183"/>
      <c r="K10" s="202">
        <v>2</v>
      </c>
      <c r="L10" s="183" t="s">
        <v>65</v>
      </c>
      <c r="M10" s="202">
        <v>2</v>
      </c>
      <c r="N10" s="184"/>
      <c r="O10" s="183" t="e" vm="66">
        <f ca="1">IFERROR(VLOOKUP(P10,Aux!$A:$C,3,0),"")</f>
        <v>#VALUE!</v>
      </c>
      <c r="P10" s="185" t="str">
        <f ca="1">Cuartos!U13</f>
        <v>Manchester City</v>
      </c>
      <c r="Q10" s="180" t="e" vm="65">
        <f ca="1">IFERROR(VLOOKUP(P10,Aux!$A:$X,8,0),"")</f>
        <v>#VALUE!</v>
      </c>
      <c r="R10" s="185"/>
      <c r="S10" s="246" t="str">
        <f>+VLOOKUP(C10,Aux!M:AZ,7,0)</f>
        <v>MetLife Stadium</v>
      </c>
      <c r="U10" s="205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67</v>
      </c>
      <c r="I11" s="190"/>
      <c r="J11" s="184"/>
      <c r="K11" s="191">
        <v>3</v>
      </c>
      <c r="L11" s="191" t="s">
        <v>65</v>
      </c>
      <c r="M11" s="191">
        <v>4</v>
      </c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69">
        <f ca="1">IFERROR(VLOOKUP(H13,Aux!$A:$X,8,0),"")</f>
        <v>#VALUE!</v>
      </c>
      <c r="H13" s="181" t="str">
        <f ca="1">Cuartos!U16</f>
        <v>Paris Saint-Germain</v>
      </c>
      <c r="I13" s="182" t="e" vm="70">
        <f ca="1">IFERROR(VLOOKUP(H13,Aux!$A:$C,3,0),"")</f>
        <v>#VALUE!</v>
      </c>
      <c r="J13" s="193"/>
      <c r="K13" s="202">
        <v>3</v>
      </c>
      <c r="L13" s="183" t="s">
        <v>65</v>
      </c>
      <c r="M13" s="202">
        <v>2</v>
      </c>
      <c r="N13" s="184"/>
      <c r="O13" s="183" t="e" vm="78">
        <f ca="1">IFERROR(VLOOKUP(P13,Aux!$A:$C,3,0),"")</f>
        <v>#VALUE!</v>
      </c>
      <c r="P13" s="185" t="str">
        <f ca="1">Cuartos!U19</f>
        <v>Real Madrid</v>
      </c>
      <c r="Q13" s="180" t="e" vm="57">
        <f ca="1">IFERROR(VLOOKUP(P13,Aux!$A:$X,8,0),"")</f>
        <v>#VALUE!</v>
      </c>
      <c r="R13" s="185"/>
      <c r="S13" s="246" t="str">
        <f>+VLOOKUP(C13,Aux!M:AZ,7,0)</f>
        <v>MetLife Stadium</v>
      </c>
      <c r="U13" s="205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67</v>
      </c>
      <c r="I14" s="190"/>
      <c r="J14" s="184"/>
      <c r="K14" s="191"/>
      <c r="L14" s="191" t="s">
        <v>65</v>
      </c>
      <c r="M14" s="191"/>
      <c r="N14" s="192"/>
      <c r="O14" s="191"/>
      <c r="P14" s="192"/>
      <c r="Q14" s="192"/>
      <c r="R14" s="192"/>
      <c r="S14" s="203"/>
      <c r="U14" s="206"/>
    </row>
    <row r="15" spans="1:24" ht="15" customHeight="1" x14ac:dyDescent="0.25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M10" sqref="M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56</v>
      </c>
      <c r="D8" s="169" t="s">
        <v>57</v>
      </c>
      <c r="E8" s="169" t="s">
        <v>58</v>
      </c>
      <c r="F8" s="170"/>
      <c r="G8" s="170"/>
      <c r="H8" s="302" t="s">
        <v>110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60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65">
        <f ca="1">IFERROR(VLOOKUP(H10,Aux!$A:$X,8,0),"")</f>
        <v>#VALUE!</v>
      </c>
      <c r="H10" s="181" t="str">
        <f ca="1">Semis!U10</f>
        <v>Manchester City</v>
      </c>
      <c r="I10" s="182" t="e" vm="66">
        <f ca="1">IFERROR(VLOOKUP(H10,Aux!$A:$C,3,0),"")</f>
        <v>#VALUE!</v>
      </c>
      <c r="J10" s="183"/>
      <c r="K10" s="202">
        <v>2</v>
      </c>
      <c r="L10" s="183" t="s">
        <v>65</v>
      </c>
      <c r="M10" s="202">
        <v>1</v>
      </c>
      <c r="N10" s="184"/>
      <c r="O10" s="183" t="e" vm="70">
        <f ca="1">IFERROR(VLOOKUP(P10,Aux!$A:$C,3,0),"")</f>
        <v>#VALUE!</v>
      </c>
      <c r="P10" s="185" t="str">
        <f ca="1">Semis!U13</f>
        <v>Paris Saint-Germain</v>
      </c>
      <c r="Q10" s="180" t="e" vm="69">
        <f ca="1">IFERROR(VLOOKUP(P10,Aux!$A:$X,8,0),"")</f>
        <v>#VALUE!</v>
      </c>
      <c r="R10" s="185"/>
      <c r="S10" s="246" t="str">
        <f>+VLOOKUP(C10,Aux!M:AZ,7,0)</f>
        <v>MetLife Stadium</v>
      </c>
      <c r="U10" s="208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67</v>
      </c>
      <c r="I11" s="190"/>
      <c r="J11" s="184"/>
      <c r="K11" s="191"/>
      <c r="L11" s="191" t="s">
        <v>65</v>
      </c>
      <c r="M11" s="191"/>
      <c r="N11" s="192"/>
      <c r="O11" s="191"/>
      <c r="P11" s="192"/>
      <c r="Q11" s="192"/>
      <c r="R11" s="192"/>
      <c r="S11" s="203"/>
      <c r="U11" s="206"/>
    </row>
    <row r="12" spans="1:24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4" ht="15" customHeight="1" x14ac:dyDescent="0.25">
      <c r="S13" s="247"/>
    </row>
    <row r="14" spans="1:24" ht="15" customHeight="1" x14ac:dyDescent="0.25">
      <c r="H14" s="316" t="s">
        <v>111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5">
      <c r="H15" s="316"/>
      <c r="I15" s="316"/>
      <c r="J15" s="316"/>
      <c r="K15" s="316"/>
      <c r="L15" s="316"/>
      <c r="M15" s="316"/>
      <c r="N15" s="316"/>
      <c r="O15" s="316"/>
      <c r="P15" s="316"/>
    </row>
    <row r="16" spans="1:24" x14ac:dyDescent="0.25"/>
    <row r="17" spans="8:16" ht="15" customHeight="1" x14ac:dyDescent="0.25">
      <c r="H17" s="317" t="e" vm="65">
        <f ca="1">IFERROR(VLOOKUP(I17,Aux!$A:$X,8,0),"")</f>
        <v>#VALUE!</v>
      </c>
      <c r="I17" s="315" t="str">
        <f ca="1">U10</f>
        <v>Manchester City</v>
      </c>
      <c r="J17" s="315"/>
      <c r="K17" s="315"/>
      <c r="L17" s="315"/>
      <c r="M17" s="315"/>
      <c r="N17" s="315"/>
      <c r="O17" s="315"/>
      <c r="P17" s="317" t="e" vm="66">
        <f ca="1">IFERROR(VLOOKUP(I17,Aux!$A:$C,3,0),"")</f>
        <v>#VALUE!</v>
      </c>
    </row>
    <row r="18" spans="8:16" ht="15" customHeight="1" x14ac:dyDescent="0.25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1.4257812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112</v>
      </c>
      <c r="B1" s="4" t="s">
        <v>113</v>
      </c>
      <c r="C1" s="4" t="s">
        <v>114</v>
      </c>
      <c r="D1" s="4" t="s">
        <v>114</v>
      </c>
      <c r="E1" s="4" t="s">
        <v>80</v>
      </c>
      <c r="F1" s="4" t="s">
        <v>113</v>
      </c>
      <c r="G1" s="4" t="s">
        <v>114</v>
      </c>
      <c r="H1" s="4" t="s">
        <v>114</v>
      </c>
      <c r="I1" s="4" t="s">
        <v>115</v>
      </c>
      <c r="L1" s="4" t="s">
        <v>116</v>
      </c>
      <c r="M1" s="4" t="s">
        <v>117</v>
      </c>
      <c r="N1" s="4" t="s">
        <v>118</v>
      </c>
      <c r="O1" s="4" t="s">
        <v>119</v>
      </c>
      <c r="P1" s="4" t="s">
        <v>120</v>
      </c>
      <c r="Q1" s="4" t="s">
        <v>121</v>
      </c>
      <c r="R1" s="4" t="s">
        <v>122</v>
      </c>
      <c r="S1" s="4" t="s">
        <v>123</v>
      </c>
      <c r="T1" s="4" t="s">
        <v>124</v>
      </c>
      <c r="U1" s="4" t="s">
        <v>125</v>
      </c>
      <c r="V1" s="4" t="s">
        <v>126</v>
      </c>
      <c r="Y1" s="4" t="s">
        <v>127</v>
      </c>
      <c r="Z1" s="4" t="s">
        <v>112</v>
      </c>
      <c r="AA1" s="4" t="s">
        <v>80</v>
      </c>
      <c r="AD1" s="4" t="s">
        <v>128</v>
      </c>
    </row>
    <row r="2" spans="1:34" ht="25.15" customHeight="1" x14ac:dyDescent="0.25">
      <c r="A2" s="149" t="s">
        <v>129</v>
      </c>
      <c r="B2" s="147" t="s">
        <v>130</v>
      </c>
      <c r="C2" s="147" t="e" vm="80">
        <f t="shared" ref="C2:C34" si="0">+_xlfn.IMAGE(B2)</f>
        <v>#VALUE!</v>
      </c>
      <c r="D2" s="148" t="e" vm="81">
        <v>#VALUE!</v>
      </c>
      <c r="E2" s="149" t="s">
        <v>131</v>
      </c>
      <c r="F2" s="147" t="s">
        <v>132</v>
      </c>
      <c r="G2" s="147" t="e" vm="82">
        <f t="shared" ref="G2:G28" si="1">+_xlfn.IMAGE(F2)</f>
        <v>#VALUE!</v>
      </c>
      <c r="H2" s="148" t="e" vm="83">
        <v>#VALUE!</v>
      </c>
      <c r="I2" s="149" t="s">
        <v>133</v>
      </c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64</v>
      </c>
      <c r="R2" s="149" t="s">
        <v>66</v>
      </c>
      <c r="S2" s="149" t="s">
        <v>134</v>
      </c>
      <c r="T2" s="219" t="s">
        <v>135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Y2" s="1" t="s">
        <v>69</v>
      </c>
      <c r="Z2" s="2" t="s">
        <v>136</v>
      </c>
      <c r="AA2" s="3" t="s">
        <v>129</v>
      </c>
      <c r="AD2" t="s">
        <v>137</v>
      </c>
      <c r="AE2">
        <f>+Normas!C7</f>
        <v>0</v>
      </c>
    </row>
    <row r="3" spans="1:34" ht="25.15" customHeight="1" x14ac:dyDescent="0.25">
      <c r="A3" s="149" t="s">
        <v>138</v>
      </c>
      <c r="B3" s="147" t="s">
        <v>139</v>
      </c>
      <c r="C3" s="147" t="e" vm="84">
        <f t="shared" si="0"/>
        <v>#VALUE!</v>
      </c>
      <c r="D3" s="148" t="e" vm="85">
        <v>#VALUE!</v>
      </c>
      <c r="E3" s="149" t="s">
        <v>140</v>
      </c>
      <c r="F3" s="147" t="s">
        <v>141</v>
      </c>
      <c r="G3" s="147" t="e" vm="86">
        <f t="shared" si="1"/>
        <v>#VALUE!</v>
      </c>
      <c r="H3" s="148" t="e" vm="87">
        <v>#VALUE!</v>
      </c>
      <c r="I3" s="149" t="s">
        <v>133</v>
      </c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129</v>
      </c>
      <c r="R3" s="149" t="s">
        <v>142</v>
      </c>
      <c r="S3" s="149" t="s">
        <v>143</v>
      </c>
      <c r="T3" s="219" t="s">
        <v>69</v>
      </c>
      <c r="U3" s="219">
        <f ca="1">IF(VLOOKUP(M3,INDIRECT(T3&amp;"!B:AZ"),9,0)="","",VLOOKUP(M3,INDIRECT(T3&amp;"!B:AZ"),9,0))</f>
        <v>2</v>
      </c>
      <c r="V3" s="219">
        <f ca="1">IF(VLOOKUP(M3,INDIRECT(T3&amp;"!B:AZ"),11,0)="","",VLOOKUP(M3,INDIRECT(T3&amp;"!B:AZ"),11,0))</f>
        <v>4</v>
      </c>
      <c r="Y3" s="1" t="s">
        <v>69</v>
      </c>
      <c r="Z3" s="2" t="s">
        <v>144</v>
      </c>
      <c r="AA3" s="3" t="s">
        <v>142</v>
      </c>
      <c r="AD3" t="s">
        <v>145</v>
      </c>
      <c r="AE3">
        <f>+Normas!C6</f>
        <v>3</v>
      </c>
      <c r="AG3" s="3"/>
      <c r="AH3" s="3"/>
    </row>
    <row r="4" spans="1:34" ht="25.15" customHeight="1" x14ac:dyDescent="0.25">
      <c r="A4" s="149" t="s">
        <v>146</v>
      </c>
      <c r="B4" s="147" t="s">
        <v>147</v>
      </c>
      <c r="C4" s="147" t="e" vm="88">
        <f t="shared" si="0"/>
        <v>#VALUE!</v>
      </c>
      <c r="D4" s="148" t="e" vm="89">
        <v>#VALUE!</v>
      </c>
      <c r="E4" s="149" t="s">
        <v>148</v>
      </c>
      <c r="F4" s="147" t="s">
        <v>149</v>
      </c>
      <c r="G4" s="147" t="e" vm="90">
        <f t="shared" si="1"/>
        <v>#VALUE!</v>
      </c>
      <c r="H4" s="148" t="e" vm="91">
        <v>#VALUE!</v>
      </c>
      <c r="I4" s="149" t="s">
        <v>133</v>
      </c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150</v>
      </c>
      <c r="R4" s="149" t="s">
        <v>151</v>
      </c>
      <c r="S4" s="149" t="s">
        <v>152</v>
      </c>
      <c r="T4" s="219" t="s">
        <v>69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2</v>
      </c>
      <c r="W4" s="3"/>
      <c r="Y4" s="1" t="s">
        <v>69</v>
      </c>
      <c r="Z4" s="2" t="s">
        <v>153</v>
      </c>
      <c r="AA4" s="3" t="s">
        <v>150</v>
      </c>
      <c r="AD4" t="s">
        <v>154</v>
      </c>
      <c r="AE4">
        <f>+Normas!C8</f>
        <v>5</v>
      </c>
      <c r="AG4" s="3"/>
      <c r="AH4" s="3"/>
    </row>
    <row r="5" spans="1:34" ht="25.15" customHeight="1" x14ac:dyDescent="0.25">
      <c r="A5" s="149" t="s">
        <v>155</v>
      </c>
      <c r="B5" s="147" t="s">
        <v>156</v>
      </c>
      <c r="C5" s="147" t="e" vm="92">
        <f t="shared" si="0"/>
        <v>#VALUE!</v>
      </c>
      <c r="D5" s="148" t="e" vm="93">
        <v>#VALUE!</v>
      </c>
      <c r="E5" s="149" t="s">
        <v>157</v>
      </c>
      <c r="F5" s="147" t="s">
        <v>158</v>
      </c>
      <c r="G5" s="147" t="e" vm="94">
        <f t="shared" si="1"/>
        <v>#VALUE!</v>
      </c>
      <c r="H5" s="148" t="e" vm="95">
        <v>#VALUE!</v>
      </c>
      <c r="I5" s="149" t="s">
        <v>133</v>
      </c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150</v>
      </c>
      <c r="R5" s="149" t="s">
        <v>129</v>
      </c>
      <c r="S5" s="149" t="s">
        <v>152</v>
      </c>
      <c r="T5" s="219" t="s">
        <v>69</v>
      </c>
      <c r="U5" s="219">
        <f t="shared" ca="1" si="4"/>
        <v>3</v>
      </c>
      <c r="V5" s="219">
        <f t="shared" ca="1" si="5"/>
        <v>1</v>
      </c>
      <c r="W5" s="3"/>
      <c r="Y5" s="1" t="s">
        <v>69</v>
      </c>
      <c r="Z5" s="2" t="s">
        <v>159</v>
      </c>
      <c r="AA5" s="3" t="s">
        <v>151</v>
      </c>
      <c r="AD5" t="s">
        <v>160</v>
      </c>
      <c r="AE5">
        <f>+Normas!C10</f>
        <v>0</v>
      </c>
      <c r="AG5" s="3"/>
      <c r="AH5" s="3"/>
    </row>
    <row r="6" spans="1:34" ht="25.15" customHeight="1" x14ac:dyDescent="0.25">
      <c r="A6" s="149" t="s">
        <v>150</v>
      </c>
      <c r="B6" s="147" t="s">
        <v>161</v>
      </c>
      <c r="C6" s="147" t="e" vm="96">
        <f t="shared" si="0"/>
        <v>#VALUE!</v>
      </c>
      <c r="D6" s="148" t="e" vm="97">
        <v>#VALUE!</v>
      </c>
      <c r="E6" s="149" t="s">
        <v>162</v>
      </c>
      <c r="F6" s="147" t="s">
        <v>163</v>
      </c>
      <c r="G6" s="147" t="e" vm="98">
        <f t="shared" si="1"/>
        <v>#VALUE!</v>
      </c>
      <c r="H6" s="148" t="e" vm="61">
        <v>#VALUE!</v>
      </c>
      <c r="I6" s="149" t="s">
        <v>164</v>
      </c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142</v>
      </c>
      <c r="R6" s="149" t="s">
        <v>151</v>
      </c>
      <c r="S6" s="149" t="s">
        <v>165</v>
      </c>
      <c r="T6" s="219" t="s">
        <v>69</v>
      </c>
      <c r="U6" s="219">
        <f t="shared" ca="1" si="4"/>
        <v>0</v>
      </c>
      <c r="V6" s="219">
        <f t="shared" ca="1" si="5"/>
        <v>3</v>
      </c>
      <c r="W6" s="3"/>
      <c r="Y6" s="1" t="s">
        <v>88</v>
      </c>
      <c r="Z6" s="2" t="s">
        <v>166</v>
      </c>
      <c r="AA6" s="3" t="s">
        <v>167</v>
      </c>
      <c r="AD6" t="s">
        <v>168</v>
      </c>
      <c r="AE6">
        <f>+Normas!C9</f>
        <v>9</v>
      </c>
      <c r="AG6" s="3"/>
      <c r="AH6" s="3"/>
    </row>
    <row r="7" spans="1:34" ht="25.15" customHeight="1" x14ac:dyDescent="0.25">
      <c r="A7" s="149" t="s">
        <v>169</v>
      </c>
      <c r="B7" s="147" t="s">
        <v>170</v>
      </c>
      <c r="C7" s="147" t="e" vm="60">
        <f t="shared" si="0"/>
        <v>#VALUE!</v>
      </c>
      <c r="D7" s="148" t="e" vm="99">
        <v>#VALUE!</v>
      </c>
      <c r="E7" s="149" t="s">
        <v>162</v>
      </c>
      <c r="F7" s="147" t="s">
        <v>163</v>
      </c>
      <c r="G7" s="147" t="e" vm="98">
        <f t="shared" si="1"/>
        <v>#VALUE!</v>
      </c>
      <c r="H7" s="148" t="e" vm="61">
        <v>#VALUE!</v>
      </c>
      <c r="I7" s="149" t="s">
        <v>164</v>
      </c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142</v>
      </c>
      <c r="R7" s="149" t="s">
        <v>150</v>
      </c>
      <c r="S7" s="149" t="s">
        <v>143</v>
      </c>
      <c r="T7" s="219" t="s">
        <v>69</v>
      </c>
      <c r="U7" s="219">
        <f t="shared" ca="1" si="4"/>
        <v>3</v>
      </c>
      <c r="V7" s="219">
        <f t="shared" ca="1" si="5"/>
        <v>2</v>
      </c>
      <c r="W7" s="3"/>
      <c r="Y7" s="1" t="s">
        <v>88</v>
      </c>
      <c r="Z7" s="2" t="s">
        <v>171</v>
      </c>
      <c r="AA7" s="3" t="s">
        <v>172</v>
      </c>
      <c r="AD7" t="s">
        <v>173</v>
      </c>
      <c r="AE7">
        <f>+Normas!C11</f>
        <v>15</v>
      </c>
      <c r="AG7" s="3"/>
      <c r="AH7" s="3"/>
    </row>
    <row r="8" spans="1:34" ht="25.15" customHeight="1" x14ac:dyDescent="0.25">
      <c r="A8" s="149" t="s">
        <v>174</v>
      </c>
      <c r="B8" s="147" t="s">
        <v>175</v>
      </c>
      <c r="C8" s="147" t="e" vm="64">
        <f t="shared" si="0"/>
        <v>#VALUE!</v>
      </c>
      <c r="D8" s="148" t="e" vm="100">
        <v>#VALUE!</v>
      </c>
      <c r="E8" s="149" t="s">
        <v>162</v>
      </c>
      <c r="F8" s="147" t="s">
        <v>163</v>
      </c>
      <c r="G8" s="147" t="e" vm="98">
        <f t="shared" si="1"/>
        <v>#VALUE!</v>
      </c>
      <c r="H8" s="148" t="e" vm="61">
        <v>#VALUE!</v>
      </c>
      <c r="I8" s="149" t="s">
        <v>164</v>
      </c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151</v>
      </c>
      <c r="R8" s="149" t="s">
        <v>129</v>
      </c>
      <c r="S8" s="149" t="s">
        <v>152</v>
      </c>
      <c r="T8" s="219" t="s">
        <v>69</v>
      </c>
      <c r="U8" s="219">
        <f t="shared" ca="1" si="4"/>
        <v>3</v>
      </c>
      <c r="V8" s="219">
        <f t="shared" ca="1" si="5"/>
        <v>0</v>
      </c>
      <c r="W8" s="3"/>
      <c r="Y8" s="1" t="s">
        <v>88</v>
      </c>
      <c r="Z8" s="2" t="s">
        <v>176</v>
      </c>
      <c r="AA8" s="3" t="s">
        <v>177</v>
      </c>
      <c r="AD8" t="s">
        <v>178</v>
      </c>
      <c r="AE8">
        <f>+Normas!C13</f>
        <v>0</v>
      </c>
      <c r="AG8" s="3"/>
      <c r="AH8" s="3"/>
    </row>
    <row r="9" spans="1:34" ht="25.15" customHeight="1" x14ac:dyDescent="0.25">
      <c r="A9" s="150" t="s">
        <v>177</v>
      </c>
      <c r="B9" s="147" t="s">
        <v>179</v>
      </c>
      <c r="C9" s="147" t="e" vm="101">
        <f t="shared" si="0"/>
        <v>#VALUE!</v>
      </c>
      <c r="D9" s="148" t="e" vm="102">
        <v>#VALUE!</v>
      </c>
      <c r="E9" s="150" t="s">
        <v>162</v>
      </c>
      <c r="F9" s="147" t="s">
        <v>163</v>
      </c>
      <c r="G9" s="147" t="e" vm="98">
        <f t="shared" si="1"/>
        <v>#VALUE!</v>
      </c>
      <c r="H9" s="148" t="e" vm="61">
        <v>#VALUE!</v>
      </c>
      <c r="I9" s="150" t="s">
        <v>164</v>
      </c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167</v>
      </c>
      <c r="R9" s="149" t="s">
        <v>172</v>
      </c>
      <c r="S9" s="149" t="s">
        <v>180</v>
      </c>
      <c r="T9" s="219" t="s">
        <v>88</v>
      </c>
      <c r="U9" s="219">
        <f t="shared" ca="1" si="4"/>
        <v>3</v>
      </c>
      <c r="V9" s="219">
        <f t="shared" ca="1" si="5"/>
        <v>1</v>
      </c>
      <c r="W9" s="3"/>
      <c r="Y9" s="1" t="s">
        <v>88</v>
      </c>
      <c r="Z9" s="2" t="s">
        <v>181</v>
      </c>
      <c r="AA9" s="3" t="s">
        <v>182</v>
      </c>
      <c r="AD9" t="s">
        <v>183</v>
      </c>
      <c r="AE9">
        <f>+Normas!C12</f>
        <v>9</v>
      </c>
      <c r="AG9" s="3"/>
      <c r="AH9" s="3"/>
    </row>
    <row r="10" spans="1:34" ht="25.15" customHeight="1" x14ac:dyDescent="0.25">
      <c r="A10" s="149" t="s">
        <v>184</v>
      </c>
      <c r="B10" s="147" t="s">
        <v>185</v>
      </c>
      <c r="C10" s="147" t="e" vm="103">
        <f t="shared" si="0"/>
        <v>#VALUE!</v>
      </c>
      <c r="D10" s="148" t="e" vm="104">
        <v>#VALUE!</v>
      </c>
      <c r="E10" s="149" t="s">
        <v>186</v>
      </c>
      <c r="F10" s="147" t="s">
        <v>187</v>
      </c>
      <c r="G10" s="147" t="e" vm="105">
        <f t="shared" si="1"/>
        <v>#VALUE!</v>
      </c>
      <c r="H10" s="148" t="e" vm="106">
        <v>#VALUE!</v>
      </c>
      <c r="I10" s="149" t="s">
        <v>164</v>
      </c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177</v>
      </c>
      <c r="R10" s="149" t="s">
        <v>182</v>
      </c>
      <c r="S10" s="149" t="s">
        <v>188</v>
      </c>
      <c r="T10" s="219" t="s">
        <v>88</v>
      </c>
      <c r="U10" s="219">
        <f t="shared" ref="U10:U50" ca="1" si="6">IF(VLOOKUP(M10,INDIRECT(T10&amp;"!B:AZ"),9,0)="","",VLOOKUP(M10,INDIRECT(T10&amp;"!B:AZ"),9,0))</f>
        <v>4</v>
      </c>
      <c r="V10" s="219">
        <f t="shared" ca="1" si="5"/>
        <v>2</v>
      </c>
      <c r="W10" s="3"/>
      <c r="Y10" s="1" t="s">
        <v>89</v>
      </c>
      <c r="Z10" s="2" t="s">
        <v>189</v>
      </c>
      <c r="AA10" s="3" t="s">
        <v>190</v>
      </c>
      <c r="AD10" t="s">
        <v>191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192</v>
      </c>
      <c r="B11" s="147" t="s">
        <v>193</v>
      </c>
      <c r="C11" s="147" t="e" vm="107">
        <f t="shared" si="0"/>
        <v>#VALUE!</v>
      </c>
      <c r="D11" s="148" t="e" vm="108">
        <v>#VALUE!</v>
      </c>
      <c r="E11" s="150" t="s">
        <v>186</v>
      </c>
      <c r="F11" s="147" t="s">
        <v>187</v>
      </c>
      <c r="G11" s="147" t="e" vm="105">
        <f t="shared" si="1"/>
        <v>#VALUE!</v>
      </c>
      <c r="H11" s="148" t="e" vm="106">
        <v>#VALUE!</v>
      </c>
      <c r="I11" s="150" t="s">
        <v>164</v>
      </c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182</v>
      </c>
      <c r="R11" s="149" t="s">
        <v>172</v>
      </c>
      <c r="S11" s="149" t="s">
        <v>188</v>
      </c>
      <c r="T11" s="219" t="s">
        <v>88</v>
      </c>
      <c r="U11" s="219">
        <f t="shared" ca="1" si="6"/>
        <v>0</v>
      </c>
      <c r="V11" s="219">
        <f t="shared" ca="1" si="5"/>
        <v>4</v>
      </c>
      <c r="W11" s="2"/>
      <c r="Y11" s="1" t="s">
        <v>89</v>
      </c>
      <c r="Z11" s="2" t="s">
        <v>194</v>
      </c>
      <c r="AA11" s="3" t="s">
        <v>195</v>
      </c>
      <c r="AD11" t="s">
        <v>196</v>
      </c>
      <c r="AE11">
        <f>+Normas!C16</f>
        <v>0</v>
      </c>
      <c r="AG11" s="3"/>
      <c r="AH11" s="3"/>
    </row>
    <row r="12" spans="1:34" ht="25.15" customHeight="1" x14ac:dyDescent="0.25">
      <c r="A12" s="150" t="s">
        <v>197</v>
      </c>
      <c r="B12" s="147" t="s">
        <v>198</v>
      </c>
      <c r="C12" s="147" t="e" vm="109">
        <f t="shared" si="0"/>
        <v>#VALUE!</v>
      </c>
      <c r="D12" s="148" t="e" vm="110">
        <v>#VALUE!</v>
      </c>
      <c r="E12" s="150" t="s">
        <v>199</v>
      </c>
      <c r="F12" s="147" t="s">
        <v>200</v>
      </c>
      <c r="G12" s="147" t="e" vm="111">
        <f t="shared" si="1"/>
        <v>#VALUE!</v>
      </c>
      <c r="H12" s="148" t="e" vm="112">
        <v>#VALUE!</v>
      </c>
      <c r="I12" s="150" t="s">
        <v>201</v>
      </c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167</v>
      </c>
      <c r="R12" s="149" t="s">
        <v>177</v>
      </c>
      <c r="S12" s="149" t="s">
        <v>180</v>
      </c>
      <c r="T12" s="219" t="s">
        <v>88</v>
      </c>
      <c r="U12" s="219">
        <f t="shared" ca="1" si="6"/>
        <v>4</v>
      </c>
      <c r="V12" s="219">
        <f t="shared" ca="1" si="5"/>
        <v>0</v>
      </c>
      <c r="W12" s="3"/>
      <c r="Y12" s="1" t="s">
        <v>89</v>
      </c>
      <c r="Z12" s="2" t="s">
        <v>202</v>
      </c>
      <c r="AA12" s="3" t="s">
        <v>192</v>
      </c>
      <c r="AD12" t="s">
        <v>203</v>
      </c>
      <c r="AE12">
        <f>+Normas!C15</f>
        <v>9</v>
      </c>
      <c r="AG12" s="2"/>
      <c r="AH12" s="2"/>
    </row>
    <row r="13" spans="1:34" ht="25.15" customHeight="1" x14ac:dyDescent="0.25">
      <c r="A13" s="150" t="s">
        <v>204</v>
      </c>
      <c r="B13" s="147" t="s">
        <v>205</v>
      </c>
      <c r="C13" s="147" t="e" vm="113">
        <f t="shared" si="0"/>
        <v>#VALUE!</v>
      </c>
      <c r="D13" s="148" t="e" vm="114">
        <v>#VALUE!</v>
      </c>
      <c r="E13" s="150" t="s">
        <v>206</v>
      </c>
      <c r="F13" s="147" t="s">
        <v>207</v>
      </c>
      <c r="G13" s="147" t="e" vm="115">
        <f>+_xlfn.IMAGE(F13)</f>
        <v>#VALUE!</v>
      </c>
      <c r="H13" s="148" t="e" vm="116">
        <v>#VALUE!</v>
      </c>
      <c r="I13" s="150" t="s">
        <v>201</v>
      </c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182</v>
      </c>
      <c r="R13" s="149" t="s">
        <v>167</v>
      </c>
      <c r="S13" s="149" t="s">
        <v>188</v>
      </c>
      <c r="T13" s="219" t="s">
        <v>88</v>
      </c>
      <c r="U13" s="219">
        <f t="shared" ca="1" si="6"/>
        <v>0</v>
      </c>
      <c r="V13" s="219">
        <f t="shared" ca="1" si="5"/>
        <v>5</v>
      </c>
      <c r="W13" s="2"/>
      <c r="Y13" s="1" t="s">
        <v>89</v>
      </c>
      <c r="Z13" s="2" t="s">
        <v>208</v>
      </c>
      <c r="AA13" s="3" t="s">
        <v>209</v>
      </c>
      <c r="AD13" t="s">
        <v>210</v>
      </c>
      <c r="AE13">
        <f>+Normas!C17</f>
        <v>15</v>
      </c>
      <c r="AG13" s="2"/>
      <c r="AH13" s="2"/>
    </row>
    <row r="14" spans="1:34" ht="25.15" customHeight="1" x14ac:dyDescent="0.25">
      <c r="A14" s="150" t="s">
        <v>211</v>
      </c>
      <c r="B14" s="147" t="s">
        <v>212</v>
      </c>
      <c r="C14" s="147" t="e" vm="117">
        <f t="shared" si="0"/>
        <v>#VALUE!</v>
      </c>
      <c r="D14" s="148" t="e" vm="118">
        <v>#VALUE!</v>
      </c>
      <c r="E14" s="150" t="s">
        <v>213</v>
      </c>
      <c r="F14" s="147" t="s">
        <v>214</v>
      </c>
      <c r="G14" s="147" t="e" vm="119">
        <f t="shared" si="1"/>
        <v>#VALUE!</v>
      </c>
      <c r="H14" s="148" t="e" vm="120">
        <v>#VALUE!</v>
      </c>
      <c r="I14" s="150" t="s">
        <v>201</v>
      </c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172</v>
      </c>
      <c r="R14" s="149" t="s">
        <v>177</v>
      </c>
      <c r="S14" s="149" t="s">
        <v>180</v>
      </c>
      <c r="T14" s="219" t="s">
        <v>88</v>
      </c>
      <c r="U14" s="219">
        <f t="shared" ca="1" si="6"/>
        <v>2</v>
      </c>
      <c r="V14" s="219">
        <f t="shared" ca="1" si="5"/>
        <v>0</v>
      </c>
      <c r="W14" s="2"/>
      <c r="Y14" s="1" t="s">
        <v>90</v>
      </c>
      <c r="Z14" s="2" t="s">
        <v>215</v>
      </c>
      <c r="AA14" s="3" t="s">
        <v>169</v>
      </c>
      <c r="AD14" t="s">
        <v>216</v>
      </c>
      <c r="AE14">
        <f>+Normas!C19</f>
        <v>0</v>
      </c>
      <c r="AG14" s="2"/>
      <c r="AH14" s="2"/>
    </row>
    <row r="15" spans="1:34" ht="25.15" customHeight="1" x14ac:dyDescent="0.25">
      <c r="A15" s="150" t="s">
        <v>217</v>
      </c>
      <c r="B15" s="147" t="s">
        <v>218</v>
      </c>
      <c r="C15" s="147" t="e" vm="121">
        <f t="shared" si="0"/>
        <v>#VALUE!</v>
      </c>
      <c r="D15" s="148" t="e" vm="122">
        <v>#VALUE!</v>
      </c>
      <c r="E15" s="150" t="s">
        <v>219</v>
      </c>
      <c r="F15" s="147" t="s">
        <v>220</v>
      </c>
      <c r="G15" s="147" t="e" vm="123">
        <f t="shared" si="1"/>
        <v>#VALUE!</v>
      </c>
      <c r="H15" s="148" t="e" vm="124">
        <v>#VALUE!</v>
      </c>
      <c r="I15" s="150" t="s">
        <v>201</v>
      </c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190</v>
      </c>
      <c r="R15" s="149" t="s">
        <v>195</v>
      </c>
      <c r="S15" s="149" t="s">
        <v>221</v>
      </c>
      <c r="T15" s="219" t="s">
        <v>89</v>
      </c>
      <c r="U15" s="219">
        <f ca="1">IF(VLOOKUP(M15,INDIRECT(T15&amp;"!B:AZ"),9,0)="","",VLOOKUP(M15,INDIRECT(T15&amp;"!B:AZ"),9,0))</f>
        <v>4</v>
      </c>
      <c r="V15" s="219">
        <f t="shared" ca="1" si="5"/>
        <v>0</v>
      </c>
      <c r="W15" s="2"/>
      <c r="Y15" s="1" t="s">
        <v>90</v>
      </c>
      <c r="Z15" s="2" t="s">
        <v>222</v>
      </c>
      <c r="AA15" s="3" t="s">
        <v>146</v>
      </c>
      <c r="AD15" t="s">
        <v>223</v>
      </c>
      <c r="AE15">
        <f>+Normas!C18</f>
        <v>9</v>
      </c>
      <c r="AG15" s="2"/>
      <c r="AH15" s="2"/>
    </row>
    <row r="16" spans="1:34" ht="25.15" customHeight="1" x14ac:dyDescent="0.25">
      <c r="A16" s="150" t="s">
        <v>224</v>
      </c>
      <c r="B16" s="147" t="s">
        <v>225</v>
      </c>
      <c r="C16" s="147" t="e" vm="73">
        <f t="shared" si="0"/>
        <v>#VALUE!</v>
      </c>
      <c r="D16" s="148" t="e" vm="125">
        <v>#VALUE!</v>
      </c>
      <c r="E16" s="150" t="s">
        <v>226</v>
      </c>
      <c r="F16" s="147" t="s">
        <v>227</v>
      </c>
      <c r="G16" s="147" t="e" vm="126">
        <f t="shared" si="1"/>
        <v>#VALUE!</v>
      </c>
      <c r="H16" s="148" t="e" vm="65">
        <v>#VALUE!</v>
      </c>
      <c r="I16" s="150" t="s">
        <v>228</v>
      </c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192</v>
      </c>
      <c r="R16" s="149" t="s">
        <v>209</v>
      </c>
      <c r="S16" s="149" t="s">
        <v>143</v>
      </c>
      <c r="T16" s="219" t="s">
        <v>89</v>
      </c>
      <c r="U16" s="219">
        <f t="shared" ca="1" si="6"/>
        <v>1</v>
      </c>
      <c r="V16" s="219">
        <f t="shared" ca="1" si="5"/>
        <v>4</v>
      </c>
      <c r="W16" s="2"/>
      <c r="Y16" s="1" t="s">
        <v>90</v>
      </c>
      <c r="Z16" s="2" t="s">
        <v>229</v>
      </c>
      <c r="AA16" s="3" t="s">
        <v>224</v>
      </c>
      <c r="AD16" t="s">
        <v>230</v>
      </c>
      <c r="AE16">
        <f>+Normas!C20</f>
        <v>15</v>
      </c>
      <c r="AG16" s="2"/>
      <c r="AH16" s="2"/>
    </row>
    <row r="17" spans="1:34" ht="25.15" customHeight="1" x14ac:dyDescent="0.25">
      <c r="A17" s="150" t="s">
        <v>231</v>
      </c>
      <c r="B17" s="147" t="s">
        <v>232</v>
      </c>
      <c r="C17" s="147" t="e" vm="78">
        <f t="shared" si="0"/>
        <v>#VALUE!</v>
      </c>
      <c r="D17" s="148" t="e" vm="127">
        <v>#VALUE!</v>
      </c>
      <c r="E17" s="150" t="s">
        <v>233</v>
      </c>
      <c r="F17" s="147" t="s">
        <v>234</v>
      </c>
      <c r="G17" s="147" t="e" vm="128">
        <f t="shared" si="1"/>
        <v>#VALUE!</v>
      </c>
      <c r="H17" s="148" t="e" vm="57">
        <v>#VALUE!</v>
      </c>
      <c r="I17" s="150" t="s">
        <v>228</v>
      </c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209</v>
      </c>
      <c r="R17" s="149" t="s">
        <v>195</v>
      </c>
      <c r="S17" s="149" t="s">
        <v>235</v>
      </c>
      <c r="T17" s="219" t="s">
        <v>89</v>
      </c>
      <c r="U17" s="219">
        <f t="shared" ca="1" si="6"/>
        <v>3</v>
      </c>
      <c r="V17" s="219">
        <f t="shared" ca="1" si="5"/>
        <v>0</v>
      </c>
      <c r="W17" s="2"/>
      <c r="Y17" s="1" t="s">
        <v>90</v>
      </c>
      <c r="Z17" s="2" t="s">
        <v>236</v>
      </c>
      <c r="AA17" s="3" t="str">
        <f>+L3</f>
        <v>Los Angeles</v>
      </c>
      <c r="AD17" t="s">
        <v>237</v>
      </c>
      <c r="AE17">
        <f>+Normas!C21</f>
        <v>15</v>
      </c>
      <c r="AG17" s="2"/>
      <c r="AH17" s="2"/>
    </row>
    <row r="18" spans="1:34" ht="25.15" customHeight="1" x14ac:dyDescent="0.25">
      <c r="A18" s="150" t="s">
        <v>238</v>
      </c>
      <c r="B18" s="147" t="s">
        <v>239</v>
      </c>
      <c r="C18" s="147" t="e" vm="66">
        <f t="shared" si="0"/>
        <v>#VALUE!</v>
      </c>
      <c r="D18" s="148" t="e" vm="129">
        <v>#VALUE!</v>
      </c>
      <c r="E18" s="150" t="s">
        <v>226</v>
      </c>
      <c r="F18" s="147" t="s">
        <v>227</v>
      </c>
      <c r="G18" s="147" t="e" vm="126">
        <f t="shared" si="1"/>
        <v>#VALUE!</v>
      </c>
      <c r="H18" s="148" t="e" vm="65">
        <v>#VALUE!</v>
      </c>
      <c r="I18" s="150" t="s">
        <v>228</v>
      </c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190</v>
      </c>
      <c r="R18" s="149" t="s">
        <v>192</v>
      </c>
      <c r="S18" s="149" t="s">
        <v>143</v>
      </c>
      <c r="T18" s="219" t="s">
        <v>89</v>
      </c>
      <c r="U18" s="219">
        <f t="shared" ca="1" si="6"/>
        <v>3</v>
      </c>
      <c r="V18" s="219">
        <f t="shared" ca="1" si="5"/>
        <v>0</v>
      </c>
      <c r="W18" s="2"/>
      <c r="Y18" s="1" t="s">
        <v>91</v>
      </c>
      <c r="Z18" s="2" t="s">
        <v>240</v>
      </c>
      <c r="AA18" s="3" t="s">
        <v>184</v>
      </c>
      <c r="AD18" t="s">
        <v>241</v>
      </c>
      <c r="AE18">
        <f>+Normas!C22</f>
        <v>20</v>
      </c>
      <c r="AG18" s="2"/>
      <c r="AH18" s="2"/>
    </row>
    <row r="19" spans="1:34" ht="25.15" customHeight="1" x14ac:dyDescent="0.25">
      <c r="A19" s="150" t="s">
        <v>190</v>
      </c>
      <c r="B19" s="147" t="s">
        <v>242</v>
      </c>
      <c r="C19" s="147" t="e" vm="59">
        <f t="shared" si="0"/>
        <v>#VALUE!</v>
      </c>
      <c r="D19" s="148" t="e" vm="130">
        <v>#VALUE!</v>
      </c>
      <c r="E19" s="150" t="s">
        <v>243</v>
      </c>
      <c r="F19" s="147" t="s">
        <v>244</v>
      </c>
      <c r="G19" s="147" t="e" vm="131">
        <f t="shared" si="1"/>
        <v>#VALUE!</v>
      </c>
      <c r="H19" s="148" t="e" vm="58">
        <v>#VALUE!</v>
      </c>
      <c r="I19" s="150" t="s">
        <v>228</v>
      </c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195</v>
      </c>
      <c r="R19" s="149" t="s">
        <v>192</v>
      </c>
      <c r="S19" s="149" t="s">
        <v>245</v>
      </c>
      <c r="T19" s="219" t="s">
        <v>89</v>
      </c>
      <c r="U19" s="219">
        <f t="shared" ca="1" si="6"/>
        <v>1</v>
      </c>
      <c r="V19" s="219">
        <f t="shared" ca="1" si="5"/>
        <v>2</v>
      </c>
      <c r="W19" s="2"/>
      <c r="Y19" s="1" t="s">
        <v>91</v>
      </c>
      <c r="Z19" s="2" t="s">
        <v>246</v>
      </c>
      <c r="AA19" s="3" t="s">
        <v>204</v>
      </c>
      <c r="AD19" t="s">
        <v>247</v>
      </c>
      <c r="AE19">
        <f>+Normas!C23</f>
        <v>25</v>
      </c>
      <c r="AG19" s="2"/>
      <c r="AH19" s="2"/>
    </row>
    <row r="20" spans="1:34" ht="25.15" customHeight="1" x14ac:dyDescent="0.25">
      <c r="A20" s="150" t="s">
        <v>167</v>
      </c>
      <c r="B20" s="147" t="s">
        <v>248</v>
      </c>
      <c r="C20" s="147" t="e" vm="70">
        <f t="shared" si="0"/>
        <v>#VALUE!</v>
      </c>
      <c r="D20" s="148" t="e" vm="132">
        <v>#VALUE!</v>
      </c>
      <c r="E20" s="150" t="s">
        <v>249</v>
      </c>
      <c r="F20" s="147" t="s">
        <v>250</v>
      </c>
      <c r="G20" s="147" t="e" vm="133">
        <f t="shared" si="1"/>
        <v>#VALUE!</v>
      </c>
      <c r="H20" s="148" t="e" vm="69">
        <v>#VALUE!</v>
      </c>
      <c r="I20" s="150" t="s">
        <v>228</v>
      </c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209</v>
      </c>
      <c r="R20" s="149" t="s">
        <v>190</v>
      </c>
      <c r="S20" s="149" t="s">
        <v>251</v>
      </c>
      <c r="T20" s="219" t="s">
        <v>89</v>
      </c>
      <c r="U20" s="219">
        <f t="shared" ca="1" si="6"/>
        <v>1</v>
      </c>
      <c r="V20" s="219">
        <f t="shared" ca="1" si="5"/>
        <v>3</v>
      </c>
      <c r="W20" s="2"/>
      <c r="Y20" s="1" t="s">
        <v>91</v>
      </c>
      <c r="Z20" s="2" t="s">
        <v>252</v>
      </c>
      <c r="AA20" s="3" t="s">
        <v>253</v>
      </c>
      <c r="AD20" t="s">
        <v>254</v>
      </c>
      <c r="AE20">
        <f>+Normas!C24</f>
        <v>30</v>
      </c>
      <c r="AG20" s="2"/>
      <c r="AH20" s="2"/>
    </row>
    <row r="21" spans="1:34" ht="25.15" customHeight="1" x14ac:dyDescent="0.25">
      <c r="A21" s="150" t="s">
        <v>255</v>
      </c>
      <c r="B21" s="147" t="s">
        <v>256</v>
      </c>
      <c r="C21" s="147" t="e" vm="75">
        <f t="shared" si="0"/>
        <v>#VALUE!</v>
      </c>
      <c r="D21" s="148" t="e" vm="134">
        <v>#VALUE!</v>
      </c>
      <c r="E21" s="150" t="s">
        <v>243</v>
      </c>
      <c r="F21" s="147" t="s">
        <v>244</v>
      </c>
      <c r="G21" s="147" t="e" vm="131">
        <f t="shared" si="1"/>
        <v>#VALUE!</v>
      </c>
      <c r="H21" s="148" t="e" vm="58">
        <v>#VALUE!</v>
      </c>
      <c r="I21" s="150" t="s">
        <v>228</v>
      </c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224</v>
      </c>
      <c r="R21" s="149" t="str">
        <f>+L3</f>
        <v>Los Angeles</v>
      </c>
      <c r="S21" s="149" t="s">
        <v>165</v>
      </c>
      <c r="T21" s="219" t="s">
        <v>90</v>
      </c>
      <c r="U21" s="219">
        <f t="shared" ca="1" si="6"/>
        <v>4</v>
      </c>
      <c r="V21" s="219">
        <f t="shared" ca="1" si="5"/>
        <v>0</v>
      </c>
      <c r="W21" s="2"/>
      <c r="Y21" s="1" t="s">
        <v>91</v>
      </c>
      <c r="Z21" s="2" t="s">
        <v>257</v>
      </c>
      <c r="AA21" s="3" t="s">
        <v>258</v>
      </c>
      <c r="AD21" t="s">
        <v>259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258</v>
      </c>
      <c r="B22" s="147" t="s">
        <v>260</v>
      </c>
      <c r="C22" s="147" t="e" vm="63">
        <f t="shared" si="0"/>
        <v>#VALUE!</v>
      </c>
      <c r="D22" s="148" t="e" vm="135">
        <v>#VALUE!</v>
      </c>
      <c r="E22" s="150" t="s">
        <v>261</v>
      </c>
      <c r="F22" s="147" t="s">
        <v>262</v>
      </c>
      <c r="G22" s="147" t="e" vm="136">
        <f t="shared" si="1"/>
        <v>#VALUE!</v>
      </c>
      <c r="H22" s="148" t="e" vm="62">
        <v>#VALUE!</v>
      </c>
      <c r="I22" s="150" t="s">
        <v>228</v>
      </c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169</v>
      </c>
      <c r="R22" s="149" t="s">
        <v>146</v>
      </c>
      <c r="S22" s="149" t="s">
        <v>263</v>
      </c>
      <c r="T22" s="219" t="s">
        <v>90</v>
      </c>
      <c r="U22" s="219">
        <f t="shared" ca="1" si="6"/>
        <v>2</v>
      </c>
      <c r="V22" s="219">
        <f t="shared" ca="1" si="5"/>
        <v>0</v>
      </c>
      <c r="W22" s="2"/>
      <c r="Y22" s="1" t="s">
        <v>92</v>
      </c>
      <c r="Z22" s="2" t="s">
        <v>264</v>
      </c>
      <c r="AA22" s="3" t="s">
        <v>174</v>
      </c>
      <c r="AD22" t="s">
        <v>38</v>
      </c>
      <c r="AE22">
        <f>+Normas!C26</f>
        <v>50</v>
      </c>
      <c r="AG22" s="2"/>
      <c r="AH22" s="2"/>
    </row>
    <row r="23" spans="1:34" ht="25.15" customHeight="1" x14ac:dyDescent="0.25">
      <c r="A23" s="150" t="s">
        <v>151</v>
      </c>
      <c r="B23" s="147" t="s">
        <v>265</v>
      </c>
      <c r="C23" s="147" t="e" vm="55">
        <f t="shared" si="0"/>
        <v>#VALUE!</v>
      </c>
      <c r="D23" s="148" t="e" vm="137">
        <v>#VALUE!</v>
      </c>
      <c r="E23" s="150" t="s">
        <v>266</v>
      </c>
      <c r="F23" s="147" t="s">
        <v>267</v>
      </c>
      <c r="G23" s="147" t="e" vm="138">
        <f t="shared" si="1"/>
        <v>#VALUE!</v>
      </c>
      <c r="H23" s="148" t="e" vm="54">
        <v>#VALUE!</v>
      </c>
      <c r="I23" s="150" t="s">
        <v>228</v>
      </c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169</v>
      </c>
      <c r="R23" s="149" t="s">
        <v>224</v>
      </c>
      <c r="S23" s="149" t="s">
        <v>263</v>
      </c>
      <c r="T23" s="219" t="s">
        <v>90</v>
      </c>
      <c r="U23" s="219">
        <f t="shared" ca="1" si="6"/>
        <v>1</v>
      </c>
      <c r="V23" s="219">
        <f t="shared" ca="1" si="5"/>
        <v>3</v>
      </c>
      <c r="W23" s="2"/>
      <c r="Y23" s="1" t="s">
        <v>92</v>
      </c>
      <c r="Z23" s="2" t="s">
        <v>268</v>
      </c>
      <c r="AA23" s="3" t="s">
        <v>255</v>
      </c>
      <c r="AG23" s="2"/>
      <c r="AH23" s="2"/>
    </row>
    <row r="24" spans="1:34" ht="25.15" customHeight="1" x14ac:dyDescent="0.25">
      <c r="A24" s="150" t="s">
        <v>172</v>
      </c>
      <c r="B24" s="147" t="s">
        <v>269</v>
      </c>
      <c r="C24" s="147" t="e" vm="56">
        <f t="shared" si="0"/>
        <v>#VALUE!</v>
      </c>
      <c r="D24" s="148" t="e" vm="139">
        <v>#VALUE!</v>
      </c>
      <c r="E24" s="150" t="s">
        <v>233</v>
      </c>
      <c r="F24" s="147" t="s">
        <v>234</v>
      </c>
      <c r="G24" s="147" t="e" vm="128">
        <f t="shared" si="1"/>
        <v>#VALUE!</v>
      </c>
      <c r="H24" s="148" t="e" vm="57">
        <v>#VALUE!</v>
      </c>
      <c r="I24" s="150" t="s">
        <v>228</v>
      </c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146</v>
      </c>
      <c r="S24" s="149" t="s">
        <v>245</v>
      </c>
      <c r="T24" s="219" t="s">
        <v>90</v>
      </c>
      <c r="U24" s="219">
        <f t="shared" ca="1" si="6"/>
        <v>3</v>
      </c>
      <c r="V24" s="219">
        <f t="shared" ca="1" si="5"/>
        <v>1</v>
      </c>
      <c r="W24" s="2"/>
      <c r="Y24" s="1" t="s">
        <v>92</v>
      </c>
      <c r="Z24" s="2" t="s">
        <v>270</v>
      </c>
      <c r="AA24" s="3" t="s">
        <v>217</v>
      </c>
      <c r="AG24" s="2"/>
      <c r="AH24" s="2"/>
    </row>
    <row r="25" spans="1:34" ht="25.15" customHeight="1" x14ac:dyDescent="0.25">
      <c r="A25" s="150" t="s">
        <v>209</v>
      </c>
      <c r="B25" s="147" t="s">
        <v>271</v>
      </c>
      <c r="C25" s="147" t="e" vm="74">
        <f t="shared" si="0"/>
        <v>#VALUE!</v>
      </c>
      <c r="D25" s="148" t="e" vm="140">
        <v>#VALUE!</v>
      </c>
      <c r="E25" s="150" t="s">
        <v>266</v>
      </c>
      <c r="F25" s="147" t="s">
        <v>267</v>
      </c>
      <c r="G25" s="147" t="e" vm="138">
        <f t="shared" si="1"/>
        <v>#VALUE!</v>
      </c>
      <c r="H25" s="148" t="e" vm="54">
        <v>#VALUE!</v>
      </c>
      <c r="I25" s="150" t="s">
        <v>228</v>
      </c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169</v>
      </c>
      <c r="S25" s="149" t="s">
        <v>272</v>
      </c>
      <c r="T25" s="219" t="s">
        <v>90</v>
      </c>
      <c r="U25" s="219">
        <f t="shared" ca="1" si="6"/>
        <v>2</v>
      </c>
      <c r="V25" s="219">
        <f t="shared" ca="1" si="5"/>
        <v>3</v>
      </c>
      <c r="W25" s="2"/>
      <c r="Y25" s="1" t="s">
        <v>92</v>
      </c>
      <c r="Z25" s="2" t="s">
        <v>273</v>
      </c>
      <c r="AA25" s="3" t="s">
        <v>155</v>
      </c>
      <c r="AG25" s="2"/>
      <c r="AH25" s="2"/>
    </row>
    <row r="26" spans="1:34" ht="25.15" customHeight="1" x14ac:dyDescent="0.25">
      <c r="A26" s="150" t="s">
        <v>274</v>
      </c>
      <c r="B26" s="147" t="s">
        <v>275</v>
      </c>
      <c r="C26" s="147" t="e" vm="79">
        <f t="shared" si="0"/>
        <v>#VALUE!</v>
      </c>
      <c r="D26" s="148" t="e" vm="141">
        <v>#VALUE!</v>
      </c>
      <c r="E26" s="150" t="s">
        <v>261</v>
      </c>
      <c r="F26" s="147" t="s">
        <v>262</v>
      </c>
      <c r="G26" s="147" t="e" vm="136">
        <f t="shared" si="1"/>
        <v>#VALUE!</v>
      </c>
      <c r="H26" s="148" t="e" vm="62">
        <v>#VALUE!</v>
      </c>
      <c r="I26" s="150" t="s">
        <v>228</v>
      </c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146</v>
      </c>
      <c r="R26" s="149" t="s">
        <v>224</v>
      </c>
      <c r="S26" s="149" t="s">
        <v>263</v>
      </c>
      <c r="T26" s="219" t="s">
        <v>90</v>
      </c>
      <c r="U26" s="219">
        <f t="shared" ca="1" si="6"/>
        <v>0</v>
      </c>
      <c r="V26" s="219">
        <f t="shared" ca="1" si="5"/>
        <v>2</v>
      </c>
      <c r="W26" s="2"/>
      <c r="Y26" s="1" t="s">
        <v>93</v>
      </c>
      <c r="Z26" s="2" t="s">
        <v>276</v>
      </c>
      <c r="AA26" s="3" t="s">
        <v>238</v>
      </c>
      <c r="AG26" s="2"/>
      <c r="AH26" s="2"/>
    </row>
    <row r="27" spans="1:34" ht="25.15" customHeight="1" x14ac:dyDescent="0.25">
      <c r="A27" s="150" t="s">
        <v>277</v>
      </c>
      <c r="B27" s="147" t="s">
        <v>278</v>
      </c>
      <c r="C27" s="147" t="e" vm="67">
        <f t="shared" si="0"/>
        <v>#VALUE!</v>
      </c>
      <c r="D27" s="148" t="e" vm="142">
        <v>#VALUE!</v>
      </c>
      <c r="E27" s="150" t="s">
        <v>279</v>
      </c>
      <c r="F27" s="147" t="s">
        <v>280</v>
      </c>
      <c r="G27" s="147" t="e" vm="143">
        <f t="shared" si="1"/>
        <v>#VALUE!</v>
      </c>
      <c r="H27" s="148" t="e" vm="68">
        <v>#VALUE!</v>
      </c>
      <c r="I27" s="150" t="s">
        <v>228</v>
      </c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184</v>
      </c>
      <c r="R27" s="149" t="s">
        <v>204</v>
      </c>
      <c r="S27" s="149" t="s">
        <v>188</v>
      </c>
      <c r="T27" s="219" t="s">
        <v>91</v>
      </c>
      <c r="U27" s="219">
        <f t="shared" ca="1" si="6"/>
        <v>2</v>
      </c>
      <c r="V27" s="219">
        <f t="shared" ca="1" si="5"/>
        <v>1</v>
      </c>
      <c r="W27" s="2"/>
      <c r="Y27" s="1" t="s">
        <v>93</v>
      </c>
      <c r="Z27" s="2" t="s">
        <v>281</v>
      </c>
      <c r="AA27" s="3" t="s">
        <v>138</v>
      </c>
      <c r="AG27" s="2"/>
      <c r="AH27" s="2"/>
    </row>
    <row r="28" spans="1:34" ht="25.15" customHeight="1" x14ac:dyDescent="0.25">
      <c r="A28" s="150" t="s">
        <v>253</v>
      </c>
      <c r="B28" s="147" t="s">
        <v>282</v>
      </c>
      <c r="C28" s="147" t="e" vm="76">
        <f t="shared" si="0"/>
        <v>#VALUE!</v>
      </c>
      <c r="D28" s="148" t="e" vm="144">
        <v>#VALUE!</v>
      </c>
      <c r="E28" s="150" t="s">
        <v>283</v>
      </c>
      <c r="F28" s="147" t="s">
        <v>284</v>
      </c>
      <c r="G28" s="147" t="e" vm="145">
        <f t="shared" si="1"/>
        <v>#VALUE!</v>
      </c>
      <c r="H28" s="148" t="e" vm="77">
        <v>#VALUE!</v>
      </c>
      <c r="I28" s="150" t="s">
        <v>285</v>
      </c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253</v>
      </c>
      <c r="R28" s="149" t="s">
        <v>258</v>
      </c>
      <c r="S28" s="149" t="s">
        <v>180</v>
      </c>
      <c r="T28" s="219" t="s">
        <v>91</v>
      </c>
      <c r="U28" s="219">
        <f t="shared" ca="1" si="6"/>
        <v>0</v>
      </c>
      <c r="V28" s="219">
        <f t="shared" ca="1" si="5"/>
        <v>3</v>
      </c>
      <c r="W28" s="2"/>
      <c r="Y28" s="1" t="s">
        <v>93</v>
      </c>
      <c r="Z28" s="2" t="s">
        <v>286</v>
      </c>
      <c r="AA28" s="3" t="s">
        <v>211</v>
      </c>
      <c r="AG28" s="2"/>
      <c r="AH28" s="2"/>
    </row>
    <row r="29" spans="1:34" ht="25.15" customHeight="1" x14ac:dyDescent="0.25">
      <c r="A29" s="150" t="s">
        <v>182</v>
      </c>
      <c r="B29" s="147" t="s">
        <v>287</v>
      </c>
      <c r="C29" s="147" t="e" vm="146">
        <f>+_xlfn.IMAGE(B29)</f>
        <v>#VALUE!</v>
      </c>
      <c r="D29" s="148" t="e" vm="147">
        <v>#VALUE!</v>
      </c>
      <c r="E29" s="150" t="s">
        <v>288</v>
      </c>
      <c r="F29" s="147" t="s">
        <v>289</v>
      </c>
      <c r="G29" s="147" t="e" vm="148">
        <f>+_xlfn.IMAGE(F29)</f>
        <v>#VALUE!</v>
      </c>
      <c r="H29" s="148" t="e" vm="72">
        <v>#VALUE!</v>
      </c>
      <c r="I29" s="150" t="s">
        <v>285</v>
      </c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258</v>
      </c>
      <c r="R29" s="149" t="s">
        <v>204</v>
      </c>
      <c r="S29" s="149" t="s">
        <v>188</v>
      </c>
      <c r="T29" s="219" t="s">
        <v>91</v>
      </c>
      <c r="U29" s="219">
        <f t="shared" ca="1" si="6"/>
        <v>2</v>
      </c>
      <c r="V29" s="219">
        <f t="shared" ca="1" si="5"/>
        <v>0</v>
      </c>
      <c r="W29" s="2"/>
      <c r="Y29" s="1" t="s">
        <v>93</v>
      </c>
      <c r="Z29" s="2" t="s">
        <v>290</v>
      </c>
      <c r="AA29" s="3" t="s">
        <v>274</v>
      </c>
      <c r="AG29" s="2"/>
      <c r="AH29" s="2"/>
    </row>
    <row r="30" spans="1:34" ht="25.15" customHeight="1" x14ac:dyDescent="0.25">
      <c r="A30" s="150" t="s">
        <v>291</v>
      </c>
      <c r="B30" s="147" t="s">
        <v>292</v>
      </c>
      <c r="C30" s="147" t="e" vm="149">
        <f t="shared" si="0"/>
        <v>#VALUE!</v>
      </c>
      <c r="D30" s="148" t="e" vm="150">
        <v>#VALUE!</v>
      </c>
      <c r="E30" s="150" t="s">
        <v>283</v>
      </c>
      <c r="F30" s="147" t="s">
        <v>284</v>
      </c>
      <c r="G30" s="147" t="e" vm="145">
        <f t="shared" ref="G30:G34" si="7">+_xlfn.IMAGE(F30)</f>
        <v>#VALUE!</v>
      </c>
      <c r="H30" s="148" t="e" vm="77">
        <v>#VALUE!</v>
      </c>
      <c r="I30" s="150" t="s">
        <v>285</v>
      </c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184</v>
      </c>
      <c r="R30" s="149" t="s">
        <v>253</v>
      </c>
      <c r="S30" s="149" t="s">
        <v>180</v>
      </c>
      <c r="T30" s="219" t="s">
        <v>91</v>
      </c>
      <c r="U30" s="219">
        <f t="shared" ca="1" si="6"/>
        <v>2</v>
      </c>
      <c r="V30" s="219">
        <f t="shared" ca="1" si="5"/>
        <v>3</v>
      </c>
      <c r="W30" s="2"/>
      <c r="Y30" s="1" t="s">
        <v>94</v>
      </c>
      <c r="Z30" s="2" t="s">
        <v>293</v>
      </c>
      <c r="AA30" s="3" t="s">
        <v>231</v>
      </c>
      <c r="AG30" s="2"/>
      <c r="AH30" s="2"/>
    </row>
    <row r="31" spans="1:34" ht="25.15" customHeight="1" x14ac:dyDescent="0.25">
      <c r="A31" s="150" t="s">
        <v>195</v>
      </c>
      <c r="B31" s="147" t="s">
        <v>294</v>
      </c>
      <c r="C31" s="147" t="e" vm="151">
        <f t="shared" si="0"/>
        <v>#VALUE!</v>
      </c>
      <c r="D31" s="148" t="e" vm="152">
        <v>#VALUE!</v>
      </c>
      <c r="E31" s="150" t="s">
        <v>295</v>
      </c>
      <c r="F31" s="147" t="s">
        <v>296</v>
      </c>
      <c r="G31" s="147" t="e" vm="153">
        <f t="shared" si="7"/>
        <v>#VALUE!</v>
      </c>
      <c r="H31" s="148" t="e" vm="154">
        <v>#VALUE!</v>
      </c>
      <c r="I31" s="150" t="s">
        <v>297</v>
      </c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258</v>
      </c>
      <c r="R31" s="149" t="s">
        <v>184</v>
      </c>
      <c r="S31" s="149" t="s">
        <v>188</v>
      </c>
      <c r="T31" s="219" t="s">
        <v>91</v>
      </c>
      <c r="U31" s="219">
        <f t="shared" ca="1" si="6"/>
        <v>2</v>
      </c>
      <c r="V31" s="219">
        <f t="shared" ca="1" si="5"/>
        <v>0</v>
      </c>
      <c r="W31" s="2"/>
      <c r="Y31" s="1" t="s">
        <v>94</v>
      </c>
      <c r="Z31" s="2" t="s">
        <v>298</v>
      </c>
      <c r="AA31" s="3" t="s">
        <v>197</v>
      </c>
      <c r="AG31" s="2"/>
      <c r="AH31" s="2"/>
    </row>
    <row r="32" spans="1:34" ht="25.15" customHeight="1" x14ac:dyDescent="0.25">
      <c r="A32" s="150" t="s">
        <v>142</v>
      </c>
      <c r="B32" s="147" t="s">
        <v>299</v>
      </c>
      <c r="C32" s="147" t="e" vm="71">
        <f t="shared" si="0"/>
        <v>#VALUE!</v>
      </c>
      <c r="D32" s="148" t="e" vm="155">
        <v>#VALUE!</v>
      </c>
      <c r="E32" s="150" t="s">
        <v>288</v>
      </c>
      <c r="F32" s="147" t="s">
        <v>289</v>
      </c>
      <c r="G32" s="147" t="e" vm="148">
        <f t="shared" si="7"/>
        <v>#VALUE!</v>
      </c>
      <c r="H32" s="148" t="e" vm="72">
        <v>#VALUE!</v>
      </c>
      <c r="I32" s="150" t="s">
        <v>300</v>
      </c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204</v>
      </c>
      <c r="R32" s="149" t="s">
        <v>253</v>
      </c>
      <c r="S32" s="149" t="s">
        <v>180</v>
      </c>
      <c r="T32" s="219" t="s">
        <v>91</v>
      </c>
      <c r="U32" s="219">
        <f t="shared" ca="1" si="6"/>
        <v>0</v>
      </c>
      <c r="V32" s="219">
        <f t="shared" ca="1" si="5"/>
        <v>3</v>
      </c>
      <c r="W32" s="2"/>
      <c r="Y32" s="1" t="s">
        <v>94</v>
      </c>
      <c r="Z32" s="2" t="s">
        <v>301</v>
      </c>
      <c r="AA32" s="3" t="s">
        <v>291</v>
      </c>
      <c r="AG32" s="2"/>
      <c r="AH32" s="2"/>
    </row>
    <row r="33" spans="1:34" ht="25.15" customHeight="1" x14ac:dyDescent="0.25">
      <c r="A33" s="150" t="s">
        <v>64</v>
      </c>
      <c r="B33" s="147" t="s">
        <v>302</v>
      </c>
      <c r="C33" s="147" t="e" vm="156">
        <f t="shared" si="0"/>
        <v>#VALUE!</v>
      </c>
      <c r="D33" s="148" t="e" vm="157">
        <v>#VALUE!</v>
      </c>
      <c r="E33" s="150" t="s">
        <v>288</v>
      </c>
      <c r="F33" s="147" t="s">
        <v>289</v>
      </c>
      <c r="G33" s="147" t="e" vm="148">
        <f t="shared" si="7"/>
        <v>#VALUE!</v>
      </c>
      <c r="H33" s="148" t="e" vm="72">
        <v>#VALUE!</v>
      </c>
      <c r="I33" s="150" t="s">
        <v>285</v>
      </c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174</v>
      </c>
      <c r="R33" s="149" t="s">
        <v>255</v>
      </c>
      <c r="S33" s="149" t="s">
        <v>152</v>
      </c>
      <c r="T33" s="219" t="s">
        <v>92</v>
      </c>
      <c r="U33" s="219">
        <f t="shared" ca="1" si="6"/>
        <v>1</v>
      </c>
      <c r="V33" s="219">
        <f t="shared" ca="1" si="5"/>
        <v>4</v>
      </c>
      <c r="W33" s="2"/>
      <c r="Y33" s="1" t="s">
        <v>94</v>
      </c>
      <c r="Z33" s="2" t="s">
        <v>303</v>
      </c>
      <c r="AA33" s="3" t="s">
        <v>277</v>
      </c>
      <c r="AG33" s="2"/>
      <c r="AH33" s="2"/>
    </row>
    <row r="34" spans="1:34" ht="25.15" customHeight="1" x14ac:dyDescent="0.25">
      <c r="A34" s="150" t="s">
        <v>66</v>
      </c>
      <c r="B34" s="147" t="s">
        <v>304</v>
      </c>
      <c r="C34" s="147" t="e" vm="158">
        <f t="shared" si="0"/>
        <v>#VALUE!</v>
      </c>
      <c r="D34" s="148" t="e" vm="159">
        <v>#VALUE!</v>
      </c>
      <c r="E34" s="150" t="s">
        <v>283</v>
      </c>
      <c r="F34" s="147" t="s">
        <v>284</v>
      </c>
      <c r="G34" s="147" t="e" vm="145">
        <f t="shared" si="7"/>
        <v>#VALUE!</v>
      </c>
      <c r="H34" s="148" t="e" vm="77">
        <v>#VALUE!</v>
      </c>
      <c r="I34" s="150" t="s">
        <v>285</v>
      </c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217</v>
      </c>
      <c r="R34" s="149" t="s">
        <v>155</v>
      </c>
      <c r="S34" s="149" t="s">
        <v>235</v>
      </c>
      <c r="T34" s="219" t="s">
        <v>92</v>
      </c>
      <c r="U34" s="219">
        <f t="shared" ca="1" si="6"/>
        <v>2</v>
      </c>
      <c r="V34" s="219">
        <f t="shared" ca="1" si="5"/>
        <v>1</v>
      </c>
      <c r="W34" s="2"/>
      <c r="AG34" s="2"/>
    </row>
    <row r="35" spans="1:34" ht="25.15" customHeight="1" x14ac:dyDescent="0.25">
      <c r="A35" s="150" t="s">
        <v>305</v>
      </c>
      <c r="B35" s="147"/>
      <c r="C35" s="147"/>
      <c r="D35" s="148"/>
      <c r="E35" s="150"/>
      <c r="F35" s="147"/>
      <c r="G35" s="147"/>
      <c r="H35" s="148"/>
      <c r="I35" s="150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155</v>
      </c>
      <c r="R35" s="149" t="s">
        <v>255</v>
      </c>
      <c r="S35" s="149" t="s">
        <v>221</v>
      </c>
      <c r="T35" s="219" t="s">
        <v>92</v>
      </c>
      <c r="U35" s="219">
        <f t="shared" ca="1" si="6"/>
        <v>0</v>
      </c>
      <c r="V35" s="219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174</v>
      </c>
      <c r="R36" s="149" t="s">
        <v>217</v>
      </c>
      <c r="S36" s="149" t="s">
        <v>152</v>
      </c>
      <c r="T36" s="219" t="s">
        <v>92</v>
      </c>
      <c r="U36" s="219">
        <f t="shared" ca="1" si="6"/>
        <v>2</v>
      </c>
      <c r="V36" s="219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255</v>
      </c>
      <c r="R37" s="149" t="s">
        <v>217</v>
      </c>
      <c r="S37" s="149" t="s">
        <v>221</v>
      </c>
      <c r="T37" s="219" t="s">
        <v>92</v>
      </c>
      <c r="U37" s="219">
        <f t="shared" ca="1" si="6"/>
        <v>4</v>
      </c>
      <c r="V37" s="219">
        <f t="shared" ca="1" si="5"/>
        <v>1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155</v>
      </c>
      <c r="R38" s="149" t="s">
        <v>174</v>
      </c>
      <c r="S38" s="149" t="s">
        <v>143</v>
      </c>
      <c r="T38" s="219" t="s">
        <v>92</v>
      </c>
      <c r="U38" s="219">
        <f t="shared" ca="1" si="6"/>
        <v>1</v>
      </c>
      <c r="V38" s="219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238</v>
      </c>
      <c r="R39" s="149" t="s">
        <v>138</v>
      </c>
      <c r="S39" s="149" t="s">
        <v>263</v>
      </c>
      <c r="T39" s="219" t="s">
        <v>93</v>
      </c>
      <c r="U39" s="219">
        <f t="shared" ca="1" si="6"/>
        <v>5</v>
      </c>
      <c r="V39" s="219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211</v>
      </c>
      <c r="R40" s="149" t="s">
        <v>274</v>
      </c>
      <c r="S40" s="149" t="s">
        <v>306</v>
      </c>
      <c r="T40" s="219" t="s">
        <v>93</v>
      </c>
      <c r="U40" s="219">
        <f t="shared" ca="1" si="6"/>
        <v>0</v>
      </c>
      <c r="V40" s="219">
        <f t="shared" ca="1" si="5"/>
        <v>1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274</v>
      </c>
      <c r="R41" s="149" t="s">
        <v>138</v>
      </c>
      <c r="S41" s="149" t="s">
        <v>263</v>
      </c>
      <c r="T41" s="219" t="s">
        <v>93</v>
      </c>
      <c r="U41" s="219">
        <f t="shared" ca="1" si="6"/>
        <v>2</v>
      </c>
      <c r="V41" s="219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238</v>
      </c>
      <c r="R42" s="149" t="s">
        <v>211</v>
      </c>
      <c r="S42" s="149" t="s">
        <v>165</v>
      </c>
      <c r="T42" s="219" t="s">
        <v>93</v>
      </c>
      <c r="U42" s="219">
        <f t="shared" ca="1" si="6"/>
        <v>3</v>
      </c>
      <c r="V42" s="219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274</v>
      </c>
      <c r="R43" s="149" t="s">
        <v>238</v>
      </c>
      <c r="S43" s="149" t="s">
        <v>272</v>
      </c>
      <c r="T43" s="219" t="s">
        <v>93</v>
      </c>
      <c r="U43" s="219">
        <f t="shared" ca="1" si="6"/>
        <v>1</v>
      </c>
      <c r="V43" s="219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138</v>
      </c>
      <c r="R44" s="149" t="s">
        <v>211</v>
      </c>
      <c r="S44" s="149" t="s">
        <v>306</v>
      </c>
      <c r="T44" s="219" t="s">
        <v>93</v>
      </c>
      <c r="U44" s="219">
        <f t="shared" ca="1" si="6"/>
        <v>2</v>
      </c>
      <c r="V44" s="219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231</v>
      </c>
      <c r="R45" s="149" t="s">
        <v>197</v>
      </c>
      <c r="S45" s="149" t="s">
        <v>143</v>
      </c>
      <c r="T45" s="219" t="s">
        <v>94</v>
      </c>
      <c r="U45" s="219">
        <f t="shared" ca="1" si="6"/>
        <v>4</v>
      </c>
      <c r="V45" s="219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291</v>
      </c>
      <c r="R46" s="149" t="s">
        <v>277</v>
      </c>
      <c r="S46" s="149" t="s">
        <v>221</v>
      </c>
      <c r="T46" s="219" t="s">
        <v>94</v>
      </c>
      <c r="U46" s="219">
        <f t="shared" ca="1" si="6"/>
        <v>2</v>
      </c>
      <c r="V46" s="219">
        <f t="shared" ca="1" si="5"/>
        <v>3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231</v>
      </c>
      <c r="R47" s="149" t="s">
        <v>291</v>
      </c>
      <c r="S47" s="149" t="s">
        <v>251</v>
      </c>
      <c r="T47" s="219" t="s">
        <v>94</v>
      </c>
      <c r="U47" s="219">
        <f t="shared" ca="1" si="6"/>
        <v>4</v>
      </c>
      <c r="V47" s="219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277</v>
      </c>
      <c r="R48" s="149" t="s">
        <v>197</v>
      </c>
      <c r="S48" s="149" t="s">
        <v>306</v>
      </c>
      <c r="T48" s="219" t="s">
        <v>94</v>
      </c>
      <c r="U48" s="219">
        <f t="shared" ca="1" si="6"/>
        <v>1</v>
      </c>
      <c r="V48" s="219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197</v>
      </c>
      <c r="R49" s="149" t="s">
        <v>291</v>
      </c>
      <c r="S49" s="149" t="s">
        <v>245</v>
      </c>
      <c r="T49" s="219" t="s">
        <v>94</v>
      </c>
      <c r="U49" s="219">
        <f t="shared" ca="1" si="6"/>
        <v>1</v>
      </c>
      <c r="V49" s="219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277</v>
      </c>
      <c r="R50" s="149" t="s">
        <v>231</v>
      </c>
      <c r="S50" s="149" t="s">
        <v>263</v>
      </c>
      <c r="T50" s="219" t="s">
        <v>94</v>
      </c>
      <c r="U50" s="219">
        <f t="shared" ca="1" si="6"/>
        <v>2</v>
      </c>
      <c r="V50" s="219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307</v>
      </c>
      <c r="R51" s="149" t="s">
        <v>308</v>
      </c>
      <c r="S51" s="149" t="s">
        <v>263</v>
      </c>
      <c r="T51" s="219" t="s">
        <v>309</v>
      </c>
      <c r="U51" s="219">
        <f ca="1">IF(VLOOKUP(M51,INDIRECT(T51&amp;"!C:AZ"),9,0)="","",VLOOKUP(M51,INDIRECT(T51&amp;"!C:AZ"),9,0))</f>
        <v>1</v>
      </c>
      <c r="V51" s="219">
        <f ca="1">IF(VLOOKUP(M51,INDIRECT(T51&amp;"!C:AZ"),9,0)="","",VLOOKUP(M51,INDIRECT(T51&amp;"!C:AZ"),11,0))</f>
        <v>3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310</v>
      </c>
      <c r="R52" s="149" t="s">
        <v>311</v>
      </c>
      <c r="S52" s="149" t="s">
        <v>251</v>
      </c>
      <c r="T52" s="219" t="s">
        <v>309</v>
      </c>
      <c r="U52" s="219">
        <f t="shared" ref="U52:U65" ca="1" si="8">IF(VLOOKUP(M52,INDIRECT(T52&amp;"!C:AZ"),9,0)="","",VLOOKUP(M52,INDIRECT(T52&amp;"!C:AZ"),9,0))</f>
        <v>2</v>
      </c>
      <c r="V52" s="219">
        <f t="shared" ref="V52:V65" ca="1" si="9">IF(VLOOKUP(M52,INDIRECT(T52&amp;"!C:AZ"),9,0)="","",VLOOKUP(M52,INDIRECT(T52&amp;"!C:AZ"),11,0))</f>
        <v>0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312</v>
      </c>
      <c r="R53" s="149" t="s">
        <v>313</v>
      </c>
      <c r="S53" s="149" t="s">
        <v>165</v>
      </c>
      <c r="T53" s="219" t="s">
        <v>309</v>
      </c>
      <c r="U53" s="219">
        <f t="shared" ca="1" si="8"/>
        <v>4</v>
      </c>
      <c r="V53" s="219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314</v>
      </c>
      <c r="R54" s="149" t="s">
        <v>315</v>
      </c>
      <c r="S54" s="149" t="s">
        <v>143</v>
      </c>
      <c r="T54" s="219" t="s">
        <v>309</v>
      </c>
      <c r="U54" s="219">
        <f t="shared" ca="1" si="8"/>
        <v>3</v>
      </c>
      <c r="V54" s="219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316</v>
      </c>
      <c r="R55" s="149" t="s">
        <v>317</v>
      </c>
      <c r="S55" s="149" t="s">
        <v>251</v>
      </c>
      <c r="T55" s="219" t="s">
        <v>309</v>
      </c>
      <c r="U55" s="219">
        <f t="shared" ca="1" si="8"/>
        <v>2</v>
      </c>
      <c r="V55" s="219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318</v>
      </c>
      <c r="R56" s="149" t="s">
        <v>319</v>
      </c>
      <c r="S56" s="149" t="s">
        <v>272</v>
      </c>
      <c r="T56" s="219" t="s">
        <v>309</v>
      </c>
      <c r="U56" s="219">
        <f t="shared" ca="1" si="8"/>
        <v>3</v>
      </c>
      <c r="V56" s="219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320</v>
      </c>
      <c r="R57" s="149" t="s">
        <v>321</v>
      </c>
      <c r="S57" s="149" t="s">
        <v>143</v>
      </c>
      <c r="T57" s="219" t="s">
        <v>309</v>
      </c>
      <c r="U57" s="219">
        <f t="shared" ca="1" si="8"/>
        <v>4</v>
      </c>
      <c r="V57" s="219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322</v>
      </c>
      <c r="R58" s="149" t="s">
        <v>323</v>
      </c>
      <c r="S58" s="149" t="s">
        <v>165</v>
      </c>
      <c r="T58" s="219" t="s">
        <v>309</v>
      </c>
      <c r="U58" s="219">
        <f t="shared" ca="1" si="8"/>
        <v>2</v>
      </c>
      <c r="V58" s="219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324</v>
      </c>
      <c r="R59" s="149" t="s">
        <v>325</v>
      </c>
      <c r="S59" s="149" t="s">
        <v>272</v>
      </c>
      <c r="T59" s="219" t="s">
        <v>326</v>
      </c>
      <c r="U59" s="219">
        <f t="shared" ca="1" si="8"/>
        <v>1</v>
      </c>
      <c r="V59" s="219">
        <f t="shared" ca="1" si="9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327</v>
      </c>
      <c r="R60" s="149" t="s">
        <v>328</v>
      </c>
      <c r="S60" s="149" t="s">
        <v>263</v>
      </c>
      <c r="T60" s="219" t="s">
        <v>326</v>
      </c>
      <c r="U60" s="219">
        <f t="shared" ca="1" si="8"/>
        <v>1</v>
      </c>
      <c r="V60" s="219">
        <f t="shared" ca="1" si="9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329</v>
      </c>
      <c r="R61" s="149" t="s">
        <v>330</v>
      </c>
      <c r="S61" s="149" t="s">
        <v>165</v>
      </c>
      <c r="T61" s="219" t="s">
        <v>326</v>
      </c>
      <c r="U61" s="219">
        <f t="shared" ca="1" si="8"/>
        <v>2</v>
      </c>
      <c r="V61" s="219">
        <f t="shared" ca="1" si="9"/>
        <v>0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331</v>
      </c>
      <c r="R62" s="149" t="s">
        <v>332</v>
      </c>
      <c r="S62" s="149" t="s">
        <v>152</v>
      </c>
      <c r="T62" s="219" t="s">
        <v>326</v>
      </c>
      <c r="U62" s="219">
        <f t="shared" ca="1" si="8"/>
        <v>1</v>
      </c>
      <c r="V62" s="219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333</v>
      </c>
      <c r="R63" s="149" t="s">
        <v>334</v>
      </c>
      <c r="S63" s="149" t="s">
        <v>152</v>
      </c>
      <c r="T63" s="219" t="s">
        <v>335</v>
      </c>
      <c r="U63" s="219">
        <f t="shared" ca="1" si="8"/>
        <v>2</v>
      </c>
      <c r="V63" s="219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336</v>
      </c>
      <c r="R64" s="149" t="s">
        <v>337</v>
      </c>
      <c r="S64" s="149" t="s">
        <v>152</v>
      </c>
      <c r="T64" s="219" t="s">
        <v>335</v>
      </c>
      <c r="U64" s="219">
        <f t="shared" ca="1" si="8"/>
        <v>3</v>
      </c>
      <c r="V64" s="219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338</v>
      </c>
      <c r="R65" s="149" t="s">
        <v>339</v>
      </c>
      <c r="S65" s="149" t="s">
        <v>152</v>
      </c>
      <c r="T65" s="219" t="s">
        <v>340</v>
      </c>
      <c r="U65" s="219">
        <f t="shared" ca="1" si="8"/>
        <v>2</v>
      </c>
      <c r="V65" s="219">
        <f t="shared" ca="1" si="9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1.4257812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Joyman Castro</v>
      </c>
      <c r="C1" s="75" t="str">
        <f>Normas!C30</f>
        <v>joymancastro@gmail.com</v>
      </c>
      <c r="D1" s="75">
        <f>Normas!C32</f>
        <v>4241170858</v>
      </c>
      <c r="E1" s="50">
        <f ca="1">+Resultado!E3</f>
        <v>2</v>
      </c>
      <c r="F1" s="50">
        <f ca="1">+Resultado!F3</f>
        <v>4</v>
      </c>
      <c r="G1" s="50">
        <f ca="1">+Resultado!G3</f>
        <v>2</v>
      </c>
      <c r="H1" s="50">
        <f ca="1">+Resultado!H3</f>
        <v>4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4</v>
      </c>
      <c r="R1" s="50">
        <f ca="1">+Resultado!R3</f>
        <v>2</v>
      </c>
      <c r="S1" s="50">
        <f ca="1">+Resultado!S3</f>
        <v>1</v>
      </c>
      <c r="T1" s="50">
        <f ca="1">+Resultado!T3</f>
        <v>4</v>
      </c>
      <c r="U1" s="50">
        <f ca="1">+Resultado!U3</f>
        <v>0</v>
      </c>
      <c r="V1" s="50">
        <f ca="1">+Resultado!V3</f>
        <v>1</v>
      </c>
      <c r="W1" s="50">
        <f ca="1">+Resultado!W3</f>
        <v>1</v>
      </c>
      <c r="X1" s="50">
        <f ca="1">+Resultado!X3</f>
        <v>4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4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4</v>
      </c>
      <c r="AS1" s="50">
        <f ca="1">+Resultado!AS3</f>
        <v>1</v>
      </c>
      <c r="AT1" s="50">
        <f ca="1">+Resultado!AT3</f>
        <v>1</v>
      </c>
      <c r="AU1" s="50">
        <f ca="1">+Resultado!AU3</f>
        <v>2</v>
      </c>
      <c r="AV1" s="50">
        <f ca="1">+Resultado!AV3</f>
        <v>3</v>
      </c>
      <c r="AW1" s="50">
        <f ca="1">+Resultado!AW3</f>
        <v>2</v>
      </c>
      <c r="AX1" s="50">
        <f ca="1">+Resultado!AX3</f>
        <v>0</v>
      </c>
      <c r="AY1" s="50">
        <f ca="1">+Resultado!AY3</f>
        <v>1</v>
      </c>
      <c r="AZ1" s="50">
        <f ca="1">+Resultado!AZ3</f>
        <v>2</v>
      </c>
      <c r="BA1" s="50">
        <f ca="1">+Resultado!BA3</f>
        <v>3</v>
      </c>
      <c r="BB1" s="50">
        <f ca="1">+Resultado!BB3</f>
        <v>1</v>
      </c>
      <c r="BC1" s="50">
        <f ca="1">+Resultado!BC3</f>
        <v>1</v>
      </c>
      <c r="BD1" s="50">
        <f ca="1">+Resultado!BD3</f>
        <v>0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4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3</v>
      </c>
      <c r="CJ1" s="50">
        <f ca="1">+Resultado!CJ3</f>
        <v>2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3</v>
      </c>
      <c r="DD1" s="50">
        <f ca="1">+Resultado!DD3</f>
        <v>2</v>
      </c>
      <c r="DE1" s="50">
        <f ca="1">+Resultado!DE3</f>
        <v>1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2</v>
      </c>
      <c r="DK1" s="50">
        <f ca="1">+Resultado!DK3</f>
        <v>2</v>
      </c>
      <c r="DL1" s="50">
        <f ca="1">+Resultado!DL3</f>
        <v>1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2</v>
      </c>
      <c r="DT1" s="50">
        <f ca="1">+Resultado!DT3</f>
        <v>2</v>
      </c>
      <c r="DU1" s="50">
        <f ca="1">+Resultado!DU3</f>
        <v>4</v>
      </c>
      <c r="DV1" s="50">
        <f ca="1">+Resultado!DV3</f>
        <v>1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0</v>
      </c>
      <c r="EC1" s="50">
        <f ca="1">+Resultado!EC3</f>
        <v>1</v>
      </c>
      <c r="ED1" s="50">
        <f ca="1">+Resultado!ED3</f>
        <v>0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1</v>
      </c>
      <c r="EN1" s="50">
        <f ca="1">+Resultado!EN3</f>
        <v>2</v>
      </c>
      <c r="EO1" s="50">
        <f ca="1">+Resultado!EO3</f>
        <v>2</v>
      </c>
      <c r="EP1" s="50">
        <f ca="1">+Resultado!EP3</f>
        <v>2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1</v>
      </c>
      <c r="FY1" s="50">
        <f ca="1">+Resultado!FY3</f>
        <v>3</v>
      </c>
      <c r="FZ1" s="50">
        <f ca="1">+Resultado!FZ3</f>
        <v>2</v>
      </c>
      <c r="GA1" s="50">
        <f ca="1">+Resultado!GA3</f>
        <v>2</v>
      </c>
      <c r="GB1" s="50">
        <f ca="1">+Resultado!GB3</f>
        <v>0</v>
      </c>
      <c r="GC1" s="50">
        <f ca="1">+Resultado!GC3</f>
        <v>1</v>
      </c>
      <c r="GD1" s="50">
        <f ca="1">+Resultado!GD3</f>
        <v>4</v>
      </c>
      <c r="GE1" s="50">
        <f ca="1">+Resultado!GE3</f>
        <v>0</v>
      </c>
      <c r="GF1" s="50">
        <f ca="1">+Resultado!GF3</f>
        <v>1</v>
      </c>
      <c r="GG1" s="50">
        <f ca="1">+Resultado!GG3</f>
        <v>3</v>
      </c>
      <c r="GH1" s="50">
        <f ca="1">+Resultado!GH3</f>
        <v>0</v>
      </c>
      <c r="GI1" s="50">
        <f ca="1">+Resultado!GI3</f>
        <v>1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4</v>
      </c>
      <c r="GQ1" s="50">
        <f ca="1">+Resultado!GQ3</f>
        <v>2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1</v>
      </c>
      <c r="HA1" s="50" t="str">
        <f ca="1">+Resultado!HA3</f>
        <v>x</v>
      </c>
      <c r="HB1" s="50">
        <f ca="1">+Resultado!HB3</f>
        <v>2</v>
      </c>
      <c r="HC1" s="50">
        <f ca="1">+Resultado!HC3</f>
        <v>0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2</v>
      </c>
      <c r="HI1" s="50">
        <f ca="1">+Resultado!HI3</f>
        <v>2</v>
      </c>
      <c r="HJ1" s="50" t="str">
        <f ca="1">+Resultado!HJ3</f>
        <v>x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2</v>
      </c>
      <c r="HO1" s="50">
        <f ca="1">+Resultado!HO3</f>
        <v>1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1.4257812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1.4257812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124</v>
      </c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69</v>
      </c>
      <c r="ET1" s="240" t="s">
        <v>88</v>
      </c>
      <c r="EU1" s="240" t="s">
        <v>89</v>
      </c>
      <c r="EV1" s="240" t="s">
        <v>90</v>
      </c>
      <c r="EW1" s="240" t="s">
        <v>91</v>
      </c>
      <c r="EX1" s="240" t="s">
        <v>92</v>
      </c>
      <c r="EY1" s="240" t="s">
        <v>93</v>
      </c>
      <c r="EZ1" s="240" t="s">
        <v>94</v>
      </c>
      <c r="FA1" s="240" t="s">
        <v>69</v>
      </c>
      <c r="FB1" s="240" t="s">
        <v>88</v>
      </c>
      <c r="FC1" s="240" t="s">
        <v>89</v>
      </c>
      <c r="FD1" s="240" t="s">
        <v>90</v>
      </c>
      <c r="FE1" s="240" t="s">
        <v>91</v>
      </c>
      <c r="FF1" s="240" t="s">
        <v>92</v>
      </c>
      <c r="FG1" s="240" t="s">
        <v>93</v>
      </c>
      <c r="FH1" s="240" t="s">
        <v>94</v>
      </c>
      <c r="FI1" s="241" t="s">
        <v>326</v>
      </c>
      <c r="FJ1" s="241" t="s">
        <v>326</v>
      </c>
      <c r="FK1" s="241" t="s">
        <v>326</v>
      </c>
      <c r="FL1" s="241" t="s">
        <v>326</v>
      </c>
      <c r="FM1" s="241" t="s">
        <v>326</v>
      </c>
      <c r="FN1" s="241" t="s">
        <v>326</v>
      </c>
      <c r="FO1" s="241" t="s">
        <v>326</v>
      </c>
      <c r="FP1" s="241" t="s">
        <v>326</v>
      </c>
      <c r="FQ1" s="242" t="s">
        <v>335</v>
      </c>
      <c r="FR1" s="242" t="s">
        <v>335</v>
      </c>
      <c r="FS1" s="242" t="s">
        <v>335</v>
      </c>
      <c r="FT1" s="242" t="s">
        <v>335</v>
      </c>
      <c r="FU1" s="240" t="s">
        <v>340</v>
      </c>
      <c r="FV1" s="240" t="s">
        <v>340</v>
      </c>
      <c r="FW1" s="243" t="s">
        <v>340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 x14ac:dyDescent="0.25">
      <c r="B2" t="s">
        <v>341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69</v>
      </c>
      <c r="ET2" s="112" t="s">
        <v>88</v>
      </c>
      <c r="EU2" s="112" t="s">
        <v>89</v>
      </c>
      <c r="EV2" s="112" t="s">
        <v>90</v>
      </c>
      <c r="EW2" s="110" t="s">
        <v>91</v>
      </c>
      <c r="EX2" s="110" t="s">
        <v>92</v>
      </c>
      <c r="EY2" s="110" t="s">
        <v>93</v>
      </c>
      <c r="EZ2" s="110" t="s">
        <v>94</v>
      </c>
      <c r="FA2" s="110" t="s">
        <v>69</v>
      </c>
      <c r="FB2" s="110" t="s">
        <v>88</v>
      </c>
      <c r="FC2" s="110" t="s">
        <v>89</v>
      </c>
      <c r="FD2" s="110" t="s">
        <v>90</v>
      </c>
      <c r="FE2" s="110" t="s">
        <v>91</v>
      </c>
      <c r="FF2" s="110" t="s">
        <v>92</v>
      </c>
      <c r="FG2" s="110" t="s">
        <v>93</v>
      </c>
      <c r="FH2" s="110" t="s">
        <v>94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342</v>
      </c>
      <c r="E3" s="147">
        <f ca="1">VLOOKUP(E2,Aux!$M:$AZ,9,0)</f>
        <v>2</v>
      </c>
      <c r="F3" s="147">
        <f ca="1">VLOOKUP(E2,Aux!$M:$AZ,10,0)</f>
        <v>4</v>
      </c>
      <c r="G3" s="147">
        <f ca="1">IF(OR(E3="",F3=""),"",IF(E3&gt;F3,1,IF(E3=F3,"x",2)))</f>
        <v>2</v>
      </c>
      <c r="H3" s="147">
        <f ca="1">VLOOKUP(H2,Aux!$M:$AZ,9,0)</f>
        <v>4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4</v>
      </c>
      <c r="R3" s="147">
        <f ca="1">VLOOKUP(Q2,Aux!$M:$AZ,10,0)</f>
        <v>2</v>
      </c>
      <c r="S3" s="147">
        <f t="shared" ref="S3" ca="1" si="16">IF(OR(Q3="",R3=""),"",IF(Q3&gt;R3,1,IF(Q3=R3,"x",2)))</f>
        <v>1</v>
      </c>
      <c r="T3" s="147">
        <f ca="1">VLOOKUP(T2,Aux!$M:$AZ,9,0)</f>
        <v>4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4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4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0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4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2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1</v>
      </c>
      <c r="AZ3" s="147">
        <f t="shared" ref="AZ3" ca="1" si="27">IF(OR(AX3="",AY3=""),"",IF(AX3&gt;AY3,1,IF(AX3=AY3,"x",2)))</f>
        <v>2</v>
      </c>
      <c r="BA3" s="147">
        <f ca="1">VLOOKUP(BA2,Aux!$M:$AZ,9,0)</f>
        <v>3</v>
      </c>
      <c r="BB3" s="147">
        <f ca="1">VLOOKUP(BA2,Aux!$M:$AZ,10,0)</f>
        <v>1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4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3</v>
      </c>
      <c r="CJ3" s="147">
        <f t="shared" ref="CJ3" ca="1" si="39">IF(OR(CH3="",CI3=""),"",IF(CH3&gt;CI3,1,IF(CH3=CI3,"x",2)))</f>
        <v>2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3</v>
      </c>
      <c r="DD3" s="147">
        <f ca="1">VLOOKUP(DC2,Aux!$M:$AZ,10,0)</f>
        <v>2</v>
      </c>
      <c r="DE3" s="147">
        <f t="shared" ref="DE3" ca="1" si="46">IF(OR(DC3="",DD3=""),"",IF(DC3&gt;DD3,1,IF(DC3=DD3,"x",2)))</f>
        <v>1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2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1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1</v>
      </c>
      <c r="EN3" s="147">
        <f ca="1">VLOOKUP(EM2,Aux!$M:$AZ,10,0)</f>
        <v>2</v>
      </c>
      <c r="EO3" s="147">
        <f t="shared" ref="EO3" ca="1" si="58">IF(OR(EM3="",EN3=""),"",IF(EM3&gt;EN3,1,IF(EM3=EN3,"x",2)))</f>
        <v>2</v>
      </c>
      <c r="EP3" s="147">
        <f ca="1">VLOOKUP(EP2,Aux!$M:$AZ,9,0)</f>
        <v>2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Monterrey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1</v>
      </c>
      <c r="FY3" s="147">
        <f ca="1">VLOOKUP(FX2,Aux!$M:$AZ,10,0)</f>
        <v>3</v>
      </c>
      <c r="FZ3" s="147">
        <f t="shared" ref="FZ3" ca="1" si="60">IF(OR(FX3="",FY3=""),"",IF(FX3&gt;FY3,1,IF(FX3=FY3,"x",2)))</f>
        <v>2</v>
      </c>
      <c r="GA3" s="147">
        <f ca="1">VLOOKUP(GA2,Aux!$M:$AZ,9,0)</f>
        <v>2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4</v>
      </c>
      <c r="GQ3" s="147">
        <f ca="1">VLOOKUP(GP2,Aux!$M:$AZ,10,0)</f>
        <v>2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1</v>
      </c>
      <c r="HA3" s="147" t="str">
        <f t="shared" ref="HA3" ca="1" si="69">IF(OR(GY3="",GZ3=""),"",IF(GY3&gt;GZ3,1,IF(GY3=GZ3,"x",2)))</f>
        <v>x</v>
      </c>
      <c r="HB3" s="147">
        <f ca="1">VLOOKUP(HB2,Aux!$M:$AZ,9,0)</f>
        <v>2</v>
      </c>
      <c r="HC3" s="147">
        <f ca="1">VLOOKUP(HB2,Aux!$M:$AZ,10,0)</f>
        <v>0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2</v>
      </c>
      <c r="HJ3" s="147" t="str">
        <f t="shared" ref="HJ3" ca="1" si="72">IF(OR(HH3="",HI3=""),"",IF(HH3&gt;HI3,1,IF(HH3=HI3,"x",2)))</f>
        <v>x</v>
      </c>
      <c r="HK3" s="147">
        <f ca="1">VLOOKUP(HK2,Aux!$M:$AZ,9,0)</f>
        <v>3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2</v>
      </c>
      <c r="HO3" s="147">
        <f ca="1">VLOOKUP(HN2,Aux!$M:$AZ,10,0)</f>
        <v>1</v>
      </c>
      <c r="HP3" s="147">
        <f t="shared" ref="HP3" ca="1" si="74">IF(OR(HN3="",HO3=""),"",IF(HN3&gt;HO3,1,IF(HN3=HO3,"x",2)))</f>
        <v>1</v>
      </c>
    </row>
    <row r="4" spans="2:224" x14ac:dyDescent="0.25">
      <c r="B4" s="51" t="s">
        <v>343</v>
      </c>
      <c r="E4" s="147" t="s">
        <v>93</v>
      </c>
      <c r="F4" s="147" t="s">
        <v>93</v>
      </c>
      <c r="G4" s="147" t="s">
        <v>93</v>
      </c>
      <c r="H4" s="147" t="s">
        <v>93</v>
      </c>
      <c r="I4" s="147" t="s">
        <v>93</v>
      </c>
      <c r="J4" s="147" t="s">
        <v>93</v>
      </c>
      <c r="K4" s="147" t="s">
        <v>93</v>
      </c>
      <c r="L4" s="147" t="s">
        <v>93</v>
      </c>
      <c r="M4" s="147" t="s">
        <v>93</v>
      </c>
      <c r="N4" s="147" t="s">
        <v>93</v>
      </c>
      <c r="O4" s="147" t="s">
        <v>93</v>
      </c>
      <c r="P4" s="147" t="s">
        <v>93</v>
      </c>
      <c r="Q4" s="147" t="s">
        <v>93</v>
      </c>
      <c r="R4" s="147" t="s">
        <v>93</v>
      </c>
      <c r="S4" s="147" t="s">
        <v>93</v>
      </c>
      <c r="T4" s="147" t="s">
        <v>93</v>
      </c>
      <c r="U4" s="147" t="s">
        <v>93</v>
      </c>
      <c r="V4" s="147" t="s">
        <v>93</v>
      </c>
      <c r="W4" s="147" t="s">
        <v>93</v>
      </c>
      <c r="X4" s="147" t="s">
        <v>93</v>
      </c>
      <c r="Y4" s="147" t="s">
        <v>93</v>
      </c>
      <c r="Z4" s="147" t="s">
        <v>93</v>
      </c>
      <c r="AA4" s="147" t="s">
        <v>93</v>
      </c>
      <c r="AB4" s="147" t="s">
        <v>93</v>
      </c>
      <c r="AC4" s="147" t="s">
        <v>93</v>
      </c>
      <c r="AD4" s="147" t="s">
        <v>93</v>
      </c>
      <c r="AE4" s="147" t="s">
        <v>93</v>
      </c>
      <c r="AF4" s="147" t="s">
        <v>93</v>
      </c>
      <c r="AG4" s="147" t="s">
        <v>93</v>
      </c>
      <c r="AH4" s="147" t="s">
        <v>93</v>
      </c>
      <c r="AI4" s="147" t="s">
        <v>93</v>
      </c>
      <c r="AJ4" s="147" t="s">
        <v>93</v>
      </c>
      <c r="AK4" s="147" t="s">
        <v>93</v>
      </c>
      <c r="AL4" s="147" t="s">
        <v>93</v>
      </c>
      <c r="AM4" s="147" t="s">
        <v>93</v>
      </c>
      <c r="AN4" s="147" t="s">
        <v>93</v>
      </c>
      <c r="AO4" s="147" t="s">
        <v>93</v>
      </c>
      <c r="AP4" s="147" t="s">
        <v>93</v>
      </c>
      <c r="AQ4" s="147" t="s">
        <v>93</v>
      </c>
      <c r="AR4" s="147" t="s">
        <v>93</v>
      </c>
      <c r="AS4" s="147" t="s">
        <v>93</v>
      </c>
      <c r="AT4" s="147" t="s">
        <v>93</v>
      </c>
      <c r="AU4" s="147" t="s">
        <v>93</v>
      </c>
      <c r="AV4" s="147" t="s">
        <v>93</v>
      </c>
      <c r="AW4" s="147" t="s">
        <v>93</v>
      </c>
      <c r="AX4" s="147" t="s">
        <v>93</v>
      </c>
      <c r="AY4" s="147" t="s">
        <v>93</v>
      </c>
      <c r="AZ4" s="147" t="s">
        <v>93</v>
      </c>
      <c r="BA4" s="147" t="s">
        <v>93</v>
      </c>
      <c r="BB4" s="147" t="s">
        <v>93</v>
      </c>
      <c r="BC4" s="147" t="s">
        <v>93</v>
      </c>
      <c r="BD4" s="147" t="s">
        <v>93</v>
      </c>
      <c r="BE4" s="147" t="s">
        <v>93</v>
      </c>
      <c r="BF4" s="147" t="s">
        <v>93</v>
      </c>
      <c r="BG4" s="147" t="s">
        <v>93</v>
      </c>
      <c r="BH4" s="147" t="s">
        <v>93</v>
      </c>
      <c r="BI4" s="147" t="s">
        <v>93</v>
      </c>
      <c r="BJ4" s="147" t="s">
        <v>93</v>
      </c>
      <c r="BK4" s="147" t="s">
        <v>93</v>
      </c>
      <c r="BL4" s="147" t="s">
        <v>93</v>
      </c>
      <c r="BM4" s="147" t="s">
        <v>93</v>
      </c>
      <c r="BN4" s="147" t="s">
        <v>93</v>
      </c>
      <c r="BO4" s="147" t="s">
        <v>93</v>
      </c>
      <c r="BP4" s="147" t="s">
        <v>93</v>
      </c>
      <c r="BQ4" s="147" t="s">
        <v>93</v>
      </c>
      <c r="BR4" s="147" t="s">
        <v>93</v>
      </c>
      <c r="BS4" s="147" t="s">
        <v>93</v>
      </c>
      <c r="BT4" s="147" t="s">
        <v>93</v>
      </c>
      <c r="BU4" s="147" t="s">
        <v>93</v>
      </c>
      <c r="BV4" s="147" t="s">
        <v>93</v>
      </c>
      <c r="BW4" s="147" t="s">
        <v>93</v>
      </c>
      <c r="BX4" s="147" t="s">
        <v>93</v>
      </c>
      <c r="BY4" s="147" t="s">
        <v>93</v>
      </c>
      <c r="BZ4" s="147" t="s">
        <v>93</v>
      </c>
      <c r="CA4" s="147" t="s">
        <v>93</v>
      </c>
      <c r="CB4" s="147" t="s">
        <v>93</v>
      </c>
      <c r="CC4" s="147" t="s">
        <v>93</v>
      </c>
      <c r="CD4" s="147" t="s">
        <v>93</v>
      </c>
      <c r="CE4" s="147" t="s">
        <v>93</v>
      </c>
      <c r="CF4" s="147" t="s">
        <v>93</v>
      </c>
      <c r="CG4" s="147" t="s">
        <v>93</v>
      </c>
      <c r="CH4" s="147" t="s">
        <v>93</v>
      </c>
      <c r="CI4" s="147" t="s">
        <v>93</v>
      </c>
      <c r="CJ4" s="147" t="s">
        <v>93</v>
      </c>
      <c r="CK4" s="147" t="s">
        <v>93</v>
      </c>
      <c r="CL4" s="147" t="s">
        <v>93</v>
      </c>
      <c r="CM4" s="147" t="s">
        <v>93</v>
      </c>
      <c r="CN4" s="147" t="s">
        <v>93</v>
      </c>
      <c r="CO4" s="147" t="s">
        <v>93</v>
      </c>
      <c r="CP4" s="147" t="s">
        <v>93</v>
      </c>
      <c r="CQ4" s="147" t="s">
        <v>93</v>
      </c>
      <c r="CR4" s="147" t="s">
        <v>93</v>
      </c>
      <c r="CS4" s="147" t="s">
        <v>93</v>
      </c>
      <c r="CT4" s="147" t="s">
        <v>93</v>
      </c>
      <c r="CU4" s="147" t="s">
        <v>93</v>
      </c>
      <c r="CV4" s="147" t="s">
        <v>93</v>
      </c>
      <c r="CW4" s="147" t="s">
        <v>93</v>
      </c>
      <c r="CX4" s="147" t="s">
        <v>93</v>
      </c>
      <c r="CY4" s="147" t="s">
        <v>93</v>
      </c>
      <c r="CZ4" s="147" t="s">
        <v>93</v>
      </c>
      <c r="DA4" s="147" t="s">
        <v>93</v>
      </c>
      <c r="DB4" s="147" t="s">
        <v>93</v>
      </c>
      <c r="DC4" s="147" t="s">
        <v>93</v>
      </c>
      <c r="DD4" s="147" t="s">
        <v>93</v>
      </c>
      <c r="DE4" s="147" t="s">
        <v>93</v>
      </c>
      <c r="DF4" s="147" t="s">
        <v>93</v>
      </c>
      <c r="DG4" s="147" t="s">
        <v>93</v>
      </c>
      <c r="DH4" s="147" t="s">
        <v>93</v>
      </c>
      <c r="DI4" s="147" t="s">
        <v>93</v>
      </c>
      <c r="DJ4" s="147" t="s">
        <v>93</v>
      </c>
      <c r="DK4" s="147" t="s">
        <v>93</v>
      </c>
      <c r="DL4" s="147" t="s">
        <v>93</v>
      </c>
      <c r="DM4" s="147" t="s">
        <v>93</v>
      </c>
      <c r="DN4" s="147" t="s">
        <v>93</v>
      </c>
      <c r="DO4" s="147" t="s">
        <v>93</v>
      </c>
      <c r="DP4" s="147" t="s">
        <v>93</v>
      </c>
      <c r="DQ4" s="147" t="s">
        <v>93</v>
      </c>
      <c r="DR4" s="147" t="s">
        <v>93</v>
      </c>
      <c r="DS4" s="147" t="s">
        <v>93</v>
      </c>
      <c r="DT4" s="147" t="s">
        <v>93</v>
      </c>
      <c r="DU4" s="147" t="s">
        <v>93</v>
      </c>
      <c r="DV4" s="147" t="s">
        <v>93</v>
      </c>
      <c r="DW4" s="147" t="s">
        <v>93</v>
      </c>
      <c r="DX4" s="147" t="s">
        <v>93</v>
      </c>
      <c r="DY4" s="147" t="s">
        <v>93</v>
      </c>
      <c r="DZ4" s="147" t="s">
        <v>93</v>
      </c>
      <c r="EA4" s="147" t="s">
        <v>93</v>
      </c>
      <c r="EB4" s="147" t="s">
        <v>93</v>
      </c>
      <c r="EC4" s="147" t="s">
        <v>93</v>
      </c>
      <c r="ED4" s="147" t="s">
        <v>93</v>
      </c>
      <c r="EE4" s="147" t="s">
        <v>93</v>
      </c>
      <c r="EF4" s="147" t="s">
        <v>93</v>
      </c>
      <c r="EG4" s="147" t="s">
        <v>93</v>
      </c>
      <c r="EH4" s="147" t="s">
        <v>93</v>
      </c>
      <c r="EI4" s="147" t="s">
        <v>93</v>
      </c>
      <c r="EJ4" s="147" t="s">
        <v>93</v>
      </c>
      <c r="EK4" s="147" t="s">
        <v>93</v>
      </c>
      <c r="EL4" s="147" t="s">
        <v>93</v>
      </c>
      <c r="EM4" s="147" t="s">
        <v>93</v>
      </c>
      <c r="EN4" s="147" t="s">
        <v>93</v>
      </c>
      <c r="EO4" s="147" t="s">
        <v>93</v>
      </c>
      <c r="EP4" s="147" t="s">
        <v>93</v>
      </c>
      <c r="EQ4" s="147" t="s">
        <v>93</v>
      </c>
      <c r="ER4" s="147" t="s">
        <v>93</v>
      </c>
      <c r="ES4" s="147" t="s">
        <v>237</v>
      </c>
      <c r="ET4" s="147" t="s">
        <v>237</v>
      </c>
      <c r="EU4" s="147" t="s">
        <v>237</v>
      </c>
      <c r="EV4" s="147" t="s">
        <v>237</v>
      </c>
      <c r="EW4" s="147" t="s">
        <v>237</v>
      </c>
      <c r="EX4" s="147" t="s">
        <v>237</v>
      </c>
      <c r="EY4" s="147" t="s">
        <v>237</v>
      </c>
      <c r="EZ4" s="147" t="s">
        <v>237</v>
      </c>
      <c r="FA4" s="147" t="s">
        <v>241</v>
      </c>
      <c r="FB4" s="147" t="s">
        <v>241</v>
      </c>
      <c r="FC4" s="147" t="s">
        <v>241</v>
      </c>
      <c r="FD4" s="147" t="s">
        <v>241</v>
      </c>
      <c r="FE4" s="147" t="s">
        <v>241</v>
      </c>
      <c r="FF4" s="147" t="s">
        <v>241</v>
      </c>
      <c r="FG4" s="147" t="s">
        <v>241</v>
      </c>
      <c r="FH4" s="147" t="s">
        <v>241</v>
      </c>
      <c r="FI4" s="147" t="s">
        <v>247</v>
      </c>
      <c r="FJ4" s="147" t="s">
        <v>247</v>
      </c>
      <c r="FK4" s="147" t="s">
        <v>247</v>
      </c>
      <c r="FL4" s="147" t="s">
        <v>247</v>
      </c>
      <c r="FM4" s="147" t="s">
        <v>247</v>
      </c>
      <c r="FN4" s="147" t="s">
        <v>247</v>
      </c>
      <c r="FO4" s="147" t="s">
        <v>247</v>
      </c>
      <c r="FP4" s="147" t="s">
        <v>247</v>
      </c>
      <c r="FQ4" s="147" t="s">
        <v>254</v>
      </c>
      <c r="FR4" s="147" t="s">
        <v>254</v>
      </c>
      <c r="FS4" s="147" t="s">
        <v>254</v>
      </c>
      <c r="FT4" s="147" t="s">
        <v>254</v>
      </c>
      <c r="FU4" s="147" t="s">
        <v>259</v>
      </c>
      <c r="FV4" s="147" t="s">
        <v>259</v>
      </c>
      <c r="FW4" s="147" t="s">
        <v>38</v>
      </c>
      <c r="FX4" s="147" t="s">
        <v>344</v>
      </c>
      <c r="FY4" s="147" t="s">
        <v>344</v>
      </c>
      <c r="FZ4" s="147" t="s">
        <v>344</v>
      </c>
      <c r="GA4" s="147" t="s">
        <v>344</v>
      </c>
      <c r="GB4" s="147" t="s">
        <v>344</v>
      </c>
      <c r="GC4" s="147" t="s">
        <v>344</v>
      </c>
      <c r="GD4" s="147" t="s">
        <v>344</v>
      </c>
      <c r="GE4" s="147" t="s">
        <v>344</v>
      </c>
      <c r="GF4" s="147" t="s">
        <v>344</v>
      </c>
      <c r="GG4" s="147" t="s">
        <v>344</v>
      </c>
      <c r="GH4" s="147" t="s">
        <v>344</v>
      </c>
      <c r="GI4" s="147" t="s">
        <v>344</v>
      </c>
      <c r="GJ4" s="147" t="s">
        <v>344</v>
      </c>
      <c r="GK4" s="147" t="s">
        <v>344</v>
      </c>
      <c r="GL4" s="147" t="s">
        <v>344</v>
      </c>
      <c r="GM4" s="147" t="s">
        <v>344</v>
      </c>
      <c r="GN4" s="147" t="s">
        <v>344</v>
      </c>
      <c r="GO4" s="147" t="s">
        <v>344</v>
      </c>
      <c r="GP4" s="147" t="s">
        <v>344</v>
      </c>
      <c r="GQ4" s="147" t="s">
        <v>344</v>
      </c>
      <c r="GR4" s="147" t="s">
        <v>344</v>
      </c>
      <c r="GS4" s="147" t="s">
        <v>344</v>
      </c>
      <c r="GT4" s="147" t="s">
        <v>344</v>
      </c>
      <c r="GU4" s="147" t="s">
        <v>344</v>
      </c>
      <c r="GV4" s="147" t="s">
        <v>89</v>
      </c>
      <c r="GW4" s="147" t="s">
        <v>89</v>
      </c>
      <c r="GX4" s="147" t="s">
        <v>89</v>
      </c>
      <c r="GY4" s="147" t="s">
        <v>89</v>
      </c>
      <c r="GZ4" s="147" t="s">
        <v>89</v>
      </c>
      <c r="HA4" s="147" t="s">
        <v>89</v>
      </c>
      <c r="HB4" s="147" t="s">
        <v>89</v>
      </c>
      <c r="HC4" s="147" t="s">
        <v>89</v>
      </c>
      <c r="HD4" s="147" t="s">
        <v>89</v>
      </c>
      <c r="HE4" s="147" t="s">
        <v>89</v>
      </c>
      <c r="HF4" s="147" t="s">
        <v>89</v>
      </c>
      <c r="HG4" s="147" t="s">
        <v>89</v>
      </c>
      <c r="HH4" s="147" t="s">
        <v>345</v>
      </c>
      <c r="HI4" s="147" t="s">
        <v>345</v>
      </c>
      <c r="HJ4" s="147" t="s">
        <v>345</v>
      </c>
      <c r="HK4" s="147" t="s">
        <v>345</v>
      </c>
      <c r="HL4" s="147" t="s">
        <v>345</v>
      </c>
      <c r="HM4" s="147" t="s">
        <v>345</v>
      </c>
      <c r="HN4" s="147" t="s">
        <v>92</v>
      </c>
      <c r="HO4" s="147" t="s">
        <v>92</v>
      </c>
      <c r="HP4" s="147" t="s">
        <v>92</v>
      </c>
    </row>
    <row r="5" spans="2:224" x14ac:dyDescent="0.25">
      <c r="B5" s="51" t="s">
        <v>346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39</v>
      </c>
      <c r="C6" s="87" t="s">
        <v>40</v>
      </c>
      <c r="D6" s="87" t="s">
        <v>42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 x14ac:dyDescent="0.3"/>
    <row r="3" spans="1:49" ht="38.85" customHeight="1" x14ac:dyDescent="0.25">
      <c r="C3" s="220"/>
      <c r="D3" s="221"/>
      <c r="E3" s="318" t="s">
        <v>347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1"/>
      <c r="R3" s="221"/>
      <c r="S3" s="227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</row>
    <row r="4" spans="1:49" ht="27.4" customHeight="1" thickBot="1" x14ac:dyDescent="0.3">
      <c r="C4" s="222"/>
      <c r="D4" s="153"/>
      <c r="E4" s="228" t="s">
        <v>69</v>
      </c>
      <c r="F4" s="228" t="s">
        <v>88</v>
      </c>
      <c r="G4" s="228" t="s">
        <v>89</v>
      </c>
      <c r="H4" s="228" t="s">
        <v>90</v>
      </c>
      <c r="I4" s="228" t="s">
        <v>91</v>
      </c>
      <c r="J4" s="228" t="s">
        <v>92</v>
      </c>
      <c r="K4" s="228" t="s">
        <v>93</v>
      </c>
      <c r="L4" s="228" t="s">
        <v>94</v>
      </c>
      <c r="M4" s="229" t="s">
        <v>348</v>
      </c>
      <c r="N4" s="228" t="s">
        <v>309</v>
      </c>
      <c r="O4" s="228" t="s">
        <v>326</v>
      </c>
      <c r="P4" s="228" t="s">
        <v>335</v>
      </c>
      <c r="Q4" s="228" t="s">
        <v>349</v>
      </c>
      <c r="R4" s="229" t="s">
        <v>350</v>
      </c>
      <c r="S4" s="230" t="s">
        <v>8</v>
      </c>
      <c r="U4" s="116"/>
      <c r="V4" s="265"/>
      <c r="W4" s="270"/>
      <c r="X4" s="270" t="s">
        <v>69</v>
      </c>
      <c r="Y4" s="270" t="s">
        <v>88</v>
      </c>
      <c r="Z4" s="270" t="s">
        <v>89</v>
      </c>
      <c r="AA4" s="270" t="s">
        <v>90</v>
      </c>
      <c r="AB4" s="270" t="s">
        <v>91</v>
      </c>
      <c r="AC4" s="270" t="s">
        <v>92</v>
      </c>
      <c r="AD4" s="270" t="s">
        <v>93</v>
      </c>
      <c r="AE4" s="270" t="s">
        <v>94</v>
      </c>
      <c r="AF4" s="271" t="s">
        <v>348</v>
      </c>
      <c r="AG4" s="272" t="s">
        <v>309</v>
      </c>
      <c r="AH4" s="272" t="s">
        <v>326</v>
      </c>
      <c r="AI4" s="272" t="s">
        <v>335</v>
      </c>
      <c r="AJ4" s="272" t="s">
        <v>340</v>
      </c>
      <c r="AK4" s="272" t="s">
        <v>351</v>
      </c>
      <c r="AL4" s="272" t="s">
        <v>8</v>
      </c>
    </row>
    <row r="5" spans="1:49" x14ac:dyDescent="0.25"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</row>
    <row r="6" spans="1:49" ht="13.5" customHeight="1" x14ac:dyDescent="0.25"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</row>
    <row r="7" spans="1:49" x14ac:dyDescent="0.25"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</row>
    <row r="8" spans="1:49" x14ac:dyDescent="0.25"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</row>
    <row r="9" spans="1:49" x14ac:dyDescent="0.25"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</row>
    <row r="10" spans="1:49" x14ac:dyDescent="0.25"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</row>
    <row r="11" spans="1:49" x14ac:dyDescent="0.25"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</row>
    <row r="12" spans="1:49" x14ac:dyDescent="0.25"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</row>
    <row r="13" spans="1:49" x14ac:dyDescent="0.25"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</row>
    <row r="14" spans="1:49" x14ac:dyDescent="0.25"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</row>
    <row r="15" spans="1:49" x14ac:dyDescent="0.25"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</row>
    <row r="16" spans="1:49" s="78" customFormat="1" x14ac:dyDescent="0.25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 x14ac:dyDescent="0.25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 x14ac:dyDescent="0.25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 x14ac:dyDescent="0.25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 x14ac:dyDescent="0.25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 x14ac:dyDescent="0.25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 x14ac:dyDescent="0.25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 x14ac:dyDescent="0.25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 x14ac:dyDescent="0.25"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8" t="s">
        <v>30</v>
      </c>
    </row>
    <row r="29" spans="3:38" ht="14.25" customHeight="1" thickBot="1" x14ac:dyDescent="0.3">
      <c r="V29" s="299"/>
    </row>
    <row r="30" spans="3:38" x14ac:dyDescent="0.25">
      <c r="V30" s="300" t="s">
        <v>33</v>
      </c>
      <c r="W30" s="48"/>
    </row>
    <row r="31" spans="3:38" ht="15.75" thickBot="1" x14ac:dyDescent="0.3">
      <c r="V31" s="301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1.4257812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335</v>
      </c>
      <c r="AZ2" s="128"/>
      <c r="BA2" s="128"/>
      <c r="BB2" s="128"/>
      <c r="BC2" s="128"/>
      <c r="BD2" s="128"/>
      <c r="BE2" s="128"/>
      <c r="BF2" s="128"/>
      <c r="BG2" s="128"/>
      <c r="BJ2" s="127" t="s">
        <v>352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309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326</v>
      </c>
      <c r="BK4" s="127">
        <v>8</v>
      </c>
    </row>
    <row r="5" spans="1:63" ht="38.65" customHeight="1" x14ac:dyDescent="0.25">
      <c r="B5" s="134"/>
      <c r="C5" s="245"/>
      <c r="D5" s="343" t="s">
        <v>353</v>
      </c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80"/>
      <c r="AX5" s="134"/>
      <c r="AY5" s="328" t="s">
        <v>354</v>
      </c>
      <c r="AZ5" s="329"/>
      <c r="BA5" s="329"/>
      <c r="BB5" s="329"/>
      <c r="BC5" s="329"/>
      <c r="BD5" s="329"/>
      <c r="BE5" s="329"/>
      <c r="BF5" s="329"/>
      <c r="BG5" s="330"/>
      <c r="BH5" s="80"/>
      <c r="BJ5" s="127" t="s">
        <v>335</v>
      </c>
      <c r="BK5" s="127">
        <v>4</v>
      </c>
    </row>
    <row r="6" spans="1:63" ht="20.100000000000001" customHeight="1" x14ac:dyDescent="0.25">
      <c r="B6" s="134"/>
      <c r="C6" s="222"/>
      <c r="D6" s="339" t="str">
        <f>"Grupo "&amp;VLOOKUP(I2,Aux!$M:$AZ,8,0)</f>
        <v>Grupo A</v>
      </c>
      <c r="E6" s="340"/>
      <c r="F6" s="340"/>
      <c r="G6" s="340"/>
      <c r="H6" s="340"/>
      <c r="I6" s="340"/>
      <c r="J6" s="340"/>
      <c r="K6" s="340"/>
      <c r="L6" s="340"/>
      <c r="M6" s="340"/>
      <c r="N6" s="341"/>
      <c r="O6" s="339" t="str">
        <f>"Grupo "&amp;VLOOKUP(T2,Aux!$M:$AZ,8,0)</f>
        <v>Grupo C</v>
      </c>
      <c r="P6" s="340"/>
      <c r="Q6" s="340"/>
      <c r="R6" s="340"/>
      <c r="S6" s="340"/>
      <c r="T6" s="340"/>
      <c r="U6" s="340"/>
      <c r="V6" s="340"/>
      <c r="W6" s="340"/>
      <c r="X6" s="340"/>
      <c r="Y6" s="341"/>
      <c r="Z6" s="339" t="str">
        <f>"Grupo "&amp;VLOOKUP(AE2,Aux!$M:$AZ,8,0)</f>
        <v>Grupo B</v>
      </c>
      <c r="AA6" s="340"/>
      <c r="AB6" s="340"/>
      <c r="AC6" s="340"/>
      <c r="AD6" s="340"/>
      <c r="AE6" s="340"/>
      <c r="AF6" s="340"/>
      <c r="AG6" s="340"/>
      <c r="AH6" s="340"/>
      <c r="AI6" s="340"/>
      <c r="AJ6" s="341"/>
      <c r="AK6" s="339" t="str">
        <f>"Grupo "&amp;VLOOKUP(AP2,Aux!$M:$AZ,8,0)</f>
        <v>Grupo A</v>
      </c>
      <c r="AL6" s="340"/>
      <c r="AM6" s="340"/>
      <c r="AN6" s="340"/>
      <c r="AO6" s="340"/>
      <c r="AP6" s="340"/>
      <c r="AQ6" s="340"/>
      <c r="AR6" s="340"/>
      <c r="AS6" s="340"/>
      <c r="AT6" s="340"/>
      <c r="AU6" s="341"/>
      <c r="AV6" s="80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J6" s="127" t="s">
        <v>340</v>
      </c>
      <c r="BK6" s="127">
        <v>3</v>
      </c>
    </row>
    <row r="7" spans="1:63" ht="20.100000000000001" customHeight="1" x14ac:dyDescent="0.25">
      <c r="B7" s="134"/>
      <c r="C7" s="222"/>
      <c r="D7" s="335"/>
      <c r="E7" s="331" t="e" vm="5">
        <f>IFERROR(VLOOKUP(F7,Aux!$A:$X,8,0),"")</f>
        <v>#VALUE!</v>
      </c>
      <c r="F7" s="331" t="str">
        <f>VLOOKUP(I2,Aux!$M:$AZ,5,0)</f>
        <v>Al-Ahly</v>
      </c>
      <c r="G7" s="331" t="e" vm="6">
        <f>IFERROR(VLOOKUP(F7,Aux!$A:$C,3,0),"")</f>
        <v>#VALUE!</v>
      </c>
      <c r="H7" s="237"/>
      <c r="I7" s="236">
        <f>VLOOKUP(I2,Aux!$M:$AZ,3,0)</f>
        <v>45822.833333333336</v>
      </c>
      <c r="J7" s="334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7"/>
      <c r="O7" s="335"/>
      <c r="P7" s="331" t="e" vm="18">
        <f>IFERROR(VLOOKUP(Q7,Aux!$A:$X,8,0),"")</f>
        <v>#VALUE!</v>
      </c>
      <c r="Q7" s="331" t="str">
        <f>VLOOKUP(T2,Aux!$M:$AZ,5,0)</f>
        <v>Bayern Múnich</v>
      </c>
      <c r="R7" s="331" t="e" vm="19">
        <f>IFERROR(VLOOKUP(Q7,Aux!$A:$C,3,0),"")</f>
        <v>#VALUE!</v>
      </c>
      <c r="S7" s="237"/>
      <c r="T7" s="236">
        <f>VLOOKUP(T2,Aux!$M:$AZ,3,0)</f>
        <v>45823.5</v>
      </c>
      <c r="U7" s="334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7"/>
      <c r="Z7" s="335"/>
      <c r="AA7" s="331" t="e" vm="12">
        <f>IFERROR(VLOOKUP(AB7,Aux!$A:$X,8,0),"")</f>
        <v>#VALUE!</v>
      </c>
      <c r="AB7" s="331" t="str">
        <f>VLOOKUP(AE2,Aux!$M:$AZ,5,0)</f>
        <v>Paris Saint-Germain</v>
      </c>
      <c r="AC7" s="331" t="e" vm="13">
        <f>IFERROR(VLOOKUP(AB7,Aux!$A:$C,3,0),"")</f>
        <v>#VALUE!</v>
      </c>
      <c r="AD7" s="237"/>
      <c r="AE7" s="236">
        <f>VLOOKUP(AE2,Aux!$M:$AZ,3,0)</f>
        <v>45823.5</v>
      </c>
      <c r="AF7" s="334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7"/>
      <c r="AK7" s="335"/>
      <c r="AL7" s="331" t="e" vm="9">
        <f>IFERROR(VLOOKUP(AM7,Aux!$A:$X,8,0),"")</f>
        <v>#VALUE!</v>
      </c>
      <c r="AM7" s="331" t="str">
        <f>VLOOKUP(AP2,Aux!$M:$AZ,5,0)</f>
        <v>Palmeiras</v>
      </c>
      <c r="AN7" s="331" t="e" vm="10">
        <f>IFERROR(VLOOKUP(AM7,Aux!$A:$C,3,0),"")</f>
        <v>#VALUE!</v>
      </c>
      <c r="AO7" s="237"/>
      <c r="AP7" s="236">
        <f>VLOOKUP(AP2,Aux!$M:$AZ,3,0)</f>
        <v>45823.75</v>
      </c>
      <c r="AQ7" s="334"/>
      <c r="AR7" s="333" t="e" vm="8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7"/>
      <c r="AV7" s="80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38</v>
      </c>
      <c r="BK7" s="127">
        <v>1</v>
      </c>
    </row>
    <row r="8" spans="1:63" ht="20.100000000000001" customHeight="1" x14ac:dyDescent="0.25">
      <c r="B8" s="134"/>
      <c r="C8" s="222"/>
      <c r="D8" s="336"/>
      <c r="E8" s="332"/>
      <c r="F8" s="332"/>
      <c r="G8" s="332"/>
      <c r="H8" s="238"/>
      <c r="I8" s="235">
        <f>+I7</f>
        <v>45822.833333333336</v>
      </c>
      <c r="J8" s="334"/>
      <c r="K8" s="333"/>
      <c r="L8" s="333"/>
      <c r="M8" s="333"/>
      <c r="N8" s="337"/>
      <c r="O8" s="336"/>
      <c r="P8" s="332"/>
      <c r="Q8" s="332"/>
      <c r="R8" s="332"/>
      <c r="S8" s="238"/>
      <c r="T8" s="235">
        <f>+T7</f>
        <v>45823.5</v>
      </c>
      <c r="U8" s="334"/>
      <c r="V8" s="333"/>
      <c r="W8" s="333"/>
      <c r="X8" s="333"/>
      <c r="Y8" s="337"/>
      <c r="Z8" s="336"/>
      <c r="AA8" s="332"/>
      <c r="AB8" s="332"/>
      <c r="AC8" s="332"/>
      <c r="AD8" s="238"/>
      <c r="AE8" s="235">
        <f>+AE7</f>
        <v>45823.5</v>
      </c>
      <c r="AF8" s="334"/>
      <c r="AG8" s="333"/>
      <c r="AH8" s="333"/>
      <c r="AI8" s="333"/>
      <c r="AJ8" s="337"/>
      <c r="AK8" s="336"/>
      <c r="AL8" s="332"/>
      <c r="AM8" s="332"/>
      <c r="AN8" s="332"/>
      <c r="AO8" s="238"/>
      <c r="AP8" s="235">
        <f>+AP7</f>
        <v>45823.75</v>
      </c>
      <c r="AQ8" s="334"/>
      <c r="AR8" s="333"/>
      <c r="AS8" s="333"/>
      <c r="AT8" s="333"/>
      <c r="AU8" s="337"/>
      <c r="AV8" s="80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4" t="s">
        <v>342</v>
      </c>
      <c r="D9" s="338">
        <f ca="1">VLOOKUP(I2,Aux!$M:$AZ,9,0)</f>
        <v>2</v>
      </c>
      <c r="E9" s="338"/>
      <c r="F9" s="338"/>
      <c r="G9" s="338"/>
      <c r="H9" s="338"/>
      <c r="I9" s="231">
        <f ca="1">+IF(D9="","",IF(D9&gt;J9,1,IF(D9=J9,"X",2)))</f>
        <v>2</v>
      </c>
      <c r="J9" s="338">
        <f ca="1">VLOOKUP(I2,Aux!$M:$AZ,10,0)</f>
        <v>4</v>
      </c>
      <c r="K9" s="338"/>
      <c r="L9" s="338"/>
      <c r="M9" s="338"/>
      <c r="N9" s="338"/>
      <c r="O9" s="338">
        <f ca="1">VLOOKUP(T2,Aux!$M:$AZ,9,0)</f>
        <v>4</v>
      </c>
      <c r="P9" s="338"/>
      <c r="Q9" s="338"/>
      <c r="R9" s="338"/>
      <c r="S9" s="338"/>
      <c r="T9" s="231">
        <f ca="1">+IF(O9="","",IF(O9&gt;U9,1,IF(O9=U9,"X",2)))</f>
        <v>1</v>
      </c>
      <c r="U9" s="338">
        <f ca="1">VLOOKUP(T2,Aux!$M:$AZ,10,0)</f>
        <v>0</v>
      </c>
      <c r="V9" s="338"/>
      <c r="W9" s="338"/>
      <c r="X9" s="338"/>
      <c r="Y9" s="338"/>
      <c r="Z9" s="338">
        <f ca="1">VLOOKUP(AE2,Aux!$M:$AZ,9,0)</f>
        <v>3</v>
      </c>
      <c r="AA9" s="338"/>
      <c r="AB9" s="338"/>
      <c r="AC9" s="338"/>
      <c r="AD9" s="338"/>
      <c r="AE9" s="231">
        <f ca="1">+IF(Z9="","",IF(Z9&gt;AF9,1,IF(Z9=AF9,"X",2)))</f>
        <v>1</v>
      </c>
      <c r="AF9" s="338">
        <f ca="1">VLOOKUP(AE2,Aux!$M:$AZ,10,0)</f>
        <v>1</v>
      </c>
      <c r="AG9" s="338"/>
      <c r="AH9" s="338"/>
      <c r="AI9" s="338"/>
      <c r="AJ9" s="338"/>
      <c r="AK9" s="338">
        <f ca="1">VLOOKUP(AP2,Aux!$M:$AZ,9,0)</f>
        <v>1</v>
      </c>
      <c r="AL9" s="338"/>
      <c r="AM9" s="338"/>
      <c r="AN9" s="338"/>
      <c r="AO9" s="338"/>
      <c r="AP9" s="231">
        <f ca="1">+IF(AK9="","",IF(AK9&gt;AQ9,1,IF(AK9=AQ9,"X",2)))</f>
        <v>2</v>
      </c>
      <c r="AQ9" s="338">
        <f ca="1">VLOOKUP(AP2,Aux!$M:$AZ,10,0)</f>
        <v>2</v>
      </c>
      <c r="AR9" s="338"/>
      <c r="AS9" s="338"/>
      <c r="AT9" s="338"/>
      <c r="AU9" s="338"/>
      <c r="AV9" s="80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8" t="str">
        <f>IF(ClasificaciónPorra!D5=0,"",ClasificaciónPorra!D5)</f>
        <v/>
      </c>
      <c r="D11" s="325" t="str">
        <f>IF($C11="","",INDEX(TotalApuestas!$A$1:$GL$50007,MATCH(Seguimiento!$C11,TotalApuestas!$B$1:$B$50007,0),MATCH(Seguimiento!I$2,Resultado!$2:$2,0)))</f>
        <v/>
      </c>
      <c r="E11" s="326"/>
      <c r="F11" s="326"/>
      <c r="G11" s="326"/>
      <c r="H11" s="326"/>
      <c r="I11" s="255" t="str">
        <f t="shared" ref="I11:I25" si="0">+IF(D11="","",IF(D11&gt;J11,1,IF(D11=J11,"X",2)))</f>
        <v/>
      </c>
      <c r="J11" s="326" t="str" cm="1">
        <f t="array" ref="J11">IF($C11="","",INDEX(TotalApuestas!$A$1:$GL$50007,MATCH(Seguimiento!$C11,TotalApuestas!$B$1:$B$50007,0),MATCH(Seguimiento!I$2,Resultado!$2:$2,0)+1))</f>
        <v/>
      </c>
      <c r="K11" s="326"/>
      <c r="L11" s="326"/>
      <c r="M11" s="326"/>
      <c r="N11" s="327"/>
      <c r="O11" s="325" t="str">
        <f>IF($C11="","",INDEX(TotalApuestas!$A$1:$GL$50007,MATCH(Seguimiento!$C11,TotalApuestas!$B$1:$B$50007,0),MATCH(Seguimiento!T$2,Resultado!$2:$2,0)))</f>
        <v/>
      </c>
      <c r="P11" s="326"/>
      <c r="Q11" s="326"/>
      <c r="R11" s="326"/>
      <c r="S11" s="326"/>
      <c r="T11" s="255" t="str">
        <f t="shared" ref="T11:T25" si="1">+IF(O11="","",IF(O11&gt;U11,1,IF(O11=U11,"X",2)))</f>
        <v/>
      </c>
      <c r="U11" s="326" t="str" cm="1">
        <f t="array" ref="U11">IF($C11="","",INDEX(TotalApuestas!$A$1:$GL$50007,MATCH(Seguimiento!$C11,TotalApuestas!$B$1:$B$50007,0),MATCH(Seguimiento!T$2,Resultado!$2:$2,0)+1))</f>
        <v/>
      </c>
      <c r="V11" s="326"/>
      <c r="W11" s="326"/>
      <c r="X11" s="326"/>
      <c r="Y11" s="327"/>
      <c r="Z11" s="325" t="str">
        <f>IF($C11="","",INDEX(TotalApuestas!$A$1:$GL$50007,MATCH(Seguimiento!$C11,TotalApuestas!$B$1:$B$50007,0),MATCH(Seguimiento!AE$2,Resultado!$2:$2,0)))</f>
        <v/>
      </c>
      <c r="AA11" s="326"/>
      <c r="AB11" s="326"/>
      <c r="AC11" s="326"/>
      <c r="AD11" s="326"/>
      <c r="AE11" s="255" t="str">
        <f t="shared" ref="AE11:AE25" si="2">+IF(Z11="","",IF(Z11&gt;AF11,1,IF(Z11=AF11,"X",2)))</f>
        <v/>
      </c>
      <c r="AF11" s="326" t="str" cm="1">
        <f t="array" ref="AF11">IF($C11="","",INDEX(TotalApuestas!$A$1:$GL$50007,MATCH(Seguimiento!$C11,TotalApuestas!$B$1:$B$50007,0),MATCH(Seguimiento!AE$2,Resultado!$2:$2,0)+1))</f>
        <v/>
      </c>
      <c r="AG11" s="326"/>
      <c r="AH11" s="326"/>
      <c r="AI11" s="326"/>
      <c r="AJ11" s="327"/>
      <c r="AK11" s="325" t="str">
        <f>IF($C11="","",INDEX(TotalApuestas!$A$1:$GL$50007,MATCH(Seguimiento!$C11,TotalApuestas!$B$1:$B$50007,0),MATCH(Seguimiento!AP$2,Resultado!$2:$2,0)))</f>
        <v/>
      </c>
      <c r="AL11" s="326"/>
      <c r="AM11" s="326"/>
      <c r="AN11" s="326"/>
      <c r="AO11" s="326"/>
      <c r="AP11" s="255" t="str">
        <f t="shared" ref="AP11:AP25" si="3">+IF(AK11="","",IF(AK11&gt;AQ11,1,IF(AK11=AQ11,"X",2)))</f>
        <v/>
      </c>
      <c r="AQ11" s="325" t="str" cm="1">
        <f t="array" ref="AQ11">IF($C11="","",INDEX(TotalApuestas!$A$1:$GL$50007,MATCH(Seguimiento!$C11,TotalApuestas!$B$1:$B$50007,0),MATCH(Seguimiento!AP$2,Resultado!$2:$2,0)+1))</f>
        <v/>
      </c>
      <c r="AR11" s="326"/>
      <c r="AS11" s="326"/>
      <c r="AT11" s="326"/>
      <c r="AU11" s="327"/>
      <c r="AV11" s="80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59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6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6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6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6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59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6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6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6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6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59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6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6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6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6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59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6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6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6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6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59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6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6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6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6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59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6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6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6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6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59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6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6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6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6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59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6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6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6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6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59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6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6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6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6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59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6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6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6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6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59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6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6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6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6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59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6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6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6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6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59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6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6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6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6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59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6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6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6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6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59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6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6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6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6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59" t="str">
        <f>IF(ClasificaciónPorra!D21=0,"",ClasificaciónPorra!D21)</f>
        <v/>
      </c>
      <c r="D27" s="342" t="str">
        <f>IF($C27="","",INDEX(TotalApuestas!$A$1:$GL$50007,MATCH(Seguimiento!$C27,TotalApuestas!$B$1:$B$50007,0),MATCH(Seguimiento!I$2,Resultado!$2:$2,0)))</f>
        <v/>
      </c>
      <c r="E27" s="323"/>
      <c r="F27" s="323"/>
      <c r="G27" s="323"/>
      <c r="H27" s="323"/>
      <c r="I27" s="257" t="str">
        <f t="shared" si="8"/>
        <v/>
      </c>
      <c r="J27" s="323" t="str" cm="1">
        <f t="array" ref="J27">IF($C27="","",INDEX(TotalApuestas!$A$1:$GL$50007,MATCH(Seguimiento!$C27,TotalApuestas!$B$1:$B$50007,0),MATCH(Seguimiento!I$2,Resultado!$2:$2,0)+1))</f>
        <v/>
      </c>
      <c r="K27" s="323"/>
      <c r="L27" s="323"/>
      <c r="M27" s="323"/>
      <c r="N27" s="324"/>
      <c r="O27" s="342" t="str">
        <f>IF($C27="","",INDEX(TotalApuestas!$A$1:$GL$50007,MATCH(Seguimiento!$C27,TotalApuestas!$B$1:$B$50007,0),MATCH(Seguimiento!T$2,Resultado!$2:$2,0)))</f>
        <v/>
      </c>
      <c r="P27" s="323"/>
      <c r="Q27" s="323"/>
      <c r="R27" s="323"/>
      <c r="S27" s="323"/>
      <c r="T27" s="257" t="str">
        <f t="shared" si="9"/>
        <v/>
      </c>
      <c r="U27" s="323" t="str" cm="1">
        <f t="array" ref="U27">IF($C27="","",INDEX(TotalApuestas!$A$1:$GL$50007,MATCH(Seguimiento!$C27,TotalApuestas!$B$1:$B$50007,0),MATCH(Seguimiento!T$2,Resultado!$2:$2,0)+1))</f>
        <v/>
      </c>
      <c r="V27" s="323"/>
      <c r="W27" s="323"/>
      <c r="X27" s="323"/>
      <c r="Y27" s="324"/>
      <c r="Z27" s="342" t="str">
        <f>IF($C27="","",INDEX(TotalApuestas!$A$1:$GL$50007,MATCH(Seguimiento!$C27,TotalApuestas!$B$1:$B$50007,0),MATCH(Seguimiento!AE$2,Resultado!$2:$2,0)))</f>
        <v/>
      </c>
      <c r="AA27" s="323"/>
      <c r="AB27" s="323"/>
      <c r="AC27" s="323"/>
      <c r="AD27" s="323"/>
      <c r="AE27" s="257" t="str">
        <f t="shared" si="10"/>
        <v/>
      </c>
      <c r="AF27" s="323" t="str" cm="1">
        <f t="array" ref="AF27">IF($C27="","",INDEX(TotalApuestas!$A$1:$GL$50007,MATCH(Seguimiento!$C27,TotalApuestas!$B$1:$B$50007,0),MATCH(Seguimiento!AE$2,Resultado!$2:$2,0)+1))</f>
        <v/>
      </c>
      <c r="AG27" s="323"/>
      <c r="AH27" s="323"/>
      <c r="AI27" s="323"/>
      <c r="AJ27" s="324"/>
      <c r="AK27" s="342" t="str">
        <f>IF($C27="","",INDEX(TotalApuestas!$A$1:$GL$50007,MATCH(Seguimiento!$C27,TotalApuestas!$B$1:$B$50007,0),MATCH(Seguimiento!AP$2,Resultado!$2:$2,0)))</f>
        <v/>
      </c>
      <c r="AL27" s="323"/>
      <c r="AM27" s="323"/>
      <c r="AN27" s="323"/>
      <c r="AO27" s="323"/>
      <c r="AP27" s="257" t="str">
        <f t="shared" si="11"/>
        <v/>
      </c>
      <c r="AQ27" s="342" t="str" cm="1">
        <f t="array" ref="AQ27">IF($C27="","",INDEX(TotalApuestas!$A$1:$GL$50007,MATCH(Seguimiento!$C27,TotalApuestas!$B$1:$B$50007,0),MATCH(Seguimiento!AP$2,Resultado!$2:$2,0)+1))</f>
        <v/>
      </c>
      <c r="AR27" s="323"/>
      <c r="AS27" s="323"/>
      <c r="AT27" s="323"/>
      <c r="AU27" s="324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8" t="s">
        <v>30</v>
      </c>
    </row>
    <row r="32" spans="2:63" ht="20.100000000000001" customHeight="1" thickBot="1" x14ac:dyDescent="0.3">
      <c r="AW32" s="299"/>
    </row>
    <row r="33" spans="49:49" ht="20.100000000000001" customHeight="1" x14ac:dyDescent="0.25">
      <c r="AW33" s="300" t="s">
        <v>33</v>
      </c>
    </row>
    <row r="34" spans="49:49" ht="20.100000000000001" customHeight="1" thickBot="1" x14ac:dyDescent="0.3">
      <c r="AW34" s="301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>L E I N E R</cp:lastModifiedBy>
  <cp:revision/>
  <dcterms:created xsi:type="dcterms:W3CDTF">2024-01-15T16:01:21Z</dcterms:created>
  <dcterms:modified xsi:type="dcterms:W3CDTF">2025-06-15T19:30:16Z</dcterms:modified>
  <cp:category/>
  <cp:contentStatus/>
</cp:coreProperties>
</file>