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8_{54090918-70B7-49C2-86F2-F2D08DF16BBF}" xr6:coauthVersionLast="47" xr6:coauthVersionMax="47" xr10:uidLastSave="{00000000-0000-0000-0000-000000000000}"/>
  <bookViews>
    <workbookView xWindow="-120" yWindow="-120" windowWidth="29040" windowHeight="15720" firstSheet="5" activeTab="7"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8" i="1"/>
  <c r="N26" i="1"/>
  <c r="N32" i="1"/>
  <c r="N27" i="1"/>
  <c r="N29" i="1"/>
  <c r="O30" i="1"/>
  <c r="N30" i="1"/>
  <c r="O31" i="1"/>
  <c r="O26" i="1"/>
  <c r="N33" i="1"/>
  <c r="O27" i="1"/>
  <c r="O33" i="1"/>
  <c r="N31" i="1"/>
  <c r="N28" i="1"/>
  <c r="O32" i="1"/>
  <c r="O29"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7" i="1"/>
  <c r="O2" i="1"/>
  <c r="N13" i="1"/>
  <c r="N7" i="1"/>
  <c r="N9" i="1"/>
  <c r="O7" i="1"/>
  <c r="O13" i="1"/>
  <c r="O10" i="1"/>
  <c r="O15" i="1"/>
  <c r="N22" i="1"/>
  <c r="O9" i="1"/>
  <c r="N18" i="1"/>
  <c r="O21" i="1"/>
  <c r="N24" i="1"/>
  <c r="N21" i="1"/>
  <c r="N16" i="1"/>
  <c r="O6" i="1"/>
  <c r="N6" i="1"/>
  <c r="N10" i="1"/>
  <c r="O5" i="1"/>
  <c r="O24" i="1"/>
  <c r="N12" i="1"/>
  <c r="O17" i="1"/>
  <c r="N5" i="1"/>
  <c r="O12" i="1"/>
  <c r="O16" i="1"/>
  <c r="O4" i="1"/>
  <c r="O23" i="1"/>
  <c r="N8" i="1"/>
  <c r="N4" i="1"/>
  <c r="N23" i="1"/>
  <c r="O20" i="1"/>
  <c r="O22" i="1"/>
  <c r="N20" i="1"/>
  <c r="N14" i="1"/>
  <c r="O11" i="1"/>
  <c r="O25" i="1"/>
  <c r="O14" i="1"/>
  <c r="N25" i="1"/>
  <c r="N3" i="1"/>
  <c r="O18" i="1"/>
  <c r="O19" i="1"/>
  <c r="N11" i="1"/>
  <c r="N2" i="1"/>
  <c r="O8" i="1"/>
  <c r="N15" i="1"/>
  <c r="N19" i="1"/>
  <c r="O3"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5" i="33" a="1"/>
  <c r="H15" i="33" a="1"/>
  <c r="BZ3" i="38" a="1"/>
  <c r="N18" i="33" a="1"/>
  <c r="N9" i="33" a="1"/>
  <c r="H12" i="33" a="1"/>
  <c r="CB3" i="38" a="1"/>
  <c r="H18" i="33" a="1"/>
  <c r="CA3" i="38"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B12" i="38"/>
  <c r="CH3" i="38"/>
  <c r="CH1" i="36" s="1"/>
  <c r="CB11" i="38"/>
  <c r="CJ3" i="38"/>
  <c r="CJ1" i="36" s="1"/>
  <c r="CB7" i="38"/>
  <c r="CB14" i="38"/>
  <c r="CB9" i="38"/>
  <c r="CB8" i="38"/>
  <c r="CB13" i="38"/>
  <c r="CB10"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CQ15" i="38" s="1"/>
  <c r="H12" i="34"/>
  <c r="O12" i="34"/>
  <c r="CN3" i="38"/>
  <c r="S12" i="34"/>
  <c r="CN1" i="36" l="1"/>
  <c r="CQ1" i="36"/>
  <c r="CQ7" i="38"/>
  <c r="CQ10" i="38"/>
  <c r="CQ9" i="38"/>
  <c r="CQ11" i="38"/>
  <c r="CQ13" i="38"/>
  <c r="CQ12" i="38"/>
  <c r="CQ14" i="38"/>
  <c r="CQ8" i="38"/>
  <c r="N9" i="35"/>
  <c r="CM3" i="38"/>
  <c r="CM15" i="38" s="1"/>
  <c r="G12" i="34"/>
  <c r="N15" i="35"/>
  <c r="CN15" i="38" l="1"/>
  <c r="CK15" i="38"/>
  <c r="CL15" i="38"/>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Y13" i="39" l="1"/>
  <c r="CP15" i="38"/>
  <c r="CO15" i="38"/>
  <c r="Z13" i="39" s="1"/>
  <c r="Y11" i="39"/>
  <c r="Y10" i="39"/>
  <c r="Y12" i="39"/>
  <c r="Y8" i="39"/>
  <c r="Y5" i="39"/>
  <c r="Y7" i="39"/>
  <c r="Y6" i="39"/>
  <c r="Y9" i="39"/>
  <c r="CP1" i="36"/>
  <c r="CO13" i="38"/>
  <c r="CP10" i="38"/>
  <c r="CO11" i="38"/>
  <c r="CP13" i="38"/>
  <c r="CP12" i="38"/>
  <c r="CO10" i="38"/>
  <c r="Z8" i="39" s="1"/>
  <c r="CP9" i="38"/>
  <c r="CO14" i="38"/>
  <c r="CP14" i="38"/>
  <c r="CO9" i="38"/>
  <c r="CP7" i="38"/>
  <c r="CP11" i="38"/>
  <c r="CO7" i="38"/>
  <c r="CO8" i="38"/>
  <c r="CO12" i="38"/>
  <c r="CP8" i="38"/>
  <c r="AA13" i="39" l="1"/>
  <c r="AB13" i="39" s="1"/>
  <c r="Z7" i="39"/>
  <c r="AA7" i="39" s="1"/>
  <c r="AB7" i="39" s="1"/>
  <c r="Z11" i="39"/>
  <c r="AA11" i="39" s="1"/>
  <c r="AB11" i="39" s="1"/>
  <c r="Z12" i="39"/>
  <c r="AA12" i="39" s="1"/>
  <c r="AB12"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<sst xmlns="http://schemas.openxmlformats.org/spreadsheetml/2006/main" count="1028" uniqueCount="346">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</sst>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N24" sqref="N2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1</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4</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Canadá</v>
      </c>
    </row>
    <row r="13" spans="1:19" ht="15" customHeight="1" x14ac:dyDescent="0.25">
      <c r="C13" s="15"/>
      <c r="D13" s="19"/>
      <c r="E13" s="20"/>
      <c r="F13" s="181"/>
      <c r="G13" s="181"/>
      <c r="H13" s="21" t="s">
        <v>51</v>
      </c>
      <c r="I13" s="6"/>
      <c r="J13" s="9">
        <v>3</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5</v>
      </c>
      <c r="K15" s="8" t="s">
        <v>41</v>
      </c>
      <c r="L15" s="16">
        <v>0</v>
      </c>
      <c r="M15" s="6"/>
      <c r="N15" s="17" t="str" cm="1">
        <f t="array" aca="1" ref="N15" ca="1">INDIRECT(RIGHT(B15,1)&amp;"!P"&amp;7+LEFT(B15,1)*2)</f>
        <v>Panamá</v>
      </c>
      <c r="O15" s="180" t="e" vm="12">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v>4</v>
      </c>
      <c r="K19" s="22" t="s">
        <v>41</v>
      </c>
      <c r="L19" s="9">
        <v>2</v>
      </c>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Canadá</v>
      </c>
      <c r="O9" s="180" t="e" vm="2">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0</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Colombia</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abSelected="1" zoomScaleNormal="100" workbookViewId="0">
      <selection activeCell="J15" sqref="J15"/>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2">
        <f ca="1">IFERROR(VLOOKUP(H9,Aux!$A:$C,3,0),"")</f>
        <v>#VALUE!</v>
      </c>
      <c r="H9" s="7" t="str">
        <f ca="1">IF(OR(Semis!J9="",Semis!L9=""),"",IF(Semis!J9&gt;Semis!L9,Semis!N9,IF(Semis!J9&lt;Semis!L9,Semis!H9,IF(OR(Semis!J10="",Semis!L10=""),"",IF(Semis!J10&gt;Semis!L10,Semis!N9,Semis!H9)))))</f>
        <v>Canadá</v>
      </c>
      <c r="I9" s="8"/>
      <c r="J9" s="16">
        <v>2</v>
      </c>
      <c r="K9" s="8" t="s">
        <v>41</v>
      </c>
      <c r="L9" s="16">
        <v>2</v>
      </c>
      <c r="M9" s="6"/>
      <c r="N9" s="17" t="str">
        <f ca="1">IF(OR(Semis!J12="",Semis!L12=""),"",IF(Semis!J12&gt;Semis!L12,Semis!N12,IF(Semis!J12&lt;Semis!L12,Semis!H12,IF(OR(Semis!J13="",Semis!L13=""),"",IF(Semis!J13&gt;Semis!L13,Semis!N12,Semis!H12)))))</f>
        <v>Uruguay</v>
      </c>
      <c r="O9" s="180" t="e" vm="11">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v>3</v>
      </c>
      <c r="K10" s="22" t="s">
        <v>41</v>
      </c>
      <c r="L10" s="9">
        <v>4</v>
      </c>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c r="K15" s="8" t="s">
        <v>41</v>
      </c>
      <c r="L15" s="16"/>
      <c r="M15" s="6"/>
      <c r="N15" s="17" t="str">
        <f ca="1">+Semis!S12</f>
        <v>Colombia</v>
      </c>
      <c r="O15" s="180" t="e" vm="13">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1</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5</v>
      </c>
      <c r="O28" s="68">
        <f t="shared" ca="1" si="5"/>
        <v>0</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0</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2</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D1"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5</v>
      </c>
      <c r="K5" s="127">
        <f ca="1">+IF($D5=0,"",VLOOKUP($C5,$Q:$AB,COLUMNS($C$4:K4),0))</f>
        <v>85</v>
      </c>
      <c r="L5" s="127">
        <f ca="1">+IF($D5=0,"",VLOOKUP($C5,$Q:$AB,COLUMNS($C$4:L4),0))</f>
        <v>30</v>
      </c>
      <c r="M5" s="128">
        <f ca="1">+IF($D5=0,"",VLOOKUP($C5,$Q:$AB,COLUMNS($C$4:M4),0))</f>
        <v>120</v>
      </c>
      <c r="N5" s="129">
        <f ca="1">+IF($D5=0,"",VLOOKUP($C5,$Q:$AB,COLUMNS($C$4:N4),0))</f>
        <v>415.01100000000002</v>
      </c>
      <c r="P5" s="196">
        <f ca="1">IFERROR(M5-ROW()/10000,"")</f>
        <v>119.9995</v>
      </c>
      <c r="Q5" s="119">
        <f t="shared" ref="Q5:Q26" ca="1" si="0">+_xlfn.RANK.EQ(AB5,$AB$5:$AB$26)</f>
        <v>9</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15</v>
      </c>
      <c r="Y5" s="120">
        <f ca="1">+SUMIFS(Resultado!7:7,Resultado!$1:$1,ClasificaciónPorra!Y$4)</f>
        <v>60</v>
      </c>
      <c r="Z5" s="120">
        <f ca="1">+SUMIFS(Resultado!7:7,Resultado!$1:$1,ClasificaciónPorra!Z$4)</f>
        <v>30</v>
      </c>
      <c r="AA5" s="122">
        <f t="shared" ref="AA5:AA26" ca="1" si="2">+SUM(X5:Z5)</f>
        <v>105</v>
      </c>
      <c r="AB5" s="121">
        <f t="shared" ref="AB5:AB26" ca="1" si="3">+IF(R5=0,0+ROW()/10000,AA5+W5+ROW()/1000)</f>
        <v>335.005</v>
      </c>
    </row>
    <row r="6" spans="3:28" ht="13.5" customHeight="1" x14ac:dyDescent="0.25">
      <c r="C6" s="150">
        <f t="shared" ref="C6:C26" si="4">+C5+1</f>
        <v>2</v>
      </c>
      <c r="D6" s="151" t="str">
        <f ca="1">+VLOOKUP($C6,$Q:$AB,COLUMNS($C$4:D5),0)</f>
        <v xml:space="preserve">  German Rodriguez</v>
      </c>
      <c r="E6" s="197">
        <f ca="1">+IF($D6=0,"",VLOOKUP($C6,$Q:$AB,COLUMNS($C$4:E5),0))</f>
        <v>85</v>
      </c>
      <c r="F6" s="198">
        <f ca="1">+IF($D6=0,"",VLOOKUP($C6,$Q:$AB,COLUMNS($C$4:F5),0))</f>
        <v>40</v>
      </c>
      <c r="G6" s="198">
        <f ca="1">+IF($D6=0,"",VLOOKUP($C6,$Q:$AB,COLUMNS($C$4:G5),0))</f>
        <v>60</v>
      </c>
      <c r="H6" s="198">
        <f ca="1">+IF($D6=0,"",VLOOKUP($C6,$Q:$AB,COLUMNS($C$4:H5),0))</f>
        <v>80</v>
      </c>
      <c r="I6" s="200">
        <f ca="1">+IF($D6=0,"",VLOOKUP($C6,$Q:$AB,COLUMNS($C$4:I5),0))</f>
        <v>265</v>
      </c>
      <c r="J6" s="127">
        <f ca="1">+IF($D6=0,"",VLOOKUP($C6,$Q:$AB,COLUMNS($C$4:J5),0))</f>
        <v>5</v>
      </c>
      <c r="K6" s="127">
        <f ca="1">+IF($D6=0,"",VLOOKUP($C6,$Q:$AB,COLUMNS($C$4:K5),0))</f>
        <v>85</v>
      </c>
      <c r="L6" s="127">
        <f ca="1">+IF($D6=0,"",VLOOKUP($C6,$Q:$AB,COLUMNS($C$4:L5),0))</f>
        <v>60</v>
      </c>
      <c r="M6" s="128">
        <f ca="1">+IF($D6=0,"",VLOOKUP($C6,$Q:$AB,COLUMNS($C$4:M5),0))</f>
        <v>150</v>
      </c>
      <c r="N6" s="129">
        <f ca="1">+IF($D6=0,"",VLOOKUP($C6,$Q:$AB,COLUMNS($C$4:N5),0))</f>
        <v>415.00700000000001</v>
      </c>
      <c r="P6" s="196">
        <f t="shared" ref="P6:P26" ca="1" si="5">IFERROR(M6-ROW()/10000,"")</f>
        <v>149.99940000000001</v>
      </c>
      <c r="Q6" s="119">
        <f t="shared" ca="1" si="0"/>
        <v>8</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15</v>
      </c>
      <c r="Y6" s="120">
        <f ca="1">+SUMIFS(Resultado!8:8,Resultado!$1:$1,ClasificaciónPorra!Y$4)</f>
        <v>55</v>
      </c>
      <c r="Z6" s="120">
        <f ca="1">+SUMIFS(Resultado!8:8,Resultado!$1:$1,ClasificaciónPorra!Z$4)</f>
        <v>30</v>
      </c>
      <c r="AA6" s="122">
        <f t="shared" ca="1" si="2"/>
        <v>100</v>
      </c>
      <c r="AB6" s="121">
        <f t="shared" ca="1" si="3"/>
        <v>335.00599999999997</v>
      </c>
    </row>
    <row r="7" spans="3:28" x14ac:dyDescent="0.25">
      <c r="C7" s="150">
        <f t="shared" si="4"/>
        <v>3</v>
      </c>
      <c r="D7" s="151" t="str">
        <f ca="1">+VLOOKUP($C7,$Q:$AB,COLUMNS($C$4:D6),0)</f>
        <v>Moises</v>
      </c>
      <c r="E7" s="197">
        <f ca="1">+IF($D7=0,"",VLOOKUP($C7,$Q:$AB,COLUMNS($C$4:E6),0))</f>
        <v>75</v>
      </c>
      <c r="F7" s="198">
        <f ca="1">+IF($D7=0,"",VLOOKUP($C7,$Q:$AB,COLUMNS($C$4:F6),0))</f>
        <v>65</v>
      </c>
      <c r="G7" s="198">
        <f ca="1">+IF($D7=0,"",VLOOKUP($C7,$Q:$AB,COLUMNS($C$4:G6),0))</f>
        <v>55</v>
      </c>
      <c r="H7" s="198">
        <f ca="1">+IF($D7=0,"",VLOOKUP($C7,$Q:$AB,COLUMNS($C$4:H6),0))</f>
        <v>60</v>
      </c>
      <c r="I7" s="200">
        <f ca="1">+IF($D7=0,"",VLOOKUP($C7,$Q:$AB,COLUMNS($C$4:I6),0))</f>
        <v>255</v>
      </c>
      <c r="J7" s="127">
        <f ca="1">+IF($D7=0,"",VLOOKUP($C7,$Q:$AB,COLUMNS($C$4:J6),0))</f>
        <v>15</v>
      </c>
      <c r="K7" s="127">
        <f ca="1">+IF($D7=0,"",VLOOKUP($C7,$Q:$AB,COLUMNS($C$4:K6),0))</f>
        <v>85</v>
      </c>
      <c r="L7" s="127">
        <f ca="1">+IF($D7=0,"",VLOOKUP($C7,$Q:$AB,COLUMNS($C$4:L6),0))</f>
        <v>30</v>
      </c>
      <c r="M7" s="128">
        <f ca="1">+IF($D7=0,"",VLOOKUP($C7,$Q:$AB,COLUMNS($C$4:M6),0))</f>
        <v>130</v>
      </c>
      <c r="N7" s="129">
        <f ca="1">+IF($D7=0,"",VLOOKUP($C7,$Q:$AB,COLUMNS($C$4:N6),0))</f>
        <v>385.01299999999998</v>
      </c>
      <c r="P7" s="196">
        <f t="shared" ca="1" si="5"/>
        <v>129.99930000000001</v>
      </c>
      <c r="Q7" s="119">
        <f t="shared" ca="1" si="0"/>
        <v>2</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5</v>
      </c>
      <c r="Y7" s="120">
        <f ca="1">+SUMIFS(Resultado!9:9,Resultado!$1:$1,ClasificaciónPorra!Y$4)</f>
        <v>85</v>
      </c>
      <c r="Z7" s="120">
        <f ca="1">+SUMIFS(Resultado!9:9,Resultado!$1:$1,ClasificaciónPorra!Z$4)</f>
        <v>60</v>
      </c>
      <c r="AA7" s="122">
        <f t="shared" ca="1" si="2"/>
        <v>150</v>
      </c>
      <c r="AB7" s="121">
        <f t="shared" ca="1" si="3"/>
        <v>415.00700000000001</v>
      </c>
    </row>
    <row r="8" spans="3:28" x14ac:dyDescent="0.25">
      <c r="C8" s="150">
        <f t="shared" si="4"/>
        <v>4</v>
      </c>
      <c r="D8" s="152" t="str">
        <f ca="1">+VLOOKUP($C8,$Q:$AB,COLUMNS($C$4:D7),0)</f>
        <v>ISAAC BERMUDEZ</v>
      </c>
      <c r="E8" s="201">
        <f ca="1">+IF($D8=0,"",VLOOKUP($C8,$Q:$AB,COLUMNS($C$4:E7),0))</f>
        <v>75</v>
      </c>
      <c r="F8" s="202">
        <f ca="1">+IF($D8=0,"",VLOOKUP($C8,$Q:$AB,COLUMNS($C$4:F7),0))</f>
        <v>80</v>
      </c>
      <c r="G8" s="202">
        <f ca="1">+IF($D8=0,"",VLOOKUP($C8,$Q:$AB,COLUMNS($C$4:G7),0))</f>
        <v>55</v>
      </c>
      <c r="H8" s="202">
        <f ca="1">+IF($D8=0,"",VLOOKUP($C8,$Q:$AB,COLUMNS($C$4:H7),0))</f>
        <v>60</v>
      </c>
      <c r="I8" s="203">
        <f ca="1">+IF($D8=0,"",VLOOKUP($C8,$Q:$AB,COLUMNS($C$4:I7),0))</f>
        <v>270</v>
      </c>
      <c r="J8" s="130">
        <f ca="1">+IF($D8=0,"",VLOOKUP($C8,$Q:$AB,COLUMNS($C$4:J7),0))</f>
        <v>20</v>
      </c>
      <c r="K8" s="130">
        <f ca="1">+IF($D8=0,"",VLOOKUP($C8,$Q:$AB,COLUMNS($C$4:K7),0))</f>
        <v>55</v>
      </c>
      <c r="L8" s="130">
        <f ca="1">+IF($D8=0,"",VLOOKUP($C8,$Q:$AB,COLUMNS($C$4:L7),0))</f>
        <v>30</v>
      </c>
      <c r="M8" s="131">
        <f ca="1">+IF($D8=0,"",VLOOKUP($C8,$Q:$AB,COLUMNS($C$4:M7),0))</f>
        <v>105</v>
      </c>
      <c r="N8" s="132">
        <f ca="1">+IF($D8=0,"",VLOOKUP($C8,$Q:$AB,COLUMNS($C$4:N7),0))</f>
        <v>375.00799999999998</v>
      </c>
      <c r="P8" s="196">
        <f t="shared" ca="1" si="5"/>
        <v>104.9992</v>
      </c>
      <c r="Q8" s="119">
        <f t="shared" ca="1" si="0"/>
        <v>4</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20</v>
      </c>
      <c r="Y8" s="120">
        <f ca="1">+SUMIFS(Resultado!10:10,Resultado!$1:$1,ClasificaciónPorra!Y$4)</f>
        <v>55</v>
      </c>
      <c r="Z8" s="120">
        <f ca="1">+SUMIFS(Resultado!10:10,Resultado!$1:$1,ClasificaciónPorra!Z$4)</f>
        <v>30</v>
      </c>
      <c r="AA8" s="122">
        <f t="shared" ca="1" si="2"/>
        <v>105</v>
      </c>
      <c r="AB8" s="121">
        <f t="shared" ca="1" si="3"/>
        <v>375.00799999999998</v>
      </c>
    </row>
    <row r="9" spans="3:28" x14ac:dyDescent="0.25">
      <c r="C9" s="150">
        <f t="shared" si="4"/>
        <v>5</v>
      </c>
      <c r="D9" s="153" t="str">
        <f ca="1">+VLOOKUP($C9,$Q:$AB,COLUMNS($C$4:D8),0)</f>
        <v>Juan Diego De Abreu</v>
      </c>
      <c r="E9" s="204">
        <f ca="1">+IF($D9=0,"",VLOOKUP($C9,$Q:$AB,COLUMNS($C$4:E8),0))</f>
        <v>95</v>
      </c>
      <c r="F9" s="205">
        <f ca="1">+IF($D9=0,"",VLOOKUP($C9,$Q:$AB,COLUMNS($C$4:F8),0))</f>
        <v>50</v>
      </c>
      <c r="G9" s="205">
        <f ca="1">+IF($D9=0,"",VLOOKUP($C9,$Q:$AB,COLUMNS($C$4:G8),0))</f>
        <v>60</v>
      </c>
      <c r="H9" s="205">
        <f ca="1">+IF($D9=0,"",VLOOKUP($C9,$Q:$AB,COLUMNS($C$4:H8),0))</f>
        <v>55</v>
      </c>
      <c r="I9" s="206">
        <f ca="1">+IF($D9=0,"",VLOOKUP($C9,$Q:$AB,COLUMNS($C$4:I8),0))</f>
        <v>260</v>
      </c>
      <c r="J9" s="133">
        <f ca="1">+IF($D9=0,"",VLOOKUP($C9,$Q:$AB,COLUMNS($C$4:J8),0))</f>
        <v>15</v>
      </c>
      <c r="K9" s="133">
        <f ca="1">+IF($D9=0,"",VLOOKUP($C9,$Q:$AB,COLUMNS($C$4:K8),0))</f>
        <v>60</v>
      </c>
      <c r="L9" s="133">
        <f ca="1">+IF($D9=0,"",VLOOKUP($C9,$Q:$AB,COLUMNS($C$4:L8),0))</f>
        <v>30</v>
      </c>
      <c r="M9" s="134">
        <f ca="1">+IF($D9=0,"",VLOOKUP($C9,$Q:$AB,COLUMNS($C$4:M8),0))</f>
        <v>105</v>
      </c>
      <c r="N9" s="135">
        <f ca="1">+IF($D9=0,"",VLOOKUP($C9,$Q:$AB,COLUMNS($C$4:N8),0))</f>
        <v>365.01</v>
      </c>
      <c r="P9" s="196">
        <f t="shared" ca="1" si="5"/>
        <v>104.9991</v>
      </c>
      <c r="Q9" s="119">
        <f t="shared" ca="1" si="0"/>
        <v>6</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15</v>
      </c>
      <c r="Y9" s="120">
        <f ca="1">+SUMIFS(Resultado!11:11,Resultado!$1:$1,ClasificaciónPorra!Y$4)</f>
        <v>55</v>
      </c>
      <c r="Z9" s="120">
        <f ca="1">+SUMIFS(Resultado!11:11,Resultado!$1:$1,ClasificaciónPorra!Z$4)</f>
        <v>30</v>
      </c>
      <c r="AA9" s="122">
        <f t="shared" ca="1" si="2"/>
        <v>100</v>
      </c>
      <c r="AB9" s="121">
        <f t="shared" ca="1" si="3"/>
        <v>350.00900000000001</v>
      </c>
    </row>
    <row r="10" spans="3:28" x14ac:dyDescent="0.25">
      <c r="C10" s="150">
        <f t="shared" si="4"/>
        <v>6</v>
      </c>
      <c r="D10" s="151" t="str">
        <f ca="1">+VLOOKUP($C10,$Q:$AB,COLUMNS($C$4:D9),0)</f>
        <v>YUTA</v>
      </c>
      <c r="E10" s="197">
        <f ca="1">+IF($D10=0,"",VLOOKUP($C10,$Q:$AB,COLUMNS($C$4:E9),0))</f>
        <v>85</v>
      </c>
      <c r="F10" s="198">
        <f ca="1">+IF($D10=0,"",VLOOKUP($C10,$Q:$AB,COLUMNS($C$4:F9),0))</f>
        <v>55</v>
      </c>
      <c r="G10" s="198">
        <f ca="1">+IF($D10=0,"",VLOOKUP($C10,$Q:$AB,COLUMNS($C$4:G9),0))</f>
        <v>55</v>
      </c>
      <c r="H10" s="198">
        <f ca="1">+IF($D10=0,"",VLOOKUP($C10,$Q:$AB,COLUMNS($C$4:H9),0))</f>
        <v>55</v>
      </c>
      <c r="I10" s="200">
        <f ca="1">+IF($D10=0,"",VLOOKUP($C10,$Q:$AB,COLUMNS($C$4:I9),0))</f>
        <v>250</v>
      </c>
      <c r="J10" s="127">
        <f ca="1">+IF($D10=0,"",VLOOKUP($C10,$Q:$AB,COLUMNS($C$4:J9),0))</f>
        <v>15</v>
      </c>
      <c r="K10" s="127">
        <f ca="1">+IF($D10=0,"",VLOOKUP($C10,$Q:$AB,COLUMNS($C$4:K9),0))</f>
        <v>55</v>
      </c>
      <c r="L10" s="127">
        <f ca="1">+IF($D10=0,"",VLOOKUP($C10,$Q:$AB,COLUMNS($C$4:L9),0))</f>
        <v>30</v>
      </c>
      <c r="M10" s="128">
        <f ca="1">+IF($D10=0,"",VLOOKUP($C10,$Q:$AB,COLUMNS($C$4:M9),0))</f>
        <v>100</v>
      </c>
      <c r="N10" s="129">
        <f ca="1">+IF($D10=0,"",VLOOKUP($C10,$Q:$AB,COLUMNS($C$4:N9),0))</f>
        <v>350.00900000000001</v>
      </c>
      <c r="P10" s="196">
        <f t="shared" ca="1" si="5"/>
        <v>99.998999999999995</v>
      </c>
      <c r="Q10" s="119">
        <f t="shared" ca="1" si="0"/>
        <v>5</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15</v>
      </c>
      <c r="Y10" s="120">
        <f ca="1">+SUMIFS(Resultado!12:12,Resultado!$1:$1,ClasificaciónPorra!Y$4)</f>
        <v>60</v>
      </c>
      <c r="Z10" s="120">
        <f ca="1">+SUMIFS(Resultado!12:12,Resultado!$1:$1,ClasificaciónPorra!Z$4)</f>
        <v>30</v>
      </c>
      <c r="AA10" s="122">
        <f t="shared" ca="1" si="2"/>
        <v>105</v>
      </c>
      <c r="AB10" s="121">
        <f t="shared" ca="1" si="3"/>
        <v>365.01</v>
      </c>
    </row>
    <row r="11" spans="3:28" x14ac:dyDescent="0.25">
      <c r="C11" s="150">
        <f t="shared" si="4"/>
        <v>7</v>
      </c>
      <c r="D11" s="151" t="str">
        <f ca="1">+VLOOKUP($C11,$Q:$AB,COLUMNS($C$4:D10),0)</f>
        <v xml:space="preserve">Luis Rondón </v>
      </c>
      <c r="E11" s="197">
        <f ca="1">+IF($D11=0,"",VLOOKUP($C11,$Q:$AB,COLUMNS($C$4:E10),0))</f>
        <v>70</v>
      </c>
      <c r="F11" s="198">
        <f ca="1">+IF($D11=0,"",VLOOKUP($C11,$Q:$AB,COLUMNS($C$4:F10),0))</f>
        <v>90</v>
      </c>
      <c r="G11" s="198">
        <f ca="1">+IF($D11=0,"",VLOOKUP($C11,$Q:$AB,COLUMNS($C$4:G10),0))</f>
        <v>65</v>
      </c>
      <c r="H11" s="198">
        <f ca="1">+IF($D11=0,"",VLOOKUP($C11,$Q:$AB,COLUMNS($C$4:H10),0))</f>
        <v>65</v>
      </c>
      <c r="I11" s="200">
        <f ca="1">+IF($D11=0,"",VLOOKUP($C11,$Q:$AB,COLUMNS($C$4:I10),0))</f>
        <v>290</v>
      </c>
      <c r="J11" s="127">
        <f ca="1">+IF($D11=0,"",VLOOKUP($C11,$Q:$AB,COLUMNS($C$4:J10),0))</f>
        <v>5</v>
      </c>
      <c r="K11" s="127">
        <f ca="1">+IF($D11=0,"",VLOOKUP($C11,$Q:$AB,COLUMNS($C$4:K10),0))</f>
        <v>50</v>
      </c>
      <c r="L11" s="127">
        <f ca="1">+IF($D11=0,"",VLOOKUP($C11,$Q:$AB,COLUMNS($C$4:L10),0))</f>
        <v>0</v>
      </c>
      <c r="M11" s="128">
        <f ca="1">+IF($D11=0,"",VLOOKUP($C11,$Q:$AB,COLUMNS($C$4:M10),0))</f>
        <v>55</v>
      </c>
      <c r="N11" s="129">
        <f ca="1">+IF($D11=0,"",VLOOKUP($C11,$Q:$AB,COLUMNS($C$4:N10),0))</f>
        <v>345.012</v>
      </c>
      <c r="P11" s="196">
        <f t="shared" ca="1" si="5"/>
        <v>54.998899999999999</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5</v>
      </c>
      <c r="Y11" s="120">
        <f ca="1">+SUMIFS(Resultado!13:13,Resultado!$1:$1,ClasificaciónPorra!Y$4)</f>
        <v>85</v>
      </c>
      <c r="Z11" s="120">
        <f ca="1">+SUMIFS(Resultado!13:13,Resultado!$1:$1,ClasificaciónPorra!Z$4)</f>
        <v>30</v>
      </c>
      <c r="AA11" s="122">
        <f t="shared" ca="1" si="2"/>
        <v>120</v>
      </c>
      <c r="AB11" s="121">
        <f t="shared" ca="1" si="3"/>
        <v>415.01100000000002</v>
      </c>
    </row>
    <row r="12" spans="3:28" x14ac:dyDescent="0.25">
      <c r="C12" s="150">
        <f t="shared" si="4"/>
        <v>8</v>
      </c>
      <c r="D12" s="151" t="str">
        <f ca="1">+VLOOKUP($C12,$Q:$AB,COLUMNS($C$4:D11),0)</f>
        <v>Cazaputas69</v>
      </c>
      <c r="E12" s="197">
        <f ca="1">+IF($D12=0,"",VLOOKUP($C12,$Q:$AB,COLUMNS($C$4:E11),0))</f>
        <v>80</v>
      </c>
      <c r="F12" s="198">
        <f ca="1">+IF($D12=0,"",VLOOKUP($C12,$Q:$AB,COLUMNS($C$4:F11),0))</f>
        <v>35</v>
      </c>
      <c r="G12" s="198">
        <f ca="1">+IF($D12=0,"",VLOOKUP($C12,$Q:$AB,COLUMNS($C$4:G11),0))</f>
        <v>60</v>
      </c>
      <c r="H12" s="198">
        <f ca="1">+IF($D12=0,"",VLOOKUP($C12,$Q:$AB,COLUMNS($C$4:H11),0))</f>
        <v>60</v>
      </c>
      <c r="I12" s="200">
        <f ca="1">+IF($D12=0,"",VLOOKUP($C12,$Q:$AB,COLUMNS($C$4:I11),0))</f>
        <v>235</v>
      </c>
      <c r="J12" s="127">
        <f ca="1">+IF($D12=0,"",VLOOKUP($C12,$Q:$AB,COLUMNS($C$4:J11),0))</f>
        <v>15</v>
      </c>
      <c r="K12" s="127">
        <f ca="1">+IF($D12=0,"",VLOOKUP($C12,$Q:$AB,COLUMNS($C$4:K11),0))</f>
        <v>55</v>
      </c>
      <c r="L12" s="127">
        <f ca="1">+IF($D12=0,"",VLOOKUP($C12,$Q:$AB,COLUMNS($C$4:L11),0))</f>
        <v>30</v>
      </c>
      <c r="M12" s="128">
        <f ca="1">+IF($D12=0,"",VLOOKUP($C12,$Q:$AB,COLUMNS($C$4:M11),0))</f>
        <v>100</v>
      </c>
      <c r="N12" s="129">
        <f ca="1">+IF($D12=0,"",VLOOKUP($C12,$Q:$AB,COLUMNS($C$4:N11),0))</f>
        <v>335.00599999999997</v>
      </c>
      <c r="P12" s="196">
        <f t="shared" ca="1" si="5"/>
        <v>99.998800000000003</v>
      </c>
      <c r="Q12" s="119">
        <f t="shared" ca="1" si="0"/>
        <v>7</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5</v>
      </c>
      <c r="Y12" s="120">
        <f ca="1">+SUMIFS(Resultado!14:14,Resultado!$1:$1,ClasificaciónPorra!Y$4)</f>
        <v>50</v>
      </c>
      <c r="Z12" s="120">
        <f ca="1">+SUMIFS(Resultado!14:14,Resultado!$1:$1,ClasificaciónPorra!Z$4)</f>
        <v>0</v>
      </c>
      <c r="AA12" s="122">
        <f t="shared" ca="1" si="2"/>
        <v>55</v>
      </c>
      <c r="AB12" s="121">
        <f t="shared" ca="1" si="3"/>
        <v>345.012</v>
      </c>
    </row>
    <row r="13" spans="3:28" x14ac:dyDescent="0.25">
      <c r="C13" s="150">
        <f t="shared" si="4"/>
        <v>9</v>
      </c>
      <c r="D13" s="152" t="str">
        <f ca="1">+VLOOKUP($C13,$Q:$AB,COLUMNS($C$4:D12),0)</f>
        <v>Carlos Hurtado</v>
      </c>
      <c r="E13" s="201">
        <f ca="1">+IF($D13=0,"",VLOOKUP($C13,$Q:$AB,COLUMNS($C$4:E12),0))</f>
        <v>75</v>
      </c>
      <c r="F13" s="202">
        <f ca="1">+IF($D13=0,"",VLOOKUP($C13,$Q:$AB,COLUMNS($C$4:F12),0))</f>
        <v>40</v>
      </c>
      <c r="G13" s="202">
        <f ca="1">+IF($D13=0,"",VLOOKUP($C13,$Q:$AB,COLUMNS($C$4:G12),0))</f>
        <v>65</v>
      </c>
      <c r="H13" s="202">
        <f ca="1">+IF($D13=0,"",VLOOKUP($C13,$Q:$AB,COLUMNS($C$4:H12),0))</f>
        <v>50</v>
      </c>
      <c r="I13" s="203">
        <f ca="1">+IF($D13=0,"",VLOOKUP($C13,$Q:$AB,COLUMNS($C$4:I12),0))</f>
        <v>230</v>
      </c>
      <c r="J13" s="130">
        <f ca="1">+IF($D13=0,"",VLOOKUP($C13,$Q:$AB,COLUMNS($C$4:J12),0))</f>
        <v>15</v>
      </c>
      <c r="K13" s="130">
        <f ca="1">+IF($D13=0,"",VLOOKUP($C13,$Q:$AB,COLUMNS($C$4:K12),0))</f>
        <v>60</v>
      </c>
      <c r="L13" s="130">
        <f ca="1">+IF($D13=0,"",VLOOKUP($C13,$Q:$AB,COLUMNS($C$4:L12),0))</f>
        <v>30</v>
      </c>
      <c r="M13" s="131">
        <f ca="1">+IF($D13=0,"",VLOOKUP($C13,$Q:$AB,COLUMNS($C$4:M12),0))</f>
        <v>105</v>
      </c>
      <c r="N13" s="132">
        <f ca="1">+IF($D13=0,"",VLOOKUP($C13,$Q:$AB,COLUMNS($C$4:N12),0))</f>
        <v>335.005</v>
      </c>
      <c r="P13" s="196">
        <f t="shared" ca="1" si="5"/>
        <v>104.9987</v>
      </c>
      <c r="Q13" s="119">
        <f t="shared" ca="1" si="0"/>
        <v>3</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15</v>
      </c>
      <c r="Y13" s="120">
        <f ca="1">+SUMIFS(Resultado!15:15,Resultado!$1:$1,ClasificaciónPorra!Y$4)</f>
        <v>85</v>
      </c>
      <c r="Z13" s="120">
        <f ca="1">+SUMIFS(Resultado!15:15,Resultado!$1:$1,ClasificaciónPorra!Z$4)</f>
        <v>30</v>
      </c>
      <c r="AA13" s="122">
        <f t="shared" ca="1" si="2"/>
        <v>130</v>
      </c>
      <c r="AB13" s="121">
        <f t="shared" ca="1" si="3"/>
        <v>385.01299999999998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S1" sqref="S1"/>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29</v>
      </c>
      <c r="C1" s="207"/>
      <c r="D1" s="207">
        <f>+A1</f>
        <v>29</v>
      </c>
      <c r="E1" s="207"/>
      <c r="F1" s="207"/>
      <c r="G1" s="207">
        <f>+D1+1</f>
        <v>30</v>
      </c>
      <c r="H1" s="207"/>
      <c r="I1" s="207"/>
      <c r="J1" s="207">
        <f t="shared" ref="J1" si="0">+G1+1</f>
        <v>31</v>
      </c>
      <c r="K1" s="207"/>
      <c r="L1" s="207"/>
      <c r="M1" s="207">
        <f t="shared" ref="M1" si="1">+J1+1</f>
        <v>32</v>
      </c>
      <c r="S1" s="176" t="s">
        <v>11</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Semis</v>
      </c>
      <c r="E5" s="297"/>
      <c r="F5" s="298"/>
      <c r="G5" s="296" t="str">
        <f>"Grupo "&amp;VLOOKUP(G1,Aux!$F:$O,8,0)</f>
        <v>Grupo Semis</v>
      </c>
      <c r="H5" s="297"/>
      <c r="I5" s="298"/>
      <c r="J5" s="296" t="str">
        <f>"Grupo "&amp;VLOOKUP(J1,Aux!$F:$O,8,0)</f>
        <v>Grupo Final</v>
      </c>
      <c r="K5" s="297"/>
      <c r="L5" s="298"/>
      <c r="M5" s="296" t="str">
        <f>"Grupo "&amp;VLOOKUP(M1,Aux!$F:$O,8,0)</f>
        <v>Grupo Final</v>
      </c>
      <c r="N5" s="297"/>
      <c r="O5" s="298"/>
      <c r="P5" s="123"/>
      <c r="R5" s="214"/>
      <c r="S5" s="215"/>
      <c r="T5" s="216" t="str" cm="1">
        <f t="array" ref="T5:V5">S1&amp;_xlfn.SEQUENCE(1,VLOOKUP(S1,$AD$1:$AE$5,2,0))</f>
        <v>Final1</v>
      </c>
      <c r="U5" s="216" t="str">
        <v>Final2</v>
      </c>
      <c r="V5" s="216" t="str">
        <v>Final3</v>
      </c>
      <c r="W5" s="216"/>
      <c r="X5" s="216"/>
      <c r="Y5" s="216"/>
      <c r="Z5" s="216"/>
      <c r="AA5" s="216"/>
      <c r="AB5" s="123"/>
      <c r="AD5" s="207" t="s">
        <v>94</v>
      </c>
      <c r="AE5" s="207">
        <v>1</v>
      </c>
    </row>
    <row r="6" spans="1:31" ht="20.100000000000001" customHeight="1" x14ac:dyDescent="0.25">
      <c r="B6" s="214"/>
      <c r="C6" s="146"/>
      <c r="D6" s="299" t="str">
        <f>VLOOKUP(D1,Aux!$F:$O,5,0)</f>
        <v>Ganador cuartos de final 1</v>
      </c>
      <c r="E6" s="217">
        <f>VLOOKUP(D1,Aux!$F:$O,3,0)</f>
        <v>45482.833333333336</v>
      </c>
      <c r="F6" s="299" t="str">
        <f>VLOOKUP(D1,Aux!$F:$O,6,0)</f>
        <v>Ganador cuartos de final 2</v>
      </c>
      <c r="G6" s="299" t="str">
        <f>VLOOKUP(G1,Aux!$F:$O,5,0)</f>
        <v>Ganador cuartos de final 3</v>
      </c>
      <c r="H6" s="217">
        <f>VLOOKUP(G1,Aux!$F:$O,3,0)</f>
        <v>45483.833333333336</v>
      </c>
      <c r="I6" s="299" t="str">
        <f>VLOOKUP(G1,Aux!$F:$O,6,0)</f>
        <v>Ganador cuartos de final 4</v>
      </c>
      <c r="J6" s="299" t="str">
        <f>VLOOKUP(J1,Aux!$F:$O,5,0)</f>
        <v>Perdedor semifinal 1</v>
      </c>
      <c r="K6" s="217">
        <f>VLOOKUP(J1,Aux!$F:$O,3,0)</f>
        <v>45486.833333333336</v>
      </c>
      <c r="L6" s="299" t="str">
        <f>VLOOKUP(J1,Aux!$F:$O,6,0)</f>
        <v>Perdedor semifinal 2</v>
      </c>
      <c r="M6" s="299" t="str">
        <f>VLOOKUP(M1,Aux!$F:$O,5,0)</f>
        <v>Ganador semifinal 1</v>
      </c>
      <c r="N6" s="217">
        <f>VLOOKUP(M1,Aux!$F:$O,3,0)</f>
        <v>45487.833333333336</v>
      </c>
      <c r="O6" s="299" t="str">
        <f>VLOOKUP(M1,Aux!$F:$O,6,0)</f>
        <v>Ganador semifinal 2</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Uruguay</v>
      </c>
      <c r="V6" s="171" t="str" cm="1">
        <f t="array" aca="1" ref="V6" ca="1">IF(OR(V$5="",$S6=""),"",IFERROR(INDEX(TotalApuestas!$A$1:$GL$50000,MATCH(Seguimiento!$S6,TotalApuestas!$B$1:$B$50000,0),MATCH("Equipos"&amp;Seguimiento!$S$1,Resultado!$4:$4,0)+COLUMNS($T$1:V$1)-1),0))</f>
        <v>Argentina</v>
      </c>
      <c r="W6" s="171" t="str" cm="1">
        <f t="array" aca="1" ref="W6" ca="1">IF(OR(W$5="",$S6=""),"",IFERROR(INDEX(TotalApuestas!$A$1:$GL$50000,MATCH(Seguimiento!$S6,TotalApuestas!$B$1:$B$50000,0),MATCH("Equipos"&amp;Seguimiento!$S$1,Resultado!$4:$4,0)+COLUMNS($T$1:W$1)-1),0))</f>
        <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45482.833333333336</v>
      </c>
      <c r="F7" s="299"/>
      <c r="G7" s="299"/>
      <c r="H7" s="220">
        <f>+H6</f>
        <v>45483.833333333336</v>
      </c>
      <c r="I7" s="299"/>
      <c r="J7" s="299"/>
      <c r="K7" s="220">
        <f>+K6</f>
        <v>45486.833333333336</v>
      </c>
      <c r="L7" s="299"/>
      <c r="M7" s="299"/>
      <c r="N7" s="220">
        <f>+N6</f>
        <v>45487.833333333336</v>
      </c>
      <c r="O7" s="299"/>
      <c r="P7" s="123"/>
      <c r="R7" s="214"/>
      <c r="S7" s="218" t="str">
        <f ca="1">IF(ClasificaciónPorra!D6=0,"",ClasificaciónPorra!D6)</f>
        <v xml:space="preserve">  German Rodriguez</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Colombia</v>
      </c>
      <c r="V7" s="171" t="str" cm="1">
        <f t="array" aca="1" ref="V7" ca="1">IF(OR(V$5="",$S7=""),"",IFERROR(INDEX(TotalApuestas!$A$1:$GL$50000,MATCH(Seguimiento!$S7,TotalApuestas!$B$1:$B$50000,0),MATCH("Equipos"&amp;Seguimiento!$S$1,Resultado!$4:$4,0)+COLUMNS($T$1:V$1)-1),0))</f>
        <v>Colombia</v>
      </c>
      <c r="W7" s="171" t="str" cm="1">
        <f t="array" aca="1" ref="W7" ca="1">IF(OR(W$5="",$S7=""),"",IFERROR(INDEX(TotalApuestas!$A$1:$GL$50000,MATCH(Seguimiento!$S7,TotalApuestas!$B$1:$B$50000,0),MATCH("Equipos"&amp;Seguimiento!$S$1,Resultado!$4:$4,0)+COLUMNS($T$1:W$1)-1),0))</f>
        <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f ca="1">+IF(G8="","",IF(G8&gt;I8,1,IF(G8=I8,"X",2)))</f>
        <v>2</v>
      </c>
      <c r="I8" s="223">
        <f ca="1">VLOOKUP(G1,Aux!$F:$O,10,0)</f>
        <v>1</v>
      </c>
      <c r="J8" s="221">
        <f ca="1">VLOOKUP(J1,Aux!$F:$O,9,0)</f>
        <v>2</v>
      </c>
      <c r="K8" s="222" t="str">
        <f ca="1">+IF(J8="","",IF(J8&gt;L8,1,IF(J8=L8,"X",2)))</f>
        <v>X</v>
      </c>
      <c r="L8" s="223">
        <f ca="1">VLOOKUP(J1,Aux!$F:$O,10,0)</f>
        <v>2</v>
      </c>
      <c r="M8" s="221" t="str">
        <f ca="1">VLOOKUP(M1,Aux!$F:$O,9,0)</f>
        <v/>
      </c>
      <c r="N8" s="222" t="str">
        <f ca="1">+IF(M8="","",IF(M8&gt;O8,1,IF(M8=O8,"X",2)))</f>
        <v/>
      </c>
      <c r="O8" s="223" t="str">
        <f ca="1">VLOOKUP(M1,Aux!$F:$O,10,0)</f>
        <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Uruguay</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ISAAC BERMUDEZ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Brasil</v>
      </c>
      <c r="V9" s="171" t="str" cm="1">
        <f t="array" aca="1" ref="V9" ca="1">IF(OR(V$5="",$S9=""),"",IFERROR(INDEX(TotalApuestas!$A$1:$GL$50000,MATCH(Seguimiento!$S9,TotalApuestas!$B$1:$B$50000,0),MATCH("Equipos"&amp;Seguimiento!$S$1,Resultado!$4:$4,0)+COLUMNS($T$1:V$1)-1),0))</f>
        <v>Brasil</v>
      </c>
      <c r="W9" s="171" t="str" cm="1">
        <f t="array" aca="1" ref="W9" ca="1">IF(OR(W$5="",$S9=""),"",IFERROR(INDEX(TotalApuestas!$A$1:$GL$50000,MATCH(Seguimiento!$S9,TotalApuestas!$B$1:$B$50000,0),MATCH("Equipos"&amp;Seguimiento!$S$1,Resultado!$4:$4,0)+COLUMNS($T$1:W$1)-1),0))</f>
        <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2</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2</v>
      </c>
      <c r="P10" s="123"/>
      <c r="R10" s="214"/>
      <c r="S10" s="218" t="str">
        <f ca="1">IF(ClasificaciónPorra!D9=0,"",ClasificaciónPorra!D9)</f>
        <v>Juan Diego De Abreu</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Uruguay</v>
      </c>
      <c r="V10" s="171" t="str" cm="1">
        <f t="array" aca="1" ref="V10" ca="1">IF(OR(V$5="",$S10=""),"",IFERROR(INDEX(TotalApuestas!$A$1:$GL$50000,MATCH(Seguimiento!$S10,TotalApuestas!$B$1:$B$50000,0),MATCH("Equipos"&amp;Seguimiento!$S$1,Resultado!$4:$4,0)+COLUMNS($T$1:V$1)-1),0))</f>
        <v>Uruguay</v>
      </c>
      <c r="W10" s="171" t="str" cm="1">
        <f t="array" aca="1" ref="W10" ca="1">IF(OR(W$5="",$S10=""),"",IFERROR(INDEX(TotalApuestas!$A$1:$GL$50000,MATCH(Seguimiento!$S10,TotalApuestas!$B$1:$B$50000,0),MATCH("Equipos"&amp;Seguimiento!$S$1,Resultado!$4:$4,0)+COLUMNS($T$1:W$1)-1),0))</f>
        <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 xml:space="preserve">  German Rodriguez</v>
      </c>
      <c r="D11" s="230">
        <f ca="1">IF($C11="","",INDEX(TotalApuestas!$A$1:$GL$50000,MATCH(Seguimiento!$C11,TotalApuestas!$B$1:$B$50000,0),MATCH(Seguimiento!D$1,Resultado!$2:$2,0)))</f>
        <v>1</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2</v>
      </c>
      <c r="H11" s="231">
        <f t="shared" ref="H11:H29" ca="1" si="7">+IF(G11="","",IF(G11&gt;I11,1,IF(G11=I11,"X",2)))</f>
        <v>2</v>
      </c>
      <c r="I11" s="233" cm="1">
        <f t="array" aca="1" ref="I11" ca="1">IF($C11="","",INDEX(TotalApuestas!$A$1:$GL$50000,MATCH(Seguimiento!$C11,TotalApuestas!$B$1:$B$50000,0),MATCH(Seguimiento!G$1,Resultado!$2:$2,0)+1))</f>
        <v>3</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3</v>
      </c>
      <c r="M11" s="232">
        <f ca="1">IF($C11="","",INDEX(TotalApuestas!$A$1:$GL$50000,MATCH(Seguimiento!$C11,TotalApuestas!$B$1:$B$50000,0),MATCH(Seguimiento!M$1,Resultado!$2:$2,0)))</f>
        <v>0</v>
      </c>
      <c r="N11" s="231">
        <f t="shared" ref="N11:N29" ca="1" si="9">+IF(M11="","",IF(M11&gt;O11,1,IF(M11=O11,"X",2)))</f>
        <v>2</v>
      </c>
      <c r="O11" s="233" cm="1">
        <f t="array" aca="1" ref="O11" ca="1">IF($C11="","",INDEX(TotalApuestas!$A$1:$GL$50000,MATCH(Seguimiento!$C11,TotalApuestas!$B$1:$B$50000,0),MATCH(Seguimiento!M$1,Resultado!$2:$2,0)+1))</f>
        <v>1</v>
      </c>
      <c r="P11" s="123"/>
      <c r="R11" s="214"/>
      <c r="S11" s="218" t="str">
        <f ca="1">IF(ClasificaciónPorra!D10=0,"",ClasificaciónPorra!D10)</f>
        <v>YUTA</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Uruguay</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1</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0</v>
      </c>
      <c r="K12" s="231">
        <f t="shared" ca="1" si="8"/>
        <v>2</v>
      </c>
      <c r="L12" s="230" cm="1">
        <f t="array" aca="1" ref="L12" ca="1">IF($C12="","",INDEX(TotalApuestas!$A$1:$GL$50000,MATCH(Seguimiento!$C12,TotalApuestas!$B$1:$B$50000,0),MATCH(Seguimiento!J$1,Resultado!$2:$2,0)+1))</f>
        <v>2</v>
      </c>
      <c r="M12" s="232">
        <f ca="1">IF($C12="","",INDEX(TotalApuestas!$A$1:$GL$50000,MATCH(Seguimiento!$C12,TotalApuestas!$B$1:$B$50000,0),MATCH(Seguimiento!M$1,Resultado!$2:$2,0)))</f>
        <v>1</v>
      </c>
      <c r="N12" s="231">
        <f t="shared" ca="1" si="9"/>
        <v>2</v>
      </c>
      <c r="O12" s="233" cm="1">
        <f t="array" aca="1" ref="O12" ca="1">IF($C12="","",INDEX(TotalApuestas!$A$1:$GL$50000,MATCH(Seguimiento!$C12,TotalApuestas!$B$1:$B$50000,0),MATCH(Seguimiento!M$1,Resultado!$2:$2,0)+1))</f>
        <v>2</v>
      </c>
      <c r="P12" s="123"/>
      <c r="R12" s="214"/>
      <c r="S12" s="218" t="str">
        <f ca="1">IF(ClasificaciónPorra!D11=0,"",ClasificaciónPorra!D11)</f>
        <v xml:space="preserve">Luis Rondón </v>
      </c>
      <c r="T12" s="171" t="str" cm="1">
        <f t="array" aca="1" ref="T12" ca="1">IF(OR(T$5="",$S12=""),"",IFERROR(INDEX(TotalApuestas!$A$1:$GL$50000,MATCH(Seguimiento!$S12,TotalApuestas!$B$1:$B$50000,0),MATCH("Equipos"&amp;Seguimiento!$S$1,Resultado!$4:$4,0)+COLUMNS($T$1:T$1)-1),0))</f>
        <v>Venezuela</v>
      </c>
      <c r="U12" s="171" t="str" cm="1">
        <f t="array" aca="1" ref="U12" ca="1">IF(OR(U$5="",$S12=""),"",IFERROR(INDEX(TotalApuestas!$A$1:$GL$50000,MATCH(Seguimiento!$S12,TotalApuestas!$B$1:$B$50000,0),MATCH("Equipos"&amp;Seguimiento!$S$1,Resultado!$4:$4,0)+COLUMNS($T$1:U$1)-1),0))</f>
        <v>Uruguay</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ISAAC BERMUDEZ</v>
      </c>
      <c r="D13" s="230">
        <f ca="1">IF($C13="","",INDEX(TotalApuestas!$A$1:$GL$50000,MATCH(Seguimiento!$C13,TotalApuestas!$B$1:$B$50000,0),MATCH(Seguimiento!D$1,Resultado!$2:$2,0)))</f>
        <v>3</v>
      </c>
      <c r="E13" s="231">
        <f t="shared" ca="1" si="6"/>
        <v>1</v>
      </c>
      <c r="F13" s="230" cm="1">
        <f t="array" aca="1" ref="F13" ca="1">IF($C13="","",INDEX(TotalApuestas!$A$1:$GL$50000,MATCH(Seguimiento!$C13,TotalApuestas!$B$1:$B$50000,0),MATCH(Seguimiento!D$1,Resultado!$2:$2,0)+1))</f>
        <v>1</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2</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Uruguay</v>
      </c>
      <c r="V13" s="171" t="str" cm="1">
        <f t="array" aca="1" ref="V13" ca="1">IF(OR(V$5="",$S13=""),"",IFERROR(INDEX(TotalApuestas!$A$1:$GL$50000,MATCH(Seguimiento!$S13,TotalApuestas!$B$1:$B$50000,0),MATCH("Equipos"&amp;Seguimiento!$S$1,Resultado!$4:$4,0)+COLUMNS($T$1:V$1)-1),0))</f>
        <v>Argentina</v>
      </c>
      <c r="W13" s="171" t="str" cm="1">
        <f t="array" aca="1" ref="W13" ca="1">IF(OR(W$5="",$S13=""),"",IFERROR(INDEX(TotalApuestas!$A$1:$GL$50000,MATCH(Seguimiento!$S13,TotalApuestas!$B$1:$B$50000,0),MATCH("Equipos"&amp;Seguimiento!$S$1,Resultado!$4:$4,0)+COLUMNS($T$1:W$1)-1),0))</f>
        <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Juan Diego De Abreu</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1</v>
      </c>
      <c r="H14" s="231" t="str">
        <f t="shared" ca="1" si="7"/>
        <v>X</v>
      </c>
      <c r="I14" s="233" cm="1">
        <f t="array" aca="1" ref="I14" ca="1">IF($C14="","",INDEX(TotalApuestas!$A$1:$GL$50000,MATCH(Seguimiento!$C14,TotalApuestas!$B$1:$B$50000,0),MATCH(Seguimiento!G$1,Resultado!$2:$2,0)+1))</f>
        <v>1</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1</v>
      </c>
      <c r="M14" s="232">
        <f ca="1">IF($C14="","",INDEX(TotalApuestas!$A$1:$GL$50000,MATCH(Seguimiento!$C14,TotalApuestas!$B$1:$B$50000,0),MATCH(Seguimiento!M$1,Resultado!$2:$2,0)))</f>
        <v>1</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Uruguay</v>
      </c>
      <c r="V14" s="171" t="str" cm="1">
        <f t="array" aca="1" ref="V14" ca="1">IF(OR(V$5="",$S14=""),"",IFERROR(INDEX(TotalApuestas!$A$1:$GL$50000,MATCH(Seguimiento!$S14,TotalApuestas!$B$1:$B$50000,0),MATCH("Equipos"&amp;Seguimiento!$S$1,Resultado!$4:$4,0)+COLUMNS($T$1:V$1)-1),0))</f>
        <v>Argentina</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YUTA</v>
      </c>
      <c r="D15" s="230">
        <f ca="1">IF($C15="","",INDEX(TotalApuestas!$A$1:$GL$50000,MATCH(Seguimiento!$C15,TotalApuestas!$B$1:$B$50000,0),MATCH(Seguimiento!D$1,Resultado!$2:$2,0)))</f>
        <v>1</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2</v>
      </c>
      <c r="J15" s="230">
        <f ca="1">IF($C15="","",INDEX(TotalApuestas!$A$1:$GL$50000,MATCH(Seguimiento!$C15,TotalApuestas!$B$1:$B$50000,0),MATCH(Seguimiento!J$1,Resultado!$2:$2,0)))</f>
        <v>1</v>
      </c>
      <c r="K15" s="231">
        <f t="shared" ca="1" si="8"/>
        <v>2</v>
      </c>
      <c r="L15" s="230" cm="1">
        <f t="array" aca="1" ref="L15" ca="1">IF($C15="","",INDEX(TotalApuestas!$A$1:$GL$50000,MATCH(Seguimiento!$C15,TotalApuestas!$B$1:$B$50000,0),MATCH(Seguimiento!J$1,Resultado!$2:$2,0)+1))</f>
        <v>2</v>
      </c>
      <c r="M15" s="232">
        <f ca="1">IF($C15="","",INDEX(TotalApuestas!$A$1:$GL$50000,MATCH(Seguimiento!$C15,TotalApuestas!$B$1:$B$50000,0),MATCH(Seguimiento!M$1,Resultado!$2:$2,0)))</f>
        <v>1</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 xml:space="preserve">Luis Rondón </v>
      </c>
      <c r="D16" s="230">
        <f ca="1">IF($C16="","",INDEX(TotalApuestas!$A$1:$GL$50000,MATCH(Seguimiento!$C16,TotalApuestas!$B$1:$B$50000,0),MATCH(Seguimiento!D$1,Resultado!$2:$2,0)))</f>
        <v>0</v>
      </c>
      <c r="E16" s="231">
        <f t="shared" ca="1" si="6"/>
        <v>2</v>
      </c>
      <c r="F16" s="230" cm="1">
        <f t="array" aca="1" ref="F16" ca="1">IF($C16="","",INDEX(TotalApuestas!$A$1:$GL$50000,MATCH(Seguimiento!$C16,TotalApuestas!$B$1:$B$50000,0),MATCH(Seguimiento!D$1,Resultado!$2:$2,0)+1))</f>
        <v>1</v>
      </c>
      <c r="G16" s="232">
        <f ca="1">IF($C16="","",INDEX(TotalApuestas!$A$1:$GL$50000,MATCH(Seguimiento!$C16,TotalApuestas!$B$1:$B$50000,0),MATCH(Seguimiento!G$1,Resultado!$2:$2,0)))</f>
        <v>2</v>
      </c>
      <c r="H16" s="231">
        <f t="shared" ca="1" si="7"/>
        <v>1</v>
      </c>
      <c r="I16" s="233" cm="1">
        <f t="array" aca="1" ref="I16" ca="1">IF($C16="","",INDEX(TotalApuestas!$A$1:$GL$50000,MATCH(Seguimiento!$C16,TotalApuestas!$B$1:$B$50000,0),MATCH(Seguimiento!G$1,Resultado!$2:$2,0)+1))</f>
        <v>1</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0</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0</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1</v>
      </c>
      <c r="K18" s="231">
        <f t="shared" ca="1" si="8"/>
        <v>2</v>
      </c>
      <c r="L18" s="230" cm="1">
        <f t="array" aca="1" ref="L18" ca="1">IF($C18="","",INDEX(TotalApuestas!$A$1:$GL$50000,MATCH(Seguimiento!$C18,TotalApuestas!$B$1:$B$50000,0),MATCH(Seguimiento!J$1,Resultado!$2:$2,0)+1))</f>
        <v>3</v>
      </c>
      <c r="M18" s="232">
        <f ca="1">IF($C18="","",INDEX(TotalApuestas!$A$1:$GL$50000,MATCH(Seguimiento!$C18,TotalApuestas!$B$1:$B$50000,0),MATCH(Seguimiento!M$1,Resultado!$2:$2,0)))</f>
        <v>1</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C17" sqref="C17"/>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 ca="1">Semis!H9</f>
        <v>Argentina</v>
      </c>
      <c r="CL3" s="191" t="str">
        <f ca="1">Semis!N9</f>
        <v>Canadá</v>
      </c>
      <c r="CM3" s="191" t="str">
        <f ca="1">Semis!H12</f>
        <v>Uruguay</v>
      </c>
      <c r="CN3" s="191" t="str">
        <f ca="1">Semis!N12</f>
        <v>Colombia</v>
      </c>
      <c r="CO3" s="191" t="str">
        <f ca="1">Final!H15</f>
        <v>Argentina</v>
      </c>
      <c r="CP3" s="191" t="str">
        <f ca="1">Final!N15</f>
        <v>Colombia</v>
      </c>
      <c r="CQ3" s="191" t="str">
        <f>Final!H22</f>
        <v/>
      </c>
      <c r="CR3" s="191">
        <f ca="1">VLOOKUP(CR2,Aux!$F:$O,9,0)</f>
        <v>1</v>
      </c>
      <c r="CS3" s="191">
        <f ca="1">VLOOKUP(CR2,Aux!$F:$O,10,0)</f>
        <v>1</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5</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f ca="1">VLOOKUP(DD2,Aux!$F:$O,9,0)</f>
        <v>2</v>
      </c>
      <c r="DE3" s="191">
        <f ca="1">VLOOKUP(DD2,Aux!$F:$O,10,0)</f>
        <v>0</v>
      </c>
      <c r="DF3" s="191">
        <f t="shared" ref="DF3" ca="1" si="27">IF(OR(DD3="",DE3=""),"",IF(DD3&gt;DE3,1,IF(DD3=DE3,"x",2)))</f>
        <v>1</v>
      </c>
      <c r="DG3" s="191">
        <f ca="1">VLOOKUP(DG2,Aux!$F:$O,9,0)</f>
        <v>0</v>
      </c>
      <c r="DH3" s="191">
        <f ca="1">VLOOKUP(DG2,Aux!$F:$O,10,0)</f>
        <v>1</v>
      </c>
      <c r="DI3" s="191">
        <f t="shared" ref="DI3" ca="1" si="28">IF(OR(DG3="",DH3=""),"",IF(DG3&gt;DH3,1,IF(DG3=DH3,"x",2)))</f>
        <v>2</v>
      </c>
      <c r="DJ3" s="191">
        <f ca="1">VLOOKUP(DJ2,Aux!$F:$O,9,0)</f>
        <v>2</v>
      </c>
      <c r="DK3" s="191">
        <f ca="1">VLOOKUP(DJ2,Aux!$F:$O,10,0)</f>
        <v>2</v>
      </c>
      <c r="DL3" s="191" t="str">
        <f t="shared" ref="DL3" ca="1" si="29">IF(OR(DJ3="",DK3=""),"",IF(DJ3&gt;DK3,1,IF(DJ3=DK3,"x",2)))</f>
        <v>x</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 ca="1">IF($B7=0,0,IF(COUNTIF($CK$3:$CN$3,TotalApuestas!CK2)=1,CK$5,0))</f>
        <v>25</v>
      </c>
      <c r="CL7">
        <f ca="1">IF($B7=0,0,IF(COUNTIF($CK$3:$CN$3,TotalApuestas!CL2)=1,CL$5,0))</f>
        <v>0</v>
      </c>
      <c r="CM7">
        <f ca="1">IF($B7=0,0,IF(COUNTIF($CK$3:$CN$3,TotalApuestas!CM2)=1,CM$5,0))</f>
        <v>25</v>
      </c>
      <c r="CN7">
        <f ca="1">IF($B7=0,0,IF(COUNTIF($CK$3:$CN$3,TotalApuestas!CN2)=1,CN$5,0))</f>
        <v>0</v>
      </c>
      <c r="CO7">
        <f ca="1">IF($B7=0,0,IF(COUNTIF($CO$3:$CP$3,TotalApuestas!CO2)=1,CO$5,0))</f>
        <v>30</v>
      </c>
      <c r="CP7">
        <f ca="1">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5</v>
      </c>
      <c r="DA7">
        <f ca="1">IF($B7=0,0,IF(DA$3=TotalApuestas!DA2,DA$5,0))</f>
        <v>0</v>
      </c>
      <c r="DB7">
        <f ca="1">IF($B7=0,0,IF(DB$3=TotalApuestas!DB2,DB$5,0))</f>
        <v>0</v>
      </c>
      <c r="DC7">
        <f ca="1">IF($B7=0,0,IF(AND(DA$3=TotalApuestas!DA2,Resultado!DB$3=TotalApuestas!DB2),Resultado!DC$5+VLOOKUP(DC$4&amp;"bonus",Aux!$W$1:$X$46,2,0),IF(DC$3=TotalApuestas!DC2,DC$5,0)))</f>
        <v>10</v>
      </c>
      <c r="DD7">
        <f ca="1">IF($B7=0,0,IF(DD$3=TotalApuestas!DD2,DD$5,0))</f>
        <v>0</v>
      </c>
      <c r="DE7">
        <f ca="1">IF($B7=0,0,IF(DE$3=TotalApuestas!DE2,DE$5,0))</f>
        <v>0</v>
      </c>
      <c r="DF7">
        <f ca="1">IF($B7=0,0,IF(AND(DD$3=TotalApuestas!DD2,Resultado!DE$3=TotalApuestas!DE2),Resultado!DF$5+VLOOKUP(DF$4&amp;"bonus",Aux!$W$1:$X$46,2,0),IF(DF$3=TotalApuestas!DF2,DF$5,0)))</f>
        <v>10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 ca="1">IF($B8=0,0,IF(COUNTIF($CK$3:$CN$3,TotalApuestas!CK3)=1,CK$5,0))</f>
        <v>25</v>
      </c>
      <c r="CL8">
        <f ca="1">IF($B8=0,0,IF(COUNTIF($CK$3:$CN$3,TotalApuestas!CL3)=1,CL$5,0))</f>
        <v>0</v>
      </c>
      <c r="CM8">
        <f ca="1">IF($B8=0,0,IF(COUNTIF($CK$3:$CN$3,TotalApuestas!CM3)=1,CM$5,0))</f>
        <v>25</v>
      </c>
      <c r="CN8">
        <f ca="1">IF($B8=0,0,IF(COUNTIF($CK$3:$CN$3,TotalApuestas!CN3)=1,CN$5,0))</f>
        <v>0</v>
      </c>
      <c r="CO8">
        <f ca="1">IF($B8=0,0,IF(COUNTIF($CO$3:$CP$3,TotalApuestas!CO3)=1,CO$5,0))</f>
        <v>30</v>
      </c>
      <c r="CP8">
        <f ca="1">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10</v>
      </c>
      <c r="CX8">
        <f ca="1">IF($B8=0,0,IF(CX$3=TotalApuestas!CX3,CX$5,0))</f>
        <v>0</v>
      </c>
      <c r="CY8">
        <f ca="1">IF($B8=0,0,IF(CY$3=TotalApuestas!CY3,CY$5,0))</f>
        <v>0</v>
      </c>
      <c r="CZ8">
        <f ca="1">IF($B8=0,0,IF(AND(CX$3=TotalApuestas!CX3,Resultado!CY$3=TotalApuestas!CY3),Resultado!CZ$5+VLOOKUP(CZ$4&amp;"bonus",Aux!$W$1:$X$46,2,0),IF(CZ$3=TotalApuestas!CZ3,CZ$5,0)))</f>
        <v>5</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5</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 ca="1">IF($B9=0,0,IF(COUNTIF($CK$3:$CN$3,TotalApuestas!CK4)=1,CK$5,0))</f>
        <v>25</v>
      </c>
      <c r="CL9">
        <f ca="1">IF($B9=0,0,IF(COUNTIF($CK$3:$CN$3,TotalApuestas!CL4)=1,CL$5,0))</f>
        <v>0</v>
      </c>
      <c r="CM9">
        <f ca="1">IF($B9=0,0,IF(COUNTIF($CK$3:$CN$3,TotalApuestas!CM4)=1,CM$5,0))</f>
        <v>25</v>
      </c>
      <c r="CN9">
        <f ca="1">IF($B9=0,0,IF(COUNTIF($CK$3:$CN$3,TotalApuestas!CN4)=1,CN$5,0))</f>
        <v>25</v>
      </c>
      <c r="CO9">
        <f ca="1">IF($B9=0,0,IF(COUNTIF($CO$3:$CP$3,TotalApuestas!CO4)=1,CO$5,0))</f>
        <v>30</v>
      </c>
      <c r="CP9">
        <f ca="1">IF($B9=0,0,IF(COUNTIF($CO$3:$CP$3,TotalApuestas!CP4)=1,CP$5,0))</f>
        <v>30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5</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5</v>
      </c>
      <c r="DG9">
        <f ca="1">IF($B9=0,0,IF(DG$3=TotalApuestas!DG4,DG$5,0))</f>
        <v>0</v>
      </c>
      <c r="DH9">
        <f ca="1">IF($B9=0,0,IF(DH$3=TotalApuestas!DH4,DH$5,0))</f>
        <v>0</v>
      </c>
      <c r="DI9">
        <f ca="1">IF($B9=0,0,IF(AND(DG$3=TotalApuestas!DG4,Resultado!DH$3=TotalApuestas!DH4),Resultado!DI$5+VLOOKUP(DI$4&amp;"bonus",Aux!$W$1:$X$46,2,0),IF(DI$3=TotalApuestas!DI4,DI$5,0)))</f>
        <v>5</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 ca="1">IF($B10=0,0,IF(COUNTIF($CK$3:$CN$3,TotalApuestas!CK5)=1,CK$5,0))</f>
        <v>25</v>
      </c>
      <c r="CL10">
        <f ca="1">IF($B10=0,0,IF(COUNTIF($CK$3:$CN$3,TotalApuestas!CL5)=1,CL$5,0))</f>
        <v>0</v>
      </c>
      <c r="CM10">
        <f ca="1">IF($B10=0,0,IF(COUNTIF($CK$3:$CN$3,TotalApuestas!CM5)=1,CM$5,0))</f>
        <v>25</v>
      </c>
      <c r="CN10">
        <f ca="1">IF($B10=0,0,IF(COUNTIF($CK$3:$CN$3,TotalApuestas!CN5)=1,CN$5,0))</f>
        <v>0</v>
      </c>
      <c r="CO10">
        <f ca="1">IF($B10=0,0,IF(COUNTIF($CO$3:$CP$3,TotalApuestas!CO5)=1,CO$5,0))</f>
        <v>30</v>
      </c>
      <c r="CP10">
        <f ca="1">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5</v>
      </c>
      <c r="CU10">
        <f ca="1">IF($B10=0,0,IF(CU$3=TotalApuestas!CU5,CU$5,0))</f>
        <v>0</v>
      </c>
      <c r="CV10">
        <f ca="1">IF($B10=0,0,IF(CV$3=TotalApuestas!CV5,CV$5,0))</f>
        <v>0</v>
      </c>
      <c r="CW10">
        <f ca="1">IF($B10=0,0,IF(AND(CU$3=TotalApuestas!CU5,Resultado!CV$3=TotalApuestas!CV5),Resultado!CW$5+VLOOKUP(CW$4&amp;"bonus",Aux!$W$1:$X$46,2,0),IF(CW$3=TotalApuestas!CW5,CW$5,0)))</f>
        <v>10</v>
      </c>
      <c r="CX10">
        <f ca="1">IF($B10=0,0,IF(CX$3=TotalApuestas!CX5,CX$5,0))</f>
        <v>0</v>
      </c>
      <c r="CY10">
        <f ca="1">IF($B10=0,0,IF(CY$3=TotalApuestas!CY5,CY$5,0))</f>
        <v>0</v>
      </c>
      <c r="CZ10">
        <f ca="1">IF($B10=0,0,IF(AND(CX$3=TotalApuestas!CX5,Resultado!CY$3=TotalApuestas!CY5),Resultado!CZ$5+VLOOKUP(CZ$4&amp;"bonus",Aux!$W$1:$X$46,2,0),IF(CZ$3=TotalApuestas!CZ5,CZ$5,0)))</f>
        <v>5</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5</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 ca="1">IF($B11=0,0,IF(COUNTIF($CK$3:$CN$3,TotalApuestas!CK6)=1,CK$5,0))</f>
        <v>25</v>
      </c>
      <c r="CL11">
        <f ca="1">IF($B11=0,0,IF(COUNTIF($CK$3:$CN$3,TotalApuestas!CL6)=1,CL$5,0))</f>
        <v>0</v>
      </c>
      <c r="CM11">
        <f ca="1">IF($B11=0,0,IF(COUNTIF($CK$3:$CN$3,TotalApuestas!CM6)=1,CM$5,0))</f>
        <v>25</v>
      </c>
      <c r="CN11">
        <f ca="1">IF($B11=0,0,IF(COUNTIF($CK$3:$CN$3,TotalApuestas!CN6)=1,CN$5,0))</f>
        <v>0</v>
      </c>
      <c r="CO11">
        <f ca="1">IF($B11=0,0,IF(COUNTIF($CO$3:$CP$3,TotalApuestas!CO6)=1,CO$5,0))</f>
        <v>30</v>
      </c>
      <c r="CP11">
        <f ca="1">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10</v>
      </c>
      <c r="CX11">
        <f ca="1">IF($B11=0,0,IF(CX$3=TotalApuestas!CX6,CX$5,0))</f>
        <v>0</v>
      </c>
      <c r="CY11">
        <f ca="1">IF($B11=0,0,IF(CY$3=TotalApuestas!CY6,CY$5,0))</f>
        <v>0</v>
      </c>
      <c r="CZ11">
        <f ca="1">IF($B11=0,0,IF(AND(CX$3=TotalApuestas!CX6,Resultado!CY$3=TotalApuestas!CY6),Resultado!CZ$5+VLOOKUP(CZ$4&amp;"bonus",Aux!$W$1:$X$46,2,0),IF(CZ$3=TotalApuestas!CZ6,CZ$5,0)))</f>
        <v>5</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5</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 ca="1">IF($B12=0,0,IF(COUNTIF($CK$3:$CN$3,TotalApuestas!CK7)=1,CK$5,0))</f>
        <v>25</v>
      </c>
      <c r="CL12">
        <f ca="1">IF($B12=0,0,IF(COUNTIF($CK$3:$CN$3,TotalApuestas!CL7)=1,CL$5,0))</f>
        <v>0</v>
      </c>
      <c r="CM12">
        <f ca="1">IF($B12=0,0,IF(COUNTIF($CK$3:$CN$3,TotalApuestas!CM7)=1,CM$5,0))</f>
        <v>25</v>
      </c>
      <c r="CN12">
        <f ca="1">IF($B12=0,0,IF(COUNTIF($CK$3:$CN$3,TotalApuestas!CN7)=1,CN$5,0))</f>
        <v>0</v>
      </c>
      <c r="CO12">
        <f ca="1">IF($B12=0,0,IF(COUNTIF($CO$3:$CP$3,TotalApuestas!CO7)=1,CO$5,0))</f>
        <v>30</v>
      </c>
      <c r="CP12">
        <f ca="1">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10</v>
      </c>
      <c r="CX12">
        <f ca="1">IF($B12=0,0,IF(CX$3=TotalApuestas!CX7,CX$5,0))</f>
        <v>0</v>
      </c>
      <c r="CY12">
        <f ca="1">IF($B12=0,0,IF(CY$3=TotalApuestas!CY7,CY$5,0))</f>
        <v>0</v>
      </c>
      <c r="CZ12">
        <f ca="1">IF($B12=0,0,IF(AND(CX$3=TotalApuestas!CX7,Resultado!CY$3=TotalApuestas!CY7),Resultado!CZ$5+VLOOKUP(CZ$4&amp;"bonus",Aux!$W$1:$X$46,2,0),IF(CZ$3=TotalApuestas!CZ7,CZ$5,0)))</f>
        <v>5</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10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 ca="1">IF($B13=0,0,IF(COUNTIF($CK$3:$CN$3,TotalApuestas!CK8)=1,CK$5,0))</f>
        <v>25</v>
      </c>
      <c r="CL13">
        <f ca="1">IF($B13=0,0,IF(COUNTIF($CK$3:$CN$3,TotalApuestas!CL8)=1,CL$5,0))</f>
        <v>0</v>
      </c>
      <c r="CM13">
        <f ca="1">IF($B13=0,0,IF(COUNTIF($CK$3:$CN$3,TotalApuestas!CM8)=1,CM$5,0))</f>
        <v>25</v>
      </c>
      <c r="CN13">
        <f ca="1">IF($B13=0,0,IF(COUNTIF($CK$3:$CN$3,TotalApuestas!CN8)=1,CN$5,0))</f>
        <v>25</v>
      </c>
      <c r="CO13">
        <f ca="1">IF($B13=0,0,IF(COUNTIF($CO$3:$CP$3,TotalApuestas!CO8)=1,CO$5,0))</f>
        <v>30</v>
      </c>
      <c r="CP13">
        <f ca="1">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5</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10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 ca="1">IF($B14=0,0,IF(COUNTIF($CK$3:$CN$3,TotalApuestas!CK9)=1,CK$5,0))</f>
        <v>25</v>
      </c>
      <c r="CL14">
        <f ca="1">IF($B14=0,0,IF(COUNTIF($CK$3:$CN$3,TotalApuestas!CL9)=1,CL$5,0))</f>
        <v>0</v>
      </c>
      <c r="CM14">
        <f ca="1">IF($B14=0,0,IF(COUNTIF($CK$3:$CN$3,TotalApuestas!CM9)=1,CM$5,0))</f>
        <v>25</v>
      </c>
      <c r="CN14">
        <f ca="1">IF($B14=0,0,IF(COUNTIF($CK$3:$CN$3,TotalApuestas!CN9)=1,CN$5,0))</f>
        <v>0</v>
      </c>
      <c r="CO14">
        <f ca="1">IF($B14=0,0,IF(COUNTIF($CO$3:$CP$3,TotalApuestas!CO9)=1,CO$5,0))</f>
        <v>0</v>
      </c>
      <c r="CP14">
        <f ca="1">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5</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 ca="1">IF($B15=0,0,IF(COUNTIF($CK$3:$CN$3,TotalApuestas!CK10)=1,CK$5,0))</f>
        <v>25</v>
      </c>
      <c r="CL15">
        <f ca="1">IF($B15=0,0,IF(COUNTIF($CK$3:$CN$3,TotalApuestas!CL10)=1,CL$5,0))</f>
        <v>25</v>
      </c>
      <c r="CM15">
        <f ca="1">IF($B15=0,0,IF(COUNTIF($CK$3:$CN$3,TotalApuestas!CM10)=1,CM$5,0))</f>
        <v>25</v>
      </c>
      <c r="CN15">
        <f ca="1">IF($B15=0,0,IF(COUNTIF($CK$3:$CN$3,TotalApuestas!CN10)=1,CN$5,0))</f>
        <v>0</v>
      </c>
      <c r="CO15">
        <f ca="1">IF($B15=0,0,IF(COUNTIF($CO$3:$CP$3,TotalApuestas!CO10)=1,CO$5,0))</f>
        <v>30</v>
      </c>
      <c r="CP15">
        <f ca="1">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10</v>
      </c>
      <c r="CX15">
        <f ca="1">IF($B15=0,0,IF(CX$3=TotalApuestas!CX10,CX$5,0))</f>
        <v>0</v>
      </c>
      <c r="CY15">
        <f ca="1">IF($B15=0,0,IF(CY$3=TotalApuestas!CY10,CY$5,0))</f>
        <v>0</v>
      </c>
      <c r="CZ15">
        <f ca="1">IF($B15=0,0,IF(AND(CX$3=TotalApuestas!CX10,Resultado!CY$3=TotalApuestas!CY10),Resultado!CZ$5+VLOOKUP(CZ$4&amp;"bonus",Aux!$W$1:$X$46,2,0),IF(CZ$3=TotalApuestas!CZ10,CZ$5,0)))</f>
        <v>5</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10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 ca="1">+Resultado!CK3</f>
        <v>Argentina</v>
      </c>
      <c r="CL1" s="84" t="str">
        <f ca="1">+Resultado!CL3</f>
        <v>Canadá</v>
      </c>
      <c r="CM1" s="84" t="str">
        <f ca="1">+Resultado!CM3</f>
        <v>Uruguay</v>
      </c>
      <c r="CN1" s="84" t="str">
        <f ca="1">+Resultado!CN3</f>
        <v>Colombia</v>
      </c>
      <c r="CO1" s="84" t="str">
        <f ca="1">+Resultado!CO3</f>
        <v>Argentina</v>
      </c>
      <c r="CP1" s="84" t="str">
        <f ca="1">+Resultado!CP3</f>
        <v>Colombia</v>
      </c>
      <c r="CQ1" s="84" t="str">
        <f>+Resultado!CQ3</f>
        <v/>
      </c>
      <c r="CR1" s="84">
        <f ca="1">+Resultado!CR3</f>
        <v>1</v>
      </c>
      <c r="CS1" s="84">
        <f ca="1">+Resultado!CS3</f>
        <v>1</v>
      </c>
      <c r="CT1" s="84" t="str">
        <f ca="1">+Resultado!CT3</f>
        <v>x</v>
      </c>
      <c r="CU1" s="84">
        <f ca="1">+Resultado!CU3</f>
        <v>1</v>
      </c>
      <c r="CV1" s="84">
        <f ca="1">+Resultado!CV3</f>
        <v>1</v>
      </c>
      <c r="CW1" s="84" t="str">
        <f ca="1">+Resultado!CW3</f>
        <v>x</v>
      </c>
      <c r="CX1" s="84">
        <f ca="1">+Resultado!CX3</f>
        <v>5</v>
      </c>
      <c r="CY1" s="84">
        <f ca="1">+Resultado!CY3</f>
        <v>0</v>
      </c>
      <c r="CZ1" s="84">
        <f ca="1">+Resultado!CZ3</f>
        <v>1</v>
      </c>
      <c r="DA1" s="84">
        <f ca="1">+Resultado!DA3</f>
        <v>0</v>
      </c>
      <c r="DB1" s="84">
        <f ca="1">+Resultado!DB3</f>
        <v>0</v>
      </c>
      <c r="DC1" s="84" t="str">
        <f ca="1">+Resultado!DC3</f>
        <v>x</v>
      </c>
      <c r="DD1" s="84">
        <f ca="1">+Resultado!DD3</f>
        <v>2</v>
      </c>
      <c r="DE1" s="84">
        <f ca="1">+Resultado!DE3</f>
        <v>0</v>
      </c>
      <c r="DF1" s="84">
        <f ca="1">+Resultado!DF3</f>
        <v>1</v>
      </c>
      <c r="DG1" s="84">
        <f ca="1">+Resultado!DG3</f>
        <v>0</v>
      </c>
      <c r="DH1" s="84">
        <f ca="1">+Resultado!DH3</f>
        <v>1</v>
      </c>
      <c r="DI1" s="84">
        <f ca="1">+Resultado!DI3</f>
        <v>2</v>
      </c>
      <c r="DJ1" s="84">
        <f ca="1">+Resultado!DJ3</f>
        <v>2</v>
      </c>
      <c r="DK1" s="84">
        <f ca="1">+Resultado!DK3</f>
        <v>2</v>
      </c>
      <c r="DL1" s="84" t="str">
        <f ca="1">+Resultado!DL3</f>
        <v>x</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2024-07-14T05:30:18Z</dcterms:modified>
</cp:coreProperties>
</file>