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6"/>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8_{FCE0BF32-0237-EA4F-B566-DA921B67FB64}" xr6:coauthVersionLast="47" xr6:coauthVersionMax="47" xr10:uidLastSave="{00000000-0000-0000-0000-000000000000}"/>
  <bookViews>
    <workbookView xWindow="-120" yWindow="-120" windowWidth="29040" windowHeight="15720"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Q15" i="38"/>
  <c r="CU15" i="38"/>
  <c r="CV15" i="38"/>
  <c r="CW15" i="38"/>
  <c r="CX15" i="38"/>
  <c r="CY15" i="38"/>
  <c r="CZ15" i="38"/>
  <c r="DA15" i="38"/>
  <c r="DB15" i="38"/>
  <c r="DC15" i="38"/>
  <c r="DD15" i="38"/>
  <c r="DE15" i="38"/>
  <c r="DF15" i="38"/>
  <c r="DG15" i="38"/>
  <c r="DH15" i="38"/>
  <c r="DI15" i="38"/>
  <c r="DJ15" i="38"/>
  <c r="DK15" i="38"/>
  <c r="DL15" i="38"/>
  <c r="DM15" i="38"/>
  <c r="DN15" i="38"/>
  <c r="DO15"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T15" i="38"/>
  <c r="CS15" i="38"/>
  <c r="CR15" i="38"/>
  <c r="CP15"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5"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5" i="38"/>
  <c r="CL15" i="38"/>
  <c r="CM15" i="38"/>
  <c r="CN15"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5" i="38"/>
  <c r="CD15" i="38"/>
  <c r="CE15" i="38"/>
  <c r="CF15" i="38"/>
  <c r="CG15" i="38"/>
  <c r="CH15" i="38"/>
  <c r="CI15" i="38"/>
  <c r="CJ15"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N29" i="1"/>
  <c r="N30" i="1"/>
  <c r="N26" i="1"/>
  <c r="O28" i="1"/>
  <c r="O27" i="1"/>
  <c r="O32" i="1"/>
  <c r="O30" i="1"/>
  <c r="O31" i="1"/>
  <c r="N32" i="1"/>
  <c r="O33" i="1"/>
  <c r="N28" i="1"/>
  <c r="N27" i="1"/>
  <c r="O29" i="1"/>
  <c r="N31" i="1"/>
  <c r="O26" i="1"/>
  <c r="N33" i="1"/>
  <c r="CB51" i="38"/>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CB15" i="38"/>
  <c r="CA15" i="38"/>
  <c r="BZ15" i="38"/>
  <c r="BY15"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c r="AU7" i="46"/>
  <c r="AD13" i="46"/>
  <c r="AD11" i="46"/>
  <c r="AD9" i="46"/>
  <c r="AD15" i="45"/>
  <c r="AU7" i="45"/>
  <c r="AD13" i="45"/>
  <c r="AD11" i="45"/>
  <c r="AD9" i="45"/>
  <c r="AD15" i="44"/>
  <c r="AU7" i="44"/>
  <c r="AD13" i="44"/>
  <c r="AD11" i="44"/>
  <c r="AS7" i="44"/>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c r="AR7" i="46"/>
  <c r="AS7" i="46"/>
  <c r="AT7" i="46"/>
  <c r="AR7" i="45"/>
  <c r="AS7" i="45"/>
  <c r="AT7" i="45"/>
  <c r="AR7" i="44"/>
  <c r="AT7" i="44"/>
  <c r="T5" i="40" a="1"/>
  <c r="D1" i="40"/>
  <c r="C6" i="39"/>
  <c r="C7" i="39"/>
  <c r="C8" i="39"/>
  <c r="C9" i="39"/>
  <c r="C10" i="39"/>
  <c r="B51" i="38"/>
  <c r="B50" i="38"/>
  <c r="B49" i="38"/>
  <c r="B48" i="38"/>
  <c r="AF47" i="38"/>
  <c r="B47" i="38"/>
  <c r="B46" i="38"/>
  <c r="B45" i="38"/>
  <c r="B44" i="38"/>
  <c r="B43" i="38"/>
  <c r="B42" i="38"/>
  <c r="B41" i="38"/>
  <c r="B40" i="38"/>
  <c r="BB39" i="38"/>
  <c r="U39" i="38"/>
  <c r="K39" i="38"/>
  <c r="B39" i="38"/>
  <c r="B38" i="38"/>
  <c r="BD38" i="38"/>
  <c r="B37" i="38"/>
  <c r="B36" i="38"/>
  <c r="O35" i="38"/>
  <c r="H35" i="38"/>
  <c r="B35" i="38"/>
  <c r="B34" i="38"/>
  <c r="B33" i="38"/>
  <c r="H32" i="38"/>
  <c r="B32" i="38"/>
  <c r="BV32" i="38"/>
  <c r="B31" i="38"/>
  <c r="B30" i="38"/>
  <c r="B29" i="38"/>
  <c r="AU29" i="38"/>
  <c r="B28" i="38"/>
  <c r="AP27" i="38"/>
  <c r="B27" i="38"/>
  <c r="O27" i="38"/>
  <c r="AS26" i="38"/>
  <c r="AI26" i="38"/>
  <c r="B26" i="38"/>
  <c r="B25" i="38"/>
  <c r="AU25" i="38"/>
  <c r="B24" i="38"/>
  <c r="B23" i="38"/>
  <c r="B22" i="38"/>
  <c r="B21" i="38"/>
  <c r="B20" i="38"/>
  <c r="BT19" i="38"/>
  <c r="BG19" i="38"/>
  <c r="B19" i="38"/>
  <c r="B18" i="38"/>
  <c r="BW18" i="38"/>
  <c r="I17" i="38"/>
  <c r="B17" i="38"/>
  <c r="Z16" i="38"/>
  <c r="X16" i="38"/>
  <c r="I16" i="38"/>
  <c r="B16" i="38"/>
  <c r="B15" i="38"/>
  <c r="B14" i="38"/>
  <c r="B13" i="38"/>
  <c r="B12" i="38"/>
  <c r="B11" i="38"/>
  <c r="B10" i="38"/>
  <c r="B9" i="38"/>
  <c r="B8" i="38"/>
  <c r="B7" i="38"/>
  <c r="D6" i="40"/>
  <c r="D5" i="40"/>
  <c r="E6" i="40"/>
  <c r="E7" i="40"/>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BS15"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BI15" i="38"/>
  <c r="M15" i="38"/>
  <c r="AW15" i="38"/>
  <c r="AN15" i="38"/>
  <c r="BL15" i="38"/>
  <c r="BF15" i="38"/>
  <c r="BC15" i="38"/>
  <c r="AZ15" i="38"/>
  <c r="AT15" i="38"/>
  <c r="AQ15" i="38"/>
  <c r="AK15" i="38"/>
  <c r="AH15" i="38"/>
  <c r="AE15" i="38"/>
  <c r="AB15" i="38"/>
  <c r="Y15" i="38"/>
  <c r="V15" i="38"/>
  <c r="BX15" i="38"/>
  <c r="S15" i="38"/>
  <c r="BU15" i="38"/>
  <c r="P15" i="38"/>
  <c r="BO15" i="38"/>
  <c r="J15" i="38"/>
  <c r="G15" i="38"/>
  <c r="BR15" i="38"/>
  <c r="AJ15"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H15"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BH15"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L15" i="38"/>
  <c r="AU15" i="38"/>
  <c r="R15" i="39"/>
  <c r="AB15" i="39"/>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O15" i="38"/>
  <c r="AX15" i="38"/>
  <c r="U18" i="38"/>
  <c r="BB18" i="38"/>
  <c r="R15" i="38"/>
  <c r="AY15" i="38"/>
  <c r="BD18" i="38"/>
  <c r="BE23" i="38"/>
  <c r="BB24" i="38"/>
  <c r="BA15" i="38"/>
  <c r="X18" i="38"/>
  <c r="BH23" i="38"/>
  <c r="BD24" i="38"/>
  <c r="U15" i="38"/>
  <c r="Z18" i="38"/>
  <c r="BH18" i="38"/>
  <c r="W15" i="38"/>
  <c r="BE15" i="38"/>
  <c r="BK18" i="38"/>
  <c r="R21" i="39"/>
  <c r="AB21" i="39"/>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AC15" i="38"/>
  <c r="BM15" i="38"/>
  <c r="U17" i="38"/>
  <c r="AJ18" i="38"/>
  <c r="BQ18" i="38"/>
  <c r="O23" i="38"/>
  <c r="N24" i="38"/>
  <c r="BW24" i="38"/>
  <c r="AG15" i="38"/>
  <c r="BN15" i="38"/>
  <c r="R16" i="39"/>
  <c r="AB16" i="39"/>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P15" i="38"/>
  <c r="BG17" i="38"/>
  <c r="E18" i="38"/>
  <c r="AM18" i="38"/>
  <c r="BV18" i="38"/>
  <c r="X23" i="38"/>
  <c r="X24" i="38"/>
  <c r="AI29" i="38"/>
  <c r="R13" i="39"/>
  <c r="AB13" i="39"/>
  <c r="BW15" i="38"/>
  <c r="BG15" i="38"/>
  <c r="AA15" i="38"/>
  <c r="K15" i="38"/>
  <c r="BB15" i="38"/>
  <c r="AL15" i="38"/>
  <c r="F15" i="38"/>
  <c r="AV15" i="38"/>
  <c r="AF15" i="38"/>
  <c r="BJ15" i="38"/>
  <c r="AD15" i="38"/>
  <c r="N15" i="38"/>
  <c r="I15" i="38"/>
  <c r="BQ15" i="38"/>
  <c r="Z15" i="38"/>
  <c r="E15" i="38"/>
  <c r="AS15" i="38"/>
  <c r="X15" i="38"/>
  <c r="BK15" i="38"/>
  <c r="AO15" i="38"/>
  <c r="T15" i="38"/>
  <c r="Q15" i="38"/>
  <c r="BD15" i="38"/>
  <c r="AI15" i="38"/>
  <c r="AM15" i="38"/>
  <c r="BT15" i="38"/>
  <c r="BV15" i="38"/>
  <c r="K18" i="38"/>
  <c r="AS18" i="38"/>
  <c r="AI24" i="38"/>
  <c r="AP15" i="38"/>
  <c r="AU18" i="38"/>
  <c r="AR15" i="38"/>
  <c r="O18" i="38"/>
  <c r="AX18" i="38"/>
  <c r="AP23" i="38"/>
  <c r="BM29" i="38"/>
  <c r="N16" i="38"/>
  <c r="AJ16" i="38"/>
  <c r="BE16" i="38"/>
  <c r="R20" i="39"/>
  <c r="AB20" i="39"/>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c r="H6" i="40"/>
  <c r="H7" i="40"/>
  <c r="G6" i="40"/>
  <c r="I6" i="40"/>
  <c r="J1" i="40"/>
  <c r="C12" i="39"/>
  <c r="J5" i="40"/>
  <c r="L6" i="40"/>
  <c r="K6" i="40"/>
  <c r="K7" i="40"/>
  <c r="J6" i="40"/>
  <c r="C13" i="39"/>
  <c r="M1" i="40"/>
  <c r="O6" i="40"/>
  <c r="M5" i="40"/>
  <c r="N6" i="40"/>
  <c r="N7" i="40"/>
  <c r="M6" i="40"/>
  <c r="C14" i="39"/>
  <c r="C15" i="39"/>
  <c r="C16" i="39"/>
  <c r="C17" i="39"/>
  <c r="C18" i="39"/>
  <c r="C19" i="39"/>
  <c r="C20" i="39"/>
  <c r="C21" i="39"/>
  <c r="C22" i="39"/>
  <c r="C23" i="39"/>
  <c r="C24" i="39"/>
  <c r="C25" i="39"/>
  <c r="C26" i="39"/>
  <c r="Q9" i="35"/>
  <c r="Q15" i="35"/>
  <c r="Q9" i="34"/>
  <c r="C12" i="34"/>
  <c r="C15" i="33"/>
  <c r="C12" i="33"/>
  <c r="Q9" i="33"/>
  <c r="Q12" i="34"/>
  <c r="Q15" i="33"/>
  <c r="C18" i="33"/>
  <c r="Q12" i="33"/>
  <c r="Q18" i="33"/>
  <c r="I3" i="1"/>
  <c r="B8" i="4" a="1"/>
  <c r="B8" i="4"/>
  <c r="I4" i="1"/>
  <c r="B8" i="44" a="1"/>
  <c r="B8" i="44"/>
  <c r="I5" i="1"/>
  <c r="I6" i="1"/>
  <c r="B8" i="45" a="1"/>
  <c r="B8" i="45"/>
  <c r="I7" i="1"/>
  <c r="I8" i="1"/>
  <c r="B8" i="46" a="1"/>
  <c r="B8" i="46"/>
  <c r="I9" i="1"/>
  <c r="I10" i="1"/>
  <c r="I11" i="1"/>
  <c r="I12" i="1"/>
  <c r="I13" i="1"/>
  <c r="I14" i="1"/>
  <c r="I15" i="1"/>
  <c r="I16" i="1"/>
  <c r="I17" i="1"/>
  <c r="I18" i="1"/>
  <c r="I19" i="1"/>
  <c r="I20" i="1"/>
  <c r="I21" i="1"/>
  <c r="I22" i="1"/>
  <c r="I23" i="1"/>
  <c r="I24" i="1"/>
  <c r="I25" i="1"/>
  <c r="I26" i="1"/>
  <c r="I27" i="1"/>
  <c r="I28" i="1"/>
  <c r="I29" i="1"/>
  <c r="I30" i="1"/>
  <c r="I31" i="1"/>
  <c r="I32" i="1"/>
  <c r="I33" i="1"/>
  <c r="N15" i="1"/>
  <c r="O21" i="1"/>
  <c r="O10" i="1"/>
  <c r="O8" i="1"/>
  <c r="N11" i="1"/>
  <c r="N19" i="1"/>
  <c r="N16" i="1"/>
  <c r="N24" i="1"/>
  <c r="O13" i="1"/>
  <c r="O12" i="1"/>
  <c r="O25" i="1"/>
  <c r="O22" i="1"/>
  <c r="O3" i="1"/>
  <c r="O15" i="1"/>
  <c r="O16" i="1"/>
  <c r="N25" i="1"/>
  <c r="O24" i="1"/>
  <c r="N17" i="1"/>
  <c r="O11" i="1"/>
  <c r="N10" i="1"/>
  <c r="O9" i="1"/>
  <c r="O6" i="1"/>
  <c r="N18" i="1"/>
  <c r="N4" i="1"/>
  <c r="N23" i="1"/>
  <c r="O17" i="1"/>
  <c r="N3" i="1"/>
  <c r="O18" i="1"/>
  <c r="N14" i="1"/>
  <c r="N12" i="1"/>
  <c r="N21" i="1"/>
  <c r="N7" i="1"/>
  <c r="O4" i="1"/>
  <c r="O14" i="1"/>
  <c r="O2" i="1"/>
  <c r="N6" i="1"/>
  <c r="N13" i="1"/>
  <c r="O19" i="1"/>
  <c r="O7" i="1"/>
  <c r="N22" i="1"/>
  <c r="O20" i="1"/>
  <c r="N20" i="1"/>
  <c r="O5" i="1"/>
  <c r="N2" i="1"/>
  <c r="N9" i="1"/>
  <c r="N8" i="1"/>
  <c r="O23" i="1"/>
  <c r="N5" i="1"/>
  <c r="CU3" i="38"/>
  <c r="DG3" i="38"/>
  <c r="CX3" i="38"/>
  <c r="DN3" i="38"/>
  <c r="DK3" i="38"/>
  <c r="DD3" i="38"/>
  <c r="DJ3" i="38"/>
  <c r="DA3" i="38"/>
  <c r="DH3" i="38"/>
  <c r="DE3" i="38"/>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c r="DL3" i="38"/>
  <c r="DL10" i="38"/>
  <c r="DJ1" i="36"/>
  <c r="DF3" i="38"/>
  <c r="DF1" i="36"/>
  <c r="DM1" i="36"/>
  <c r="DI3" i="38"/>
  <c r="DI1" i="36"/>
  <c r="BJ3" i="38"/>
  <c r="W3" i="38"/>
  <c r="AY3" i="38"/>
  <c r="BP3" i="38"/>
  <c r="K3" i="38"/>
  <c r="AP3" i="38"/>
  <c r="AR3" i="38"/>
  <c r="AJ3" i="38"/>
  <c r="BS3" i="38"/>
  <c r="AV3" i="38"/>
  <c r="BN3" i="38"/>
  <c r="BK3" i="38"/>
  <c r="BV3" i="38"/>
  <c r="N3" i="38"/>
  <c r="BH3" i="38"/>
  <c r="L3" i="38"/>
  <c r="AX3" i="38"/>
  <c r="BW3" i="38"/>
  <c r="R3" i="38"/>
  <c r="Q3" i="38"/>
  <c r="T3" i="38"/>
  <c r="Z3" i="38"/>
  <c r="AS3" i="38"/>
  <c r="BG3" i="38"/>
  <c r="AU3" i="38"/>
  <c r="U3" i="38"/>
  <c r="AA3" i="38"/>
  <c r="AO3" i="38"/>
  <c r="AL3" i="38"/>
  <c r="BT3" i="38"/>
  <c r="BM3" i="38"/>
  <c r="AM3" i="38"/>
  <c r="O3" i="38"/>
  <c r="BQ3" i="38"/>
  <c r="AI3" i="38"/>
  <c r="X3" i="38"/>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c r="AU15" i="44" a="1"/>
  <c r="AU15" i="44"/>
  <c r="F9" i="44"/>
  <c r="AG15" i="44" a="1"/>
  <c r="AG15" i="44"/>
  <c r="AT13" i="44" a="1"/>
  <c r="AT13" i="44"/>
  <c r="AS11" i="44" a="1"/>
  <c r="AS11" i="44"/>
  <c r="AH9" i="44" a="1"/>
  <c r="AH9" i="44"/>
  <c r="AJ9" i="44" a="1"/>
  <c r="AJ9" i="44"/>
  <c r="AU13" i="44" a="1"/>
  <c r="AU13" i="44"/>
  <c r="AK9" i="44" a="1"/>
  <c r="AK9" i="44"/>
  <c r="AS15" i="44" a="1"/>
  <c r="AS15" i="44"/>
  <c r="AK13" i="44" a="1"/>
  <c r="AK13" i="44"/>
  <c r="AT15" i="44" a="1"/>
  <c r="AT15" i="44"/>
  <c r="AG11" i="44" a="1"/>
  <c r="AG11" i="44"/>
  <c r="AS13" i="44" a="1"/>
  <c r="AS13" i="44"/>
  <c r="AH11" i="44" a="1"/>
  <c r="AH11" i="44"/>
  <c r="AR11" i="44" a="1"/>
  <c r="AR11" i="44"/>
  <c r="AT11" i="44" a="1"/>
  <c r="AT11" i="44"/>
  <c r="AJ15" i="44" a="1"/>
  <c r="AJ15" i="44"/>
  <c r="AI13" i="44" a="1"/>
  <c r="AI13" i="44"/>
  <c r="AU9" i="44" a="1"/>
  <c r="AU9" i="44"/>
  <c r="AH13" i="44" a="1"/>
  <c r="AH13" i="44"/>
  <c r="AI11" i="44" a="1"/>
  <c r="AI11" i="44"/>
  <c r="AU11" i="44" a="1"/>
  <c r="AU11" i="44"/>
  <c r="AR13" i="44" a="1"/>
  <c r="AR13" i="44"/>
  <c r="AS9" i="44" a="1"/>
  <c r="AS9" i="44"/>
  <c r="AI15" i="44" a="1"/>
  <c r="AI15" i="44"/>
  <c r="AK11" i="44" a="1"/>
  <c r="AK11" i="44"/>
  <c r="AR15" i="44" a="1"/>
  <c r="AR15" i="44"/>
  <c r="AI9" i="44" a="1"/>
  <c r="AI9" i="44"/>
  <c r="AJ11" i="44" a="1"/>
  <c r="AJ11" i="44"/>
  <c r="AJ13" i="44" a="1"/>
  <c r="AJ13" i="44"/>
  <c r="AK15" i="44" a="1"/>
  <c r="AK15" i="44"/>
  <c r="AT9" i="44" a="1"/>
  <c r="AT9" i="44"/>
  <c r="AH15" i="44" a="1"/>
  <c r="AH15" i="44"/>
  <c r="AG13" i="44" a="1"/>
  <c r="AG13" i="44"/>
  <c r="AR9" i="44" a="1"/>
  <c r="AR9" i="44"/>
  <c r="AJ9" i="46" a="1"/>
  <c r="AJ9" i="46"/>
  <c r="AI13" i="46" a="1"/>
  <c r="AI13" i="46"/>
  <c r="AU9" i="46" a="1"/>
  <c r="AU9" i="46"/>
  <c r="AR13" i="46" a="1"/>
  <c r="AR13" i="46"/>
  <c r="AJ13" i="46" a="1"/>
  <c r="AJ13" i="46"/>
  <c r="AK13" i="46" a="1"/>
  <c r="AK13" i="46"/>
  <c r="AT15" i="46" a="1"/>
  <c r="AT15" i="46"/>
  <c r="AI11" i="46" a="1"/>
  <c r="AI11" i="46"/>
  <c r="AK9" i="46" a="1"/>
  <c r="AK9" i="46"/>
  <c r="AR11" i="46" a="1"/>
  <c r="AR11" i="46"/>
  <c r="AI15" i="46" a="1"/>
  <c r="AI15" i="46"/>
  <c r="AR9" i="46" a="1"/>
  <c r="AR9" i="46"/>
  <c r="AH11" i="46" a="1"/>
  <c r="AH11" i="46"/>
  <c r="AI9" i="46" a="1"/>
  <c r="AI9" i="46"/>
  <c r="AJ11" i="46" a="1"/>
  <c r="AJ11" i="46"/>
  <c r="AT13" i="46" a="1"/>
  <c r="AT13" i="46"/>
  <c r="AK15" i="46" a="1"/>
  <c r="AK15" i="46"/>
  <c r="AS9" i="46" a="1"/>
  <c r="AS9" i="46"/>
  <c r="AR15" i="46" a="1"/>
  <c r="AR15" i="46"/>
  <c r="AU15" i="46" a="1"/>
  <c r="AU15" i="46"/>
  <c r="AH9" i="46" a="1"/>
  <c r="AH9" i="46"/>
  <c r="AG9" i="46" a="1"/>
  <c r="AG9" i="46"/>
  <c r="AU13" i="46" a="1"/>
  <c r="AU13" i="46"/>
  <c r="F9" i="46"/>
  <c r="AG11" i="46" a="1"/>
  <c r="AG11" i="46"/>
  <c r="AS13" i="46" a="1"/>
  <c r="AS13" i="46"/>
  <c r="AG15" i="46" a="1"/>
  <c r="AG15" i="46"/>
  <c r="AJ15" i="46" a="1"/>
  <c r="AJ15" i="46"/>
  <c r="AU11" i="46" a="1"/>
  <c r="AU11" i="46"/>
  <c r="AH15" i="46" a="1"/>
  <c r="AH15" i="46"/>
  <c r="AK11" i="46" a="1"/>
  <c r="AK11" i="46"/>
  <c r="AT9" i="46" a="1"/>
  <c r="AT9" i="46"/>
  <c r="AS15" i="46" a="1"/>
  <c r="AS15" i="46"/>
  <c r="AH13" i="46" a="1"/>
  <c r="AH13" i="46"/>
  <c r="AS11" i="46" a="1"/>
  <c r="AS11" i="46"/>
  <c r="AT11" i="46" a="1"/>
  <c r="AT11" i="46"/>
  <c r="AG13" i="46" a="1"/>
  <c r="AG13" i="46"/>
  <c r="AS9" i="45" a="1"/>
  <c r="AS9" i="45"/>
  <c r="AR9" i="45" a="1"/>
  <c r="AR9" i="45"/>
  <c r="AT9" i="45" a="1"/>
  <c r="AT9" i="45"/>
  <c r="AR11" i="45" a="1"/>
  <c r="AR11" i="45"/>
  <c r="AG15" i="45" a="1"/>
  <c r="AG15" i="45"/>
  <c r="AK15" i="45" a="1"/>
  <c r="AK15" i="45"/>
  <c r="AU11" i="45" a="1"/>
  <c r="AU11" i="45"/>
  <c r="AI11" i="45" a="1"/>
  <c r="AI11" i="45"/>
  <c r="AK11" i="45" a="1"/>
  <c r="AK11" i="45"/>
  <c r="AJ15" i="45" a="1"/>
  <c r="AJ15" i="45"/>
  <c r="AK9" i="45" a="1"/>
  <c r="AK9" i="45"/>
  <c r="AI15" i="45" a="1"/>
  <c r="AI15" i="45"/>
  <c r="AT11" i="45" a="1"/>
  <c r="AT11" i="45"/>
  <c r="AG9" i="45" a="1"/>
  <c r="AG9" i="45"/>
  <c r="AR15" i="45" a="1"/>
  <c r="AR15" i="45"/>
  <c r="AH15" i="45" a="1"/>
  <c r="AH15" i="45"/>
  <c r="AT13" i="45" a="1"/>
  <c r="AT13" i="45"/>
  <c r="AH11" i="45" a="1"/>
  <c r="AH11" i="45"/>
  <c r="AI9" i="45" a="1"/>
  <c r="AI9" i="45"/>
  <c r="AU13" i="45" a="1"/>
  <c r="AU13" i="45"/>
  <c r="F9" i="45"/>
  <c r="AT15" i="45" a="1"/>
  <c r="AT15" i="45"/>
  <c r="AH13" i="45" a="1"/>
  <c r="AH13" i="45"/>
  <c r="AG11" i="45" a="1"/>
  <c r="AG11" i="45"/>
  <c r="AH9" i="45" a="1"/>
  <c r="AH9" i="45"/>
  <c r="AS15" i="45" a="1"/>
  <c r="AS15" i="45"/>
  <c r="AG13" i="45" a="1"/>
  <c r="AG13" i="45"/>
  <c r="AJ9" i="45" a="1"/>
  <c r="AJ9" i="45"/>
  <c r="AR13" i="45" a="1"/>
  <c r="AR13" i="45"/>
  <c r="AS11" i="45" a="1"/>
  <c r="AS11" i="45"/>
  <c r="AK13" i="45" a="1"/>
  <c r="AK13" i="45"/>
  <c r="AJ11" i="45" a="1"/>
  <c r="AJ11" i="45"/>
  <c r="AU9" i="45" a="1"/>
  <c r="AU9" i="45"/>
  <c r="AS13" i="45" a="1"/>
  <c r="AS13" i="45"/>
  <c r="AI13" i="45" a="1"/>
  <c r="AI13" i="45"/>
  <c r="AJ13" i="45" a="1"/>
  <c r="AJ13" i="45"/>
  <c r="AU15" i="45" a="1"/>
  <c r="AU15" i="45"/>
  <c r="H14" i="23"/>
  <c r="D8" i="23"/>
  <c r="D21" i="23"/>
  <c r="D20" i="23"/>
  <c r="D19" i="23"/>
  <c r="C10" i="23"/>
  <c r="L14" i="23"/>
  <c r="J14" i="23"/>
  <c r="X7" i="1"/>
  <c r="X10" i="1"/>
  <c r="X6" i="1"/>
  <c r="X9" i="1"/>
  <c r="X5" i="1"/>
  <c r="CR5" i="38"/>
  <c r="C13" i="23"/>
  <c r="X8" i="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S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c r="BO3" i="38"/>
  <c r="BO1" i="36"/>
  <c r="P3" i="38"/>
  <c r="P1" i="36"/>
  <c r="AQ3" i="38"/>
  <c r="AQ1" i="36"/>
  <c r="AW3" i="38"/>
  <c r="AW1" i="36"/>
  <c r="AN3" i="38"/>
  <c r="AN1" i="36"/>
  <c r="AL1" i="36"/>
  <c r="N1" i="36"/>
  <c r="BU3" i="38"/>
  <c r="BU1" i="36"/>
  <c r="BI3" i="38"/>
  <c r="BI1" i="36"/>
  <c r="AT3" i="38"/>
  <c r="AT1" i="36"/>
  <c r="AB3" i="38"/>
  <c r="AB1" i="36"/>
  <c r="BM1" i="36"/>
  <c r="V3" i="38"/>
  <c r="V1" i="36"/>
  <c r="M3" i="38"/>
  <c r="M1" i="36"/>
  <c r="S3" i="38"/>
  <c r="S1" i="36"/>
  <c r="BR3" i="38"/>
  <c r="BR1" i="36"/>
  <c r="AK3" i="38"/>
  <c r="AK1" i="36"/>
  <c r="AU1" i="36"/>
  <c r="Y3" i="38"/>
  <c r="Y1" i="36"/>
  <c r="BV1" i="36"/>
  <c r="BG1" i="36"/>
  <c r="AZ3" i="38"/>
  <c r="AZ1" i="36"/>
  <c r="BL3" i="38"/>
  <c r="BL1" i="36"/>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c r="D12" i="23"/>
  <c r="D14" i="23"/>
  <c r="AU5" i="44"/>
  <c r="AS5" i="46"/>
  <c r="AR5" i="46"/>
  <c r="AR5" i="45"/>
  <c r="AS5" i="44"/>
  <c r="AU5" i="46"/>
  <c r="AT5" i="46"/>
  <c r="AS5" i="45"/>
  <c r="AT5" i="44"/>
  <c r="AT5" i="45"/>
  <c r="AR5" i="44"/>
  <c r="AU5" i="45"/>
  <c r="D15" i="23"/>
  <c r="X12" i="1"/>
  <c r="AL9" i="45"/>
  <c r="AL9" i="46"/>
  <c r="AL11" i="45"/>
  <c r="AL9" i="44"/>
  <c r="AL11" i="44"/>
  <c r="AL13" i="44"/>
  <c r="AL15" i="46"/>
  <c r="AL15" i="45"/>
  <c r="AL13" i="45"/>
  <c r="AL11" i="46"/>
  <c r="AL13" i="46"/>
  <c r="AL15" i="44"/>
  <c r="AD9" i="4"/>
  <c r="AR7" i="4"/>
  <c r="DL5" i="38"/>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c r="AD13" i="4"/>
  <c r="AT7" i="4"/>
  <c r="AD15" i="4"/>
  <c r="AU7" i="4"/>
  <c r="H3" i="38"/>
  <c r="AG3" i="38"/>
  <c r="AD3" i="38"/>
  <c r="BB3" i="38"/>
  <c r="BE3" i="38"/>
  <c r="BD3" i="38"/>
  <c r="BA3" i="38"/>
  <c r="I3" i="38"/>
  <c r="AF3" i="38"/>
  <c r="AC3" i="38"/>
  <c r="AO9" i="46"/>
  <c r="AO9" i="44"/>
  <c r="AO9" i="45"/>
  <c r="AO11" i="44"/>
  <c r="AO15" i="45"/>
  <c r="AO11" i="45"/>
  <c r="AO13" i="45"/>
  <c r="AO13" i="44"/>
  <c r="AO15" i="46"/>
  <c r="AO11" i="46"/>
  <c r="AO13" i="46"/>
  <c r="AO15" i="44"/>
  <c r="F8" i="40"/>
  <c r="F3" i="38"/>
  <c r="G8" i="40"/>
  <c r="I8" i="40"/>
  <c r="D8" i="40"/>
  <c r="E3" i="38"/>
  <c r="N19" i="4"/>
  <c r="L19" i="4"/>
  <c r="L13" i="4"/>
  <c r="L11" i="4"/>
  <c r="L17" i="4"/>
  <c r="L15" i="4"/>
  <c r="N17" i="4"/>
  <c r="N11" i="4"/>
  <c r="G15" i="4"/>
  <c r="F15" i="4"/>
  <c r="G17" i="4"/>
  <c r="F17" i="4"/>
  <c r="G11" i="4"/>
  <c r="F11" i="4"/>
  <c r="G13" i="4"/>
  <c r="F13" i="4"/>
  <c r="N13" i="4"/>
  <c r="L9" i="4"/>
  <c r="N15" i="4"/>
  <c r="G19" i="4"/>
  <c r="F19" i="4"/>
  <c r="P9" i="46"/>
  <c r="CB3" i="38" a="1"/>
  <c r="V9" i="46"/>
  <c r="AF9" i="38"/>
  <c r="AF10" i="38"/>
  <c r="AF7" i="38"/>
  <c r="AF14" i="38"/>
  <c r="AF11" i="38"/>
  <c r="AF13" i="38"/>
  <c r="AF8" i="38"/>
  <c r="AH8" i="38"/>
  <c r="AF12" i="38"/>
  <c r="E13" i="38"/>
  <c r="E11" i="38"/>
  <c r="E7" i="38"/>
  <c r="E12" i="38"/>
  <c r="E8" i="38"/>
  <c r="E14" i="38"/>
  <c r="E10" i="38"/>
  <c r="E9" i="38"/>
  <c r="BD9" i="38"/>
  <c r="BD11" i="38"/>
  <c r="BD12" i="38"/>
  <c r="BF8" i="38"/>
  <c r="BD13" i="38"/>
  <c r="BD7" i="38"/>
  <c r="BD14" i="38"/>
  <c r="BD10" i="38"/>
  <c r="BD8" i="38"/>
  <c r="BB1" i="36"/>
  <c r="BB13" i="38"/>
  <c r="BB8" i="38"/>
  <c r="BB11" i="38"/>
  <c r="BB7" i="38"/>
  <c r="BB9" i="38"/>
  <c r="BB12" i="38"/>
  <c r="BB10" i="38"/>
  <c r="BB14" i="38"/>
  <c r="AC12" i="38"/>
  <c r="AC8" i="38"/>
  <c r="AE9"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CB3" i="38"/>
  <c r="AH3" i="38"/>
  <c r="AH1" i="36"/>
  <c r="AE3" i="38"/>
  <c r="AE1" i="36"/>
  <c r="P9" i="45"/>
  <c r="P9" i="44"/>
  <c r="W9" i="44"/>
  <c r="BF3" i="38"/>
  <c r="BF1" i="36"/>
  <c r="BC3" i="38"/>
  <c r="BC1" i="36"/>
  <c r="AF1" i="36"/>
  <c r="BA1" i="36"/>
  <c r="AC1" i="36"/>
  <c r="BD1" i="36"/>
  <c r="J3" i="38"/>
  <c r="J1" i="36"/>
  <c r="G3" i="38"/>
  <c r="G1" i="36"/>
  <c r="P15" i="46"/>
  <c r="Q15" i="46"/>
  <c r="P13" i="45"/>
  <c r="Q13" i="45"/>
  <c r="P11" i="44"/>
  <c r="V11" i="44"/>
  <c r="P13" i="46"/>
  <c r="W13" i="46"/>
  <c r="P11" i="45"/>
  <c r="P11" i="46"/>
  <c r="P15" i="45"/>
  <c r="P13" i="44"/>
  <c r="P15" i="44"/>
  <c r="E8" i="40"/>
  <c r="H8" i="40"/>
  <c r="E1" i="36"/>
  <c r="G9" i="4"/>
  <c r="F9" i="4"/>
  <c r="N9" i="4"/>
  <c r="N9" i="33" a="1"/>
  <c r="BZ3" i="38" a="1"/>
  <c r="CA3" i="38" a="1"/>
  <c r="H12" i="33" a="1"/>
  <c r="H18" i="33" a="1"/>
  <c r="H15" i="33" a="1"/>
  <c r="N15" i="33" a="1"/>
  <c r="N18" i="33" a="1"/>
  <c r="T9" i="46"/>
  <c r="X9" i="46"/>
  <c r="H15" i="33"/>
  <c r="G15" i="33"/>
  <c r="S9" i="46"/>
  <c r="U9" i="46"/>
  <c r="Q9" i="46"/>
  <c r="W9" i="46"/>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c r="CA3" i="38"/>
  <c r="X9" i="45"/>
  <c r="BZ3" i="38"/>
  <c r="T9" i="44"/>
  <c r="X9" i="44"/>
  <c r="Y9" i="44"/>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c r="N18" i="33"/>
  <c r="CJ3" i="38"/>
  <c r="N15" i="33"/>
  <c r="CH3" i="38"/>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Y9" i="46"/>
  <c r="AI13" i="4" a="1"/>
  <c r="AI13" i="4"/>
  <c r="AT13" i="4" a="1"/>
  <c r="AT13" i="4"/>
  <c r="AT15" i="4" a="1"/>
  <c r="AT15" i="4"/>
  <c r="AJ11" i="4" a="1"/>
  <c r="AJ11" i="4"/>
  <c r="AH11" i="4" a="1"/>
  <c r="AH11" i="4"/>
  <c r="AS15" i="4" a="1"/>
  <c r="AS15" i="4"/>
  <c r="AU11" i="4" a="1"/>
  <c r="AU11" i="4"/>
  <c r="AI15" i="4" a="1"/>
  <c r="AI15" i="4"/>
  <c r="AG13" i="4" a="1"/>
  <c r="AG13" i="4"/>
  <c r="AK13" i="4" a="1"/>
  <c r="AK13" i="4"/>
  <c r="AK15" i="4" a="1"/>
  <c r="AK15" i="4"/>
  <c r="AJ15" i="4" a="1"/>
  <c r="AJ15" i="4"/>
  <c r="AR11" i="4" a="1"/>
  <c r="AR11" i="4"/>
  <c r="AT11" i="4" a="1"/>
  <c r="AT11" i="4"/>
  <c r="AH13" i="4" a="1"/>
  <c r="AH13" i="4"/>
  <c r="AI9" i="4" a="1"/>
  <c r="AI9" i="4"/>
  <c r="AG15" i="4" a="1"/>
  <c r="AG15" i="4"/>
  <c r="AJ13" i="4" a="1"/>
  <c r="AJ13" i="4"/>
  <c r="AU15" i="4" a="1"/>
  <c r="AU15" i="4"/>
  <c r="AU13" i="4" a="1"/>
  <c r="AU13" i="4"/>
  <c r="AR15" i="4" a="1"/>
  <c r="AR15" i="4"/>
  <c r="AU9" i="4" a="1"/>
  <c r="AU9" i="4"/>
  <c r="AS9" i="4" a="1"/>
  <c r="AS9" i="4"/>
  <c r="AG9" i="4" a="1"/>
  <c r="AG9" i="4"/>
  <c r="AR13" i="4" a="1"/>
  <c r="AR13" i="4"/>
  <c r="AK11" i="4" a="1"/>
  <c r="AK11" i="4"/>
  <c r="AI11" i="4" a="1"/>
  <c r="AI11" i="4"/>
  <c r="AJ9" i="4" a="1"/>
  <c r="AJ9" i="4"/>
  <c r="AS13" i="4" a="1"/>
  <c r="AS13" i="4"/>
  <c r="AH15" i="4" a="1"/>
  <c r="AH15" i="4"/>
  <c r="AG11" i="4" a="1"/>
  <c r="AG11" i="4"/>
  <c r="AK9" i="4" a="1"/>
  <c r="AK9" i="4"/>
  <c r="AT9" i="4" a="1"/>
  <c r="AT9" i="4"/>
  <c r="AS11" i="4" a="1"/>
  <c r="AS11" i="4"/>
  <c r="AH9" i="4" a="1"/>
  <c r="AH9" i="4"/>
  <c r="AR9" i="4" a="1"/>
  <c r="AR9" i="4"/>
  <c r="Y9" i="45"/>
  <c r="BZ1" i="36"/>
  <c r="BZ11" i="38"/>
  <c r="BZ12" i="38"/>
  <c r="BZ13" i="38"/>
  <c r="BZ10" i="38"/>
  <c r="BZ14" i="38"/>
  <c r="BZ8" i="38"/>
  <c r="BZ9" i="38"/>
  <c r="BZ7" i="38"/>
  <c r="CA1" i="36"/>
  <c r="CA7" i="38"/>
  <c r="CA12" i="38"/>
  <c r="CA10" i="38"/>
  <c r="CA13" i="38"/>
  <c r="CA8" i="38"/>
  <c r="CA9" i="38"/>
  <c r="CA14" i="38"/>
  <c r="CA11" i="38"/>
  <c r="CD3" i="38"/>
  <c r="CD1" i="36"/>
  <c r="CE3" i="38"/>
  <c r="CE1" i="36"/>
  <c r="CI3" i="38"/>
  <c r="CI1" i="36"/>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c r="AU5" i="4"/>
  <c r="AT5" i="4"/>
  <c r="AR5" i="4"/>
  <c r="AL9" i="4"/>
  <c r="AL15" i="4"/>
  <c r="AL13" i="4"/>
  <c r="AL11" i="4"/>
  <c r="AN11" i="4"/>
  <c r="AN13" i="4"/>
  <c r="AN15" i="4"/>
  <c r="AN9" i="4"/>
  <c r="AO9" i="4"/>
  <c r="AO15" i="4"/>
  <c r="AO11" i="4"/>
  <c r="AO13" i="4"/>
  <c r="P15" i="4"/>
  <c r="Q15" i="4"/>
  <c r="P11" i="4"/>
  <c r="P13" i="4"/>
  <c r="Q13" i="4"/>
  <c r="P9" i="4"/>
  <c r="BY3" i="38" a="1"/>
  <c r="N12" i="33" a="1"/>
  <c r="H9" i="33" a="1"/>
  <c r="BY3" i="38"/>
  <c r="CY3" i="38"/>
  <c r="H9" i="33"/>
  <c r="CC3" i="38"/>
  <c r="N12" i="33"/>
  <c r="CF3" i="38"/>
  <c r="Q9" i="4"/>
  <c r="Q11" i="4"/>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c r="CY11" i="38"/>
  <c r="CY13" i="38"/>
  <c r="CY8" i="38"/>
  <c r="CY12" i="38"/>
  <c r="CY9" i="38"/>
  <c r="CY7" i="38"/>
  <c r="CY14" i="38"/>
  <c r="CY10" i="38"/>
  <c r="BY1" i="36"/>
  <c r="BY11" i="38"/>
  <c r="BY10" i="38"/>
  <c r="BY13" i="38"/>
  <c r="BY14" i="38"/>
  <c r="BY8" i="38"/>
  <c r="BY9" i="38"/>
  <c r="BY7" i="38"/>
  <c r="BY12" i="38"/>
  <c r="CY1" i="36"/>
  <c r="G9" i="33"/>
  <c r="CC1" i="36"/>
  <c r="O12" i="33"/>
  <c r="CF1" i="36"/>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X13" i="39"/>
  <c r="Y16" i="39"/>
  <c r="X21" i="39"/>
  <c r="Y19" i="39"/>
  <c r="Z19" i="39"/>
  <c r="T8" i="39"/>
  <c r="T12" i="39"/>
  <c r="S22" i="39"/>
  <c r="S6" i="39"/>
  <c r="W5" i="39"/>
  <c r="W22" i="39"/>
  <c r="W24" i="39"/>
  <c r="AA25" i="39"/>
  <c r="AA17" i="39"/>
  <c r="W6" i="39"/>
  <c r="W15" i="39"/>
  <c r="AA26" i="39"/>
  <c r="W14" i="39"/>
  <c r="AA13"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c r="S9" i="4"/>
  <c r="V9" i="4"/>
  <c r="X9" i="4"/>
  <c r="T9" i="4"/>
  <c r="U9" i="4"/>
  <c r="Y9" i="4"/>
  <c r="DB3" i="38"/>
  <c r="CV3" i="38"/>
  <c r="CS3" i="38"/>
  <c r="W11" i="4"/>
  <c r="S11" i="4"/>
  <c r="X11" i="4"/>
  <c r="T11" i="4"/>
  <c r="U11" i="4"/>
  <c r="V11" i="4"/>
  <c r="W13" i="4"/>
  <c r="V13" i="4"/>
  <c r="U13" i="4"/>
  <c r="X13" i="4"/>
  <c r="T13" i="4"/>
  <c r="S13" i="4"/>
  <c r="W15" i="4"/>
  <c r="V15" i="4"/>
  <c r="T15" i="4"/>
  <c r="S15" i="4"/>
  <c r="U15" i="4"/>
  <c r="X15" i="4"/>
  <c r="CT3" i="38"/>
  <c r="CT1" i="36"/>
  <c r="CS9" i="38"/>
  <c r="CS13" i="38"/>
  <c r="CS8" i="38"/>
  <c r="CS14" i="38"/>
  <c r="CS12" i="38"/>
  <c r="CS10" i="38"/>
  <c r="CS11" i="38"/>
  <c r="CS7" i="38"/>
  <c r="CT10" i="38"/>
  <c r="CT11" i="38"/>
  <c r="CT9" i="38"/>
  <c r="CT13" i="38"/>
  <c r="CT12" i="38"/>
  <c r="CT14" i="38"/>
  <c r="CT7" i="38"/>
  <c r="CT8" i="38"/>
  <c r="CW3" i="38"/>
  <c r="CW8" i="38"/>
  <c r="CV14" i="38"/>
  <c r="CV9" i="38"/>
  <c r="CV7" i="38"/>
  <c r="CV13" i="38"/>
  <c r="CV8" i="38"/>
  <c r="CV10" i="38"/>
  <c r="CV11" i="38"/>
  <c r="CV12" i="38"/>
  <c r="CW12" i="38"/>
  <c r="CW7" i="38"/>
  <c r="CW13" i="38"/>
  <c r="CW10" i="38"/>
  <c r="CW11" i="38"/>
  <c r="CW9" i="38"/>
  <c r="DC3" i="38"/>
  <c r="DC9" i="38"/>
  <c r="DB10" i="38"/>
  <c r="DB14" i="38"/>
  <c r="DB9" i="38"/>
  <c r="DB13" i="38"/>
  <c r="DB7" i="38"/>
  <c r="DB8" i="38"/>
  <c r="DB11" i="38"/>
  <c r="DB12" i="38"/>
  <c r="CV1" i="36"/>
  <c r="DB1" i="36"/>
  <c r="CS1" i="36"/>
  <c r="Y11" i="4"/>
  <c r="Y15" i="4"/>
  <c r="Y13" i="4"/>
  <c r="CW1" i="36"/>
  <c r="DC11" i="38"/>
  <c r="X9" i="39"/>
  <c r="DC10" i="38"/>
  <c r="X8" i="39"/>
  <c r="DC13" i="38"/>
  <c r="DC7" i="38"/>
  <c r="X5" i="39"/>
  <c r="DC1" i="36"/>
  <c r="DC14" i="38"/>
  <c r="DC12" i="38"/>
  <c r="X10" i="39"/>
  <c r="CW14" i="38"/>
  <c r="X12" i="39"/>
  <c r="X11" i="39"/>
  <c r="DC8" i="38"/>
  <c r="X6" i="39"/>
  <c r="X7" i="39"/>
  <c r="S15" i="33"/>
  <c r="N12" i="34"/>
  <c r="S12" i="33"/>
  <c r="N9" i="34"/>
  <c r="CL3" i="38"/>
  <c r="CL1" i="36"/>
  <c r="O9" i="34"/>
  <c r="S9" i="33"/>
  <c r="H9" i="34"/>
  <c r="S9" i="34"/>
  <c r="H15" i="35"/>
  <c r="CK3" i="38"/>
  <c r="H9" i="35"/>
  <c r="G9" i="34"/>
  <c r="CK1" i="36"/>
  <c r="G15" i="35"/>
  <c r="CO3" i="38"/>
  <c r="H22" i="35"/>
  <c r="G9" i="35"/>
  <c r="S18" i="33"/>
  <c r="CO1" i="36"/>
  <c r="H25" i="35"/>
  <c r="CQ3" i="38"/>
  <c r="H12" i="34"/>
  <c r="O12" i="34"/>
  <c r="CN3" i="38"/>
  <c r="CN1" i="36"/>
  <c r="S12" i="34"/>
  <c r="CQ1" i="36"/>
  <c r="CQ7" i="38"/>
  <c r="CQ10" i="38"/>
  <c r="CQ9" i="38"/>
  <c r="CQ11" i="38"/>
  <c r="CQ13" i="38"/>
  <c r="CQ12" i="38"/>
  <c r="CQ14" i="38"/>
  <c r="CQ8" i="38"/>
  <c r="N9" i="35"/>
  <c r="CM3" i="38"/>
  <c r="G12" i="34"/>
  <c r="N15" i="35"/>
  <c r="CM1" i="36"/>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c r="CK10" i="38"/>
  <c r="CM7" i="38"/>
  <c r="CN10" i="38"/>
  <c r="CN8" i="38"/>
  <c r="CM11" i="38"/>
  <c r="CL14" i="38"/>
  <c r="O15" i="35"/>
  <c r="CP3" i="38"/>
  <c r="O9" i="35"/>
  <c r="Y10" i="39"/>
  <c r="Y12" i="39"/>
  <c r="Y8" i="39"/>
  <c r="Y5" i="39"/>
  <c r="Y7" i="39"/>
  <c r="Y6" i="39"/>
  <c r="Y9" i="39"/>
  <c r="CP1" i="36"/>
  <c r="CO13" i="38"/>
  <c r="CP13" i="38"/>
  <c r="Z11" i="39"/>
  <c r="AA11" i="39"/>
  <c r="AB11" i="39"/>
  <c r="CP10" i="38"/>
  <c r="CO11" i="38"/>
  <c r="CP12" i="38"/>
  <c r="CO10" i="38"/>
  <c r="Z8" i="39"/>
  <c r="CP9" i="38"/>
  <c r="CO14" i="38"/>
  <c r="CP14" i="38"/>
  <c r="Z12" i="39"/>
  <c r="AA12" i="39"/>
  <c r="AB12" i="39"/>
  <c r="CO9" i="38"/>
  <c r="Z7" i="39"/>
  <c r="CP7" i="38"/>
  <c r="CP11" i="38"/>
  <c r="CO7" i="38"/>
  <c r="CO8" i="38"/>
  <c r="CO12" i="38"/>
  <c r="CP8" i="38"/>
  <c r="Z10" i="39"/>
  <c r="AA10" i="39"/>
  <c r="AB10" i="39"/>
  <c r="Z5" i="39"/>
  <c r="AA5" i="39"/>
  <c r="AB5" i="39"/>
  <c r="Z6" i="39"/>
  <c r="AA6" i="39"/>
  <c r="AB6" i="39"/>
  <c r="AA8" i="39"/>
  <c r="AB8" i="39"/>
  <c r="Z9" i="39"/>
  <c r="AA9" i="39"/>
  <c r="AB9" i="39"/>
  <c r="AA7" i="39"/>
  <c r="AB7" i="39"/>
  <c r="Q12" i="39"/>
  <c r="Q6" i="39"/>
  <c r="Q5" i="39"/>
  <c r="Q20" i="39"/>
  <c r="Q18" i="39"/>
  <c r="Q13" i="39"/>
  <c r="Q11" i="39"/>
  <c r="Q22" i="39"/>
  <c r="Q8" i="39"/>
  <c r="Q25" i="39"/>
  <c r="Q26" i="39"/>
  <c r="Q10" i="39"/>
  <c r="Q15" i="39"/>
  <c r="Q17" i="39"/>
  <c r="Q9" i="39"/>
  <c r="Q19" i="39"/>
  <c r="Q7" i="39"/>
  <c r="Q24" i="39"/>
  <c r="Q23" i="39"/>
  <c r="Q14" i="39"/>
  <c r="Q21" i="39"/>
  <c r="Q16" i="39"/>
  <c r="D11" i="39"/>
  <c r="S12" i="40"/>
  <c r="AA12" i="40" a="1"/>
  <c r="AA12" i="40"/>
  <c r="D12" i="39"/>
  <c r="S13" i="40"/>
  <c r="AA13" i="40" a="1"/>
  <c r="AA13" i="40"/>
  <c r="D18" i="39"/>
  <c r="S19" i="40"/>
  <c r="U19" i="40" a="1"/>
  <c r="U19" i="40"/>
  <c r="D17" i="39"/>
  <c r="S18" i="40"/>
  <c r="D23" i="39"/>
  <c r="S24" i="40"/>
  <c r="D16" i="39"/>
  <c r="S17" i="40"/>
  <c r="D25" i="39"/>
  <c r="M25" i="39"/>
  <c r="P25" i="39"/>
  <c r="D14" i="39"/>
  <c r="E14" i="39"/>
  <c r="D5" i="39"/>
  <c r="D24" i="39"/>
  <c r="G24" i="39"/>
  <c r="D13" i="39"/>
  <c r="M13" i="39"/>
  <c r="P13" i="39"/>
  <c r="D10" i="39"/>
  <c r="F10" i="39"/>
  <c r="D20" i="39"/>
  <c r="D9" i="39"/>
  <c r="J9" i="39"/>
  <c r="D22" i="39"/>
  <c r="S23" i="40"/>
  <c r="D6" i="39"/>
  <c r="D19" i="39"/>
  <c r="D15" i="39"/>
  <c r="D8" i="39"/>
  <c r="D26" i="39"/>
  <c r="D7" i="39"/>
  <c r="D21" i="39"/>
  <c r="S22" i="40"/>
  <c r="C23" i="40"/>
  <c r="L18" i="39"/>
  <c r="H18" i="39"/>
  <c r="M18" i="39"/>
  <c r="P18" i="39"/>
  <c r="K18" i="39"/>
  <c r="F18" i="39"/>
  <c r="N18" i="39"/>
  <c r="J18" i="39"/>
  <c r="G18" i="39"/>
  <c r="I18" i="39"/>
  <c r="E18" i="39"/>
  <c r="E11" i="39"/>
  <c r="K11" i="39"/>
  <c r="M11" i="39"/>
  <c r="P11" i="39"/>
  <c r="L11" i="39"/>
  <c r="I11" i="39"/>
  <c r="G11" i="39"/>
  <c r="N11" i="39"/>
  <c r="J11" i="39"/>
  <c r="C16" i="40"/>
  <c r="F11" i="39"/>
  <c r="H11" i="39"/>
  <c r="T12" i="40" a="1"/>
  <c r="T12" i="40"/>
  <c r="U12" i="40" a="1"/>
  <c r="U12" i="40"/>
  <c r="V12" i="40" a="1"/>
  <c r="V12" i="40"/>
  <c r="W12" i="40" a="1"/>
  <c r="W12" i="40"/>
  <c r="Y12" i="40" a="1"/>
  <c r="Y12" i="40"/>
  <c r="X12" i="40" a="1"/>
  <c r="X12" i="40"/>
  <c r="Z12" i="40" a="1"/>
  <c r="Z12" i="40"/>
  <c r="M12" i="39"/>
  <c r="P12" i="39"/>
  <c r="J12" i="39"/>
  <c r="K12" i="39"/>
  <c r="N12" i="39"/>
  <c r="E12" i="39"/>
  <c r="I12" i="39"/>
  <c r="C17" i="40"/>
  <c r="M17" i="40"/>
  <c r="L12" i="39"/>
  <c r="H12" i="39"/>
  <c r="G12" i="39"/>
  <c r="F12" i="39"/>
  <c r="T19" i="40" a="1"/>
  <c r="T19" i="40"/>
  <c r="V19" i="40" a="1"/>
  <c r="V19" i="40"/>
  <c r="W19" i="40" a="1"/>
  <c r="W19" i="40"/>
  <c r="X19" i="40" a="1"/>
  <c r="X19" i="40"/>
  <c r="Y19" i="40" a="1"/>
  <c r="Y19" i="40"/>
  <c r="Z19" i="40" a="1"/>
  <c r="Z19" i="40"/>
  <c r="AA19" i="40" a="1"/>
  <c r="AA19" i="40"/>
  <c r="T13" i="40" a="1"/>
  <c r="T13" i="40"/>
  <c r="U13" i="40" a="1"/>
  <c r="U13" i="40"/>
  <c r="V13" i="40" a="1"/>
  <c r="V13" i="40"/>
  <c r="X13" i="40" a="1"/>
  <c r="X13" i="40"/>
  <c r="J5" i="39"/>
  <c r="M5" i="39"/>
  <c r="W13" i="40" a="1"/>
  <c r="W13" i="40"/>
  <c r="H6" i="39"/>
  <c r="M6" i="39"/>
  <c r="P6" i="39"/>
  <c r="L16" i="39"/>
  <c r="Y13" i="40" a="1"/>
  <c r="Y13" i="40"/>
  <c r="Z13" i="40" a="1"/>
  <c r="Z13" i="40"/>
  <c r="H16" i="39"/>
  <c r="H21" i="39"/>
  <c r="K21" i="39"/>
  <c r="G9" i="39"/>
  <c r="K22" i="39"/>
  <c r="C27" i="40"/>
  <c r="G27" i="40"/>
  <c r="H27" i="40"/>
  <c r="I25" i="39"/>
  <c r="N14" i="39"/>
  <c r="K14" i="39"/>
  <c r="E25" i="39"/>
  <c r="L25" i="39"/>
  <c r="J14" i="39"/>
  <c r="J10" i="39"/>
  <c r="J22" i="39"/>
  <c r="N22" i="39"/>
  <c r="F17" i="39"/>
  <c r="H17" i="39"/>
  <c r="N17" i="39"/>
  <c r="I17" i="39"/>
  <c r="E17" i="39"/>
  <c r="K17" i="39"/>
  <c r="M17" i="39"/>
  <c r="P17" i="39"/>
  <c r="J17" i="39"/>
  <c r="L17" i="39"/>
  <c r="G17" i="39"/>
  <c r="K10" i="39"/>
  <c r="C15" i="40"/>
  <c r="J15" i="40"/>
  <c r="C22" i="40"/>
  <c r="M22" i="40"/>
  <c r="N22" i="40"/>
  <c r="E10" i="39"/>
  <c r="G6" i="39"/>
  <c r="F6" i="39"/>
  <c r="I6" i="39"/>
  <c r="J6" i="39"/>
  <c r="K6" i="39"/>
  <c r="L6" i="39"/>
  <c r="J23" i="39"/>
  <c r="G23" i="39"/>
  <c r="I23" i="39"/>
  <c r="M23" i="39"/>
  <c r="P23" i="39"/>
  <c r="E6" i="39"/>
  <c r="K23" i="39"/>
  <c r="H23" i="39"/>
  <c r="L23" i="39"/>
  <c r="F23" i="39"/>
  <c r="N23" i="39"/>
  <c r="E23" i="39"/>
  <c r="C28" i="40"/>
  <c r="F28" i="40" a="1"/>
  <c r="F28" i="40"/>
  <c r="M21" i="39"/>
  <c r="P21" i="39"/>
  <c r="L21" i="39"/>
  <c r="AA17" i="40" a="1"/>
  <c r="AA17" i="40"/>
  <c r="Z17" i="40" a="1"/>
  <c r="Z17" i="40"/>
  <c r="Y17" i="40" a="1"/>
  <c r="Y17" i="40"/>
  <c r="X17" i="40" a="1"/>
  <c r="X17" i="40"/>
  <c r="W17" i="40" a="1"/>
  <c r="W17" i="40"/>
  <c r="V17" i="40" a="1"/>
  <c r="V17" i="40"/>
  <c r="U17" i="40" a="1"/>
  <c r="U17" i="40"/>
  <c r="T17" i="40" a="1"/>
  <c r="T17" i="40"/>
  <c r="E22" i="39"/>
  <c r="L10" i="39"/>
  <c r="K16" i="39"/>
  <c r="AA24" i="40" a="1"/>
  <c r="AA24" i="40"/>
  <c r="Z24" i="40" a="1"/>
  <c r="Z24" i="40"/>
  <c r="Y24" i="40" a="1"/>
  <c r="Y24" i="40"/>
  <c r="X24" i="40" a="1"/>
  <c r="X24" i="40"/>
  <c r="W24" i="40" a="1"/>
  <c r="W24" i="40"/>
  <c r="V24" i="40" a="1"/>
  <c r="V24" i="40"/>
  <c r="U24" i="40" a="1"/>
  <c r="U24" i="40"/>
  <c r="T24" i="40" a="1"/>
  <c r="T24" i="40"/>
  <c r="AA22" i="40" a="1"/>
  <c r="AA22" i="40"/>
  <c r="Z22" i="40" a="1"/>
  <c r="Z22" i="40"/>
  <c r="Y22" i="40" a="1"/>
  <c r="Y22" i="40"/>
  <c r="X22" i="40" a="1"/>
  <c r="X22" i="40"/>
  <c r="W22" i="40" a="1"/>
  <c r="W22" i="40"/>
  <c r="V22" i="40" a="1"/>
  <c r="V22" i="40"/>
  <c r="U22" i="40" a="1"/>
  <c r="U22" i="40"/>
  <c r="T22" i="40" a="1"/>
  <c r="T22" i="40"/>
  <c r="M22" i="39"/>
  <c r="P22" i="39"/>
  <c r="F16" i="39"/>
  <c r="AA18" i="40" a="1"/>
  <c r="AA18" i="40"/>
  <c r="Z18" i="40" a="1"/>
  <c r="Z18" i="40"/>
  <c r="Y18" i="40" a="1"/>
  <c r="Y18" i="40"/>
  <c r="X18" i="40" a="1"/>
  <c r="X18" i="40"/>
  <c r="W18" i="40" a="1"/>
  <c r="W18" i="40"/>
  <c r="V18" i="40" a="1"/>
  <c r="V18" i="40"/>
  <c r="U18" i="40" a="1"/>
  <c r="U18" i="40"/>
  <c r="T18" i="40" a="1"/>
  <c r="T18" i="40"/>
  <c r="G13" i="39"/>
  <c r="E13" i="39"/>
  <c r="F13" i="39"/>
  <c r="AA23" i="40" a="1"/>
  <c r="AA23" i="40"/>
  <c r="Z23" i="40" a="1"/>
  <c r="Z23" i="40"/>
  <c r="Y23" i="40" a="1"/>
  <c r="Y23" i="40"/>
  <c r="X23" i="40" a="1"/>
  <c r="X23" i="40"/>
  <c r="W23" i="40" a="1"/>
  <c r="W23" i="40"/>
  <c r="V23" i="40" a="1"/>
  <c r="V23" i="40"/>
  <c r="T23" i="40" a="1"/>
  <c r="T23" i="40"/>
  <c r="U23" i="40" a="1"/>
  <c r="U23" i="40"/>
  <c r="E24" i="39"/>
  <c r="M16" i="39"/>
  <c r="P16" i="39"/>
  <c r="J21" i="39"/>
  <c r="F25" i="39"/>
  <c r="I24" i="39"/>
  <c r="E16" i="39"/>
  <c r="G16" i="39"/>
  <c r="F21" i="39"/>
  <c r="C29" i="40"/>
  <c r="G29" i="40"/>
  <c r="H29" i="40"/>
  <c r="G21" i="39"/>
  <c r="C21" i="40"/>
  <c r="L21" i="40" a="1"/>
  <c r="L21" i="40"/>
  <c r="C26" i="40"/>
  <c r="J26" i="40"/>
  <c r="K26" i="40"/>
  <c r="C10" i="40"/>
  <c r="I10" i="40" a="1"/>
  <c r="I10" i="40"/>
  <c r="K24" i="39"/>
  <c r="K25" i="39"/>
  <c r="M24" i="39"/>
  <c r="P24" i="39"/>
  <c r="L5" i="39"/>
  <c r="H24" i="39"/>
  <c r="H25" i="39"/>
  <c r="J25" i="39"/>
  <c r="J16" i="39"/>
  <c r="N25" i="39"/>
  <c r="J24" i="39"/>
  <c r="N16" i="39"/>
  <c r="F24" i="39"/>
  <c r="E21" i="39"/>
  <c r="N21" i="39"/>
  <c r="G25" i="39"/>
  <c r="I21" i="39"/>
  <c r="I16" i="39"/>
  <c r="I22" i="39"/>
  <c r="I5" i="39"/>
  <c r="N6" i="39"/>
  <c r="S7" i="40"/>
  <c r="E19" i="39"/>
  <c r="S20" i="40"/>
  <c r="F9" i="39"/>
  <c r="S10" i="40"/>
  <c r="G20" i="39"/>
  <c r="S21" i="40"/>
  <c r="L8" i="39"/>
  <c r="S9" i="40"/>
  <c r="N10" i="39"/>
  <c r="S11" i="40"/>
  <c r="C18" i="40"/>
  <c r="M18" i="40"/>
  <c r="N18" i="40"/>
  <c r="S14" i="40"/>
  <c r="C11" i="40"/>
  <c r="G11" i="40"/>
  <c r="H22" i="39"/>
  <c r="N24" i="39"/>
  <c r="S25" i="40"/>
  <c r="C19" i="40"/>
  <c r="L19" i="40" a="1"/>
  <c r="L19" i="40"/>
  <c r="S15" i="40"/>
  <c r="L15" i="39"/>
  <c r="S16" i="40"/>
  <c r="L22" i="39"/>
  <c r="L20" i="39"/>
  <c r="N19" i="39"/>
  <c r="G22" i="39"/>
  <c r="H10" i="39"/>
  <c r="F22" i="39"/>
  <c r="I10" i="39"/>
  <c r="C12" i="40"/>
  <c r="D12" i="40"/>
  <c r="S8" i="40"/>
  <c r="K5" i="39"/>
  <c r="S6" i="40"/>
  <c r="L24" i="39"/>
  <c r="M10" i="39"/>
  <c r="P10" i="39"/>
  <c r="F5" i="39"/>
  <c r="G10" i="39"/>
  <c r="N5" i="39"/>
  <c r="E5" i="39"/>
  <c r="G5" i="39"/>
  <c r="K19" i="39"/>
  <c r="H19" i="39"/>
  <c r="H5" i="39"/>
  <c r="M19" i="39"/>
  <c r="P19" i="39"/>
  <c r="P5" i="39"/>
  <c r="L19" i="39"/>
  <c r="M9" i="39"/>
  <c r="P9" i="39"/>
  <c r="C14" i="40"/>
  <c r="G14" i="40"/>
  <c r="G19" i="39"/>
  <c r="J19" i="39"/>
  <c r="E9" i="39"/>
  <c r="I9" i="39"/>
  <c r="C24" i="40"/>
  <c r="F24" i="40" a="1"/>
  <c r="F24" i="40"/>
  <c r="I8" i="39"/>
  <c r="N9" i="39"/>
  <c r="N20" i="39"/>
  <c r="H9" i="39"/>
  <c r="K9" i="39"/>
  <c r="C13" i="40"/>
  <c r="F13" i="40" a="1"/>
  <c r="F13" i="40"/>
  <c r="N13" i="39"/>
  <c r="M14" i="39"/>
  <c r="P14" i="39"/>
  <c r="E20" i="39"/>
  <c r="L13" i="39"/>
  <c r="L14" i="39"/>
  <c r="F20" i="39"/>
  <c r="J13" i="39"/>
  <c r="G14" i="39"/>
  <c r="H20" i="39"/>
  <c r="M20" i="39"/>
  <c r="P20" i="39"/>
  <c r="I13" i="39"/>
  <c r="F14" i="39"/>
  <c r="C25" i="40"/>
  <c r="O25" i="40" a="1"/>
  <c r="O25" i="40"/>
  <c r="H13" i="39"/>
  <c r="H14" i="39"/>
  <c r="K13" i="39"/>
  <c r="I14" i="39"/>
  <c r="K26" i="39"/>
  <c r="H26" i="39"/>
  <c r="J20" i="39"/>
  <c r="J15" i="39"/>
  <c r="E26" i="39"/>
  <c r="I20" i="39"/>
  <c r="I19" i="39"/>
  <c r="H15" i="39"/>
  <c r="K20" i="39"/>
  <c r="F19" i="39"/>
  <c r="J26" i="39"/>
  <c r="L26" i="39"/>
  <c r="E8" i="39"/>
  <c r="G15" i="39"/>
  <c r="H7" i="39"/>
  <c r="I15" i="39"/>
  <c r="K15" i="39"/>
  <c r="L7" i="39"/>
  <c r="N15" i="39"/>
  <c r="G7" i="39"/>
  <c r="C20" i="40"/>
  <c r="O20" i="40" a="1"/>
  <c r="O20" i="40"/>
  <c r="I26" i="39"/>
  <c r="K7" i="39"/>
  <c r="N8" i="39"/>
  <c r="F7" i="39"/>
  <c r="H8" i="39"/>
  <c r="F26" i="39"/>
  <c r="E7" i="39"/>
  <c r="F8" i="39"/>
  <c r="N26" i="39"/>
  <c r="I7" i="39"/>
  <c r="G8" i="39"/>
  <c r="N7" i="39"/>
  <c r="M15" i="39"/>
  <c r="P15" i="39"/>
  <c r="J8" i="39"/>
  <c r="G26" i="39"/>
  <c r="L9" i="39"/>
  <c r="J7" i="39"/>
  <c r="F15" i="39"/>
  <c r="M8" i="39"/>
  <c r="P8" i="39"/>
  <c r="M26" i="39"/>
  <c r="P26" i="39"/>
  <c r="M7" i="39"/>
  <c r="P7" i="39"/>
  <c r="E15" i="39"/>
  <c r="K8" i="39"/>
  <c r="O16" i="40" a="1"/>
  <c r="O16" i="40"/>
  <c r="M16" i="40"/>
  <c r="F16" i="40" a="1"/>
  <c r="F16" i="40"/>
  <c r="D16" i="40"/>
  <c r="L16" i="40" a="1"/>
  <c r="L16" i="40"/>
  <c r="J16" i="40"/>
  <c r="I16" i="40" a="1"/>
  <c r="I16" i="40"/>
  <c r="G16" i="40"/>
  <c r="O23" i="40" a="1"/>
  <c r="O23" i="40"/>
  <c r="M23" i="40"/>
  <c r="N23" i="40"/>
  <c r="G23" i="40"/>
  <c r="H23" i="40"/>
  <c r="L23" i="40" a="1"/>
  <c r="L23" i="40"/>
  <c r="F23" i="40" a="1"/>
  <c r="F23" i="40"/>
  <c r="J23" i="40"/>
  <c r="K23" i="40"/>
  <c r="I23" i="40" a="1"/>
  <c r="I23" i="40"/>
  <c r="D23" i="40"/>
  <c r="E23" i="40"/>
  <c r="G17" i="40"/>
  <c r="J17" i="40"/>
  <c r="O17" i="40" a="1"/>
  <c r="O17" i="40"/>
  <c r="D17" i="40"/>
  <c r="L27" i="40" a="1"/>
  <c r="L27" i="40"/>
  <c r="O27" i="40" a="1"/>
  <c r="O27" i="40"/>
  <c r="O29" i="40" a="1"/>
  <c r="O29" i="40"/>
  <c r="M27" i="40"/>
  <c r="N27" i="40"/>
  <c r="F17" i="40" a="1"/>
  <c r="F17" i="40"/>
  <c r="I17" i="40" a="1"/>
  <c r="I17" i="40"/>
  <c r="L17" i="40" a="1"/>
  <c r="L17" i="40"/>
  <c r="I19" i="40" a="1"/>
  <c r="I19" i="40"/>
  <c r="J27" i="40"/>
  <c r="K27" i="40"/>
  <c r="I27" i="40" a="1"/>
  <c r="I27" i="40"/>
  <c r="F27" i="40" a="1"/>
  <c r="F27" i="40"/>
  <c r="D27" i="40"/>
  <c r="E27" i="40"/>
  <c r="O19" i="40" a="1"/>
  <c r="O19" i="40"/>
  <c r="F19" i="40" a="1"/>
  <c r="F19" i="40"/>
  <c r="D19" i="40"/>
  <c r="E19" i="40"/>
  <c r="G19" i="40"/>
  <c r="H19" i="40"/>
  <c r="I29" i="40" a="1"/>
  <c r="I29" i="40"/>
  <c r="L15" i="40" a="1"/>
  <c r="L15" i="40"/>
  <c r="O15" i="40" a="1"/>
  <c r="O15" i="40"/>
  <c r="D15" i="40"/>
  <c r="M15" i="40"/>
  <c r="N15" i="40"/>
  <c r="G15" i="40"/>
  <c r="I15" i="40" a="1"/>
  <c r="I15" i="40"/>
  <c r="F15" i="40" a="1"/>
  <c r="F15" i="40"/>
  <c r="O22" i="40" a="1"/>
  <c r="O22" i="40"/>
  <c r="L29" i="40" a="1"/>
  <c r="L29" i="40"/>
  <c r="M29" i="40"/>
  <c r="N29" i="40"/>
  <c r="D29" i="40"/>
  <c r="E29" i="40"/>
  <c r="J29" i="40"/>
  <c r="K29" i="40"/>
  <c r="F29" i="40" a="1"/>
  <c r="F29" i="40"/>
  <c r="G22" i="40"/>
  <c r="H22" i="40"/>
  <c r="I22" i="40" a="1"/>
  <c r="I22" i="40"/>
  <c r="D22" i="40"/>
  <c r="E22" i="40"/>
  <c r="J22" i="40"/>
  <c r="K22" i="40"/>
  <c r="L22" i="40" a="1"/>
  <c r="L22" i="40"/>
  <c r="F22" i="40" a="1"/>
  <c r="F22" i="40"/>
  <c r="I14" i="40" a="1"/>
  <c r="I14" i="40"/>
  <c r="H14" i="40"/>
  <c r="F10" i="40" a="1"/>
  <c r="F10" i="40"/>
  <c r="O26" i="40" a="1"/>
  <c r="O26" i="40"/>
  <c r="L26" i="40" a="1"/>
  <c r="L26" i="40"/>
  <c r="D26" i="40"/>
  <c r="E26" i="40"/>
  <c r="M26" i="40"/>
  <c r="N26" i="40"/>
  <c r="G26" i="40"/>
  <c r="H26" i="40"/>
  <c r="I26" i="40" a="1"/>
  <c r="I26" i="40"/>
  <c r="F26" i="40" a="1"/>
  <c r="F26" i="40"/>
  <c r="D21" i="40"/>
  <c r="E21" i="40"/>
  <c r="J28" i="40"/>
  <c r="K28" i="40"/>
  <c r="G20" i="40"/>
  <c r="H20" i="40"/>
  <c r="I21" i="40" a="1"/>
  <c r="I21" i="40"/>
  <c r="G28" i="40"/>
  <c r="H28" i="40"/>
  <c r="L28" i="40" a="1"/>
  <c r="L28" i="40"/>
  <c r="M21" i="40"/>
  <c r="N21" i="40"/>
  <c r="O21" i="40" a="1"/>
  <c r="O21" i="40"/>
  <c r="I28" i="40" a="1"/>
  <c r="I28" i="40"/>
  <c r="O28" i="40" a="1"/>
  <c r="O28" i="40"/>
  <c r="D28" i="40"/>
  <c r="E28" i="40"/>
  <c r="M28" i="40"/>
  <c r="N28" i="40"/>
  <c r="J21" i="40"/>
  <c r="K21" i="40"/>
  <c r="I11" i="40" a="1"/>
  <c r="I11" i="40"/>
  <c r="H11" i="40"/>
  <c r="F21" i="40" a="1"/>
  <c r="F21" i="40"/>
  <c r="G21" i="40"/>
  <c r="H21" i="40"/>
  <c r="I20" i="40" a="1"/>
  <c r="I20" i="40"/>
  <c r="J11" i="40"/>
  <c r="AA11" i="40" a="1"/>
  <c r="AA11" i="40"/>
  <c r="Z11" i="40" a="1"/>
  <c r="Z11" i="40"/>
  <c r="Y11" i="40" a="1"/>
  <c r="Y11" i="40"/>
  <c r="X11" i="40" a="1"/>
  <c r="X11" i="40"/>
  <c r="W11" i="40" a="1"/>
  <c r="W11" i="40"/>
  <c r="V11" i="40" a="1"/>
  <c r="V11" i="40"/>
  <c r="U11" i="40" a="1"/>
  <c r="U11" i="40"/>
  <c r="T11" i="40" a="1"/>
  <c r="T11" i="40"/>
  <c r="AA9" i="40" a="1"/>
  <c r="AA9" i="40"/>
  <c r="Z9" i="40" a="1"/>
  <c r="Z9" i="40"/>
  <c r="Y9" i="40" a="1"/>
  <c r="Y9" i="40"/>
  <c r="X9" i="40" a="1"/>
  <c r="X9" i="40"/>
  <c r="W9" i="40" a="1"/>
  <c r="W9" i="40"/>
  <c r="V9" i="40" a="1"/>
  <c r="V9" i="40"/>
  <c r="U9" i="40" a="1"/>
  <c r="U9" i="40"/>
  <c r="T9" i="40" a="1"/>
  <c r="T9" i="40"/>
  <c r="I18" i="40" a="1"/>
  <c r="I18" i="40"/>
  <c r="AA21" i="40" a="1"/>
  <c r="AA21" i="40"/>
  <c r="Z21" i="40" a="1"/>
  <c r="Z21" i="40"/>
  <c r="Y21" i="40" a="1"/>
  <c r="Y21" i="40"/>
  <c r="X21" i="40" a="1"/>
  <c r="X21" i="40"/>
  <c r="W21" i="40" a="1"/>
  <c r="W21" i="40"/>
  <c r="V21" i="40" a="1"/>
  <c r="V21" i="40"/>
  <c r="T21" i="40" a="1"/>
  <c r="T21" i="40"/>
  <c r="U21" i="40" a="1"/>
  <c r="U21" i="40"/>
  <c r="AA16" i="40" a="1"/>
  <c r="AA16" i="40"/>
  <c r="Z16" i="40" a="1"/>
  <c r="Z16" i="40"/>
  <c r="Y16" i="40" a="1"/>
  <c r="Y16" i="40"/>
  <c r="X16" i="40" a="1"/>
  <c r="X16" i="40"/>
  <c r="W16" i="40" a="1"/>
  <c r="W16" i="40"/>
  <c r="V16" i="40" a="1"/>
  <c r="V16" i="40"/>
  <c r="U16" i="40" a="1"/>
  <c r="U16" i="40"/>
  <c r="T16" i="40" a="1"/>
  <c r="T16" i="40"/>
  <c r="AA10" i="40" a="1"/>
  <c r="AA10" i="40"/>
  <c r="Z10" i="40" a="1"/>
  <c r="Z10" i="40"/>
  <c r="Y10" i="40" a="1"/>
  <c r="Y10" i="40"/>
  <c r="X10" i="40" a="1"/>
  <c r="X10" i="40"/>
  <c r="W10" i="40" a="1"/>
  <c r="W10" i="40"/>
  <c r="V10" i="40" a="1"/>
  <c r="V10" i="40"/>
  <c r="U10" i="40" a="1"/>
  <c r="U10" i="40"/>
  <c r="T10" i="40" a="1"/>
  <c r="T10" i="40"/>
  <c r="AA15" i="40" a="1"/>
  <c r="AA15" i="40"/>
  <c r="Z15" i="40" a="1"/>
  <c r="Z15" i="40"/>
  <c r="Y15" i="40" a="1"/>
  <c r="Y15" i="40"/>
  <c r="X15" i="40" a="1"/>
  <c r="X15" i="40"/>
  <c r="W15" i="40" a="1"/>
  <c r="W15" i="40"/>
  <c r="V15" i="40" a="1"/>
  <c r="V15" i="40"/>
  <c r="U15" i="40" a="1"/>
  <c r="U15" i="40"/>
  <c r="T15" i="40" a="1"/>
  <c r="T15" i="40"/>
  <c r="AA20" i="40" a="1"/>
  <c r="AA20" i="40"/>
  <c r="Z20" i="40" a="1"/>
  <c r="Z20" i="40"/>
  <c r="Y20" i="40" a="1"/>
  <c r="Y20" i="40"/>
  <c r="X20" i="40" a="1"/>
  <c r="X20" i="40"/>
  <c r="W20" i="40" a="1"/>
  <c r="W20" i="40"/>
  <c r="V20" i="40" a="1"/>
  <c r="V20" i="40"/>
  <c r="U20" i="40" a="1"/>
  <c r="U20" i="40"/>
  <c r="T20" i="40" a="1"/>
  <c r="T20" i="40"/>
  <c r="AA14" i="40" a="1"/>
  <c r="AA14" i="40"/>
  <c r="Z14" i="40" a="1"/>
  <c r="Z14" i="40"/>
  <c r="Y14" i="40" a="1"/>
  <c r="Y14" i="40"/>
  <c r="X14" i="40" a="1"/>
  <c r="X14" i="40"/>
  <c r="W14" i="40" a="1"/>
  <c r="W14" i="40"/>
  <c r="V14" i="40" a="1"/>
  <c r="V14" i="40"/>
  <c r="U14" i="40" a="1"/>
  <c r="U14" i="40"/>
  <c r="T14" i="40" a="1"/>
  <c r="T14" i="40"/>
  <c r="AA25" i="40" a="1"/>
  <c r="AA25" i="40"/>
  <c r="Z25" i="40" a="1"/>
  <c r="Z25" i="40"/>
  <c r="Y25" i="40" a="1"/>
  <c r="Y25" i="40"/>
  <c r="X25" i="40" a="1"/>
  <c r="X25" i="40"/>
  <c r="W25" i="40" a="1"/>
  <c r="W25" i="40"/>
  <c r="V25" i="40" a="1"/>
  <c r="V25" i="40"/>
  <c r="U25" i="40" a="1"/>
  <c r="U25" i="40"/>
  <c r="T25" i="40" a="1"/>
  <c r="T25" i="40"/>
  <c r="AA7" i="40" a="1"/>
  <c r="AA7" i="40"/>
  <c r="Z7" i="40" a="1"/>
  <c r="Z7" i="40"/>
  <c r="Y7" i="40" a="1"/>
  <c r="Y7" i="40"/>
  <c r="X7" i="40" a="1"/>
  <c r="X7" i="40"/>
  <c r="W7" i="40" a="1"/>
  <c r="W7" i="40"/>
  <c r="V7" i="40" a="1"/>
  <c r="V7" i="40"/>
  <c r="U7" i="40" a="1"/>
  <c r="U7" i="40"/>
  <c r="T7" i="40" a="1"/>
  <c r="T7" i="40"/>
  <c r="AA6" i="40" a="1"/>
  <c r="AA6" i="40"/>
  <c r="Z6" i="40" a="1"/>
  <c r="Z6" i="40"/>
  <c r="Y6" i="40" a="1"/>
  <c r="Y6" i="40"/>
  <c r="X6" i="40" a="1"/>
  <c r="X6" i="40"/>
  <c r="W6" i="40" a="1"/>
  <c r="W6" i="40"/>
  <c r="V6" i="40" a="1"/>
  <c r="V6" i="40"/>
  <c r="U6" i="40" a="1"/>
  <c r="U6" i="40"/>
  <c r="M10" i="40"/>
  <c r="O10" i="40" a="1"/>
  <c r="O10" i="40"/>
  <c r="AA8" i="40" a="1"/>
  <c r="AA8" i="40"/>
  <c r="Z8" i="40" a="1"/>
  <c r="Z8" i="40"/>
  <c r="Y8" i="40" a="1"/>
  <c r="Y8" i="40"/>
  <c r="X8" i="40" a="1"/>
  <c r="X8" i="40"/>
  <c r="W8" i="40" a="1"/>
  <c r="W8" i="40"/>
  <c r="V8" i="40" a="1"/>
  <c r="V8" i="40"/>
  <c r="T8" i="40" a="1"/>
  <c r="T8" i="40"/>
  <c r="U8" i="40" a="1"/>
  <c r="U8" i="40"/>
  <c r="J19" i="40"/>
  <c r="K19" i="40"/>
  <c r="D10" i="40"/>
  <c r="M19" i="40"/>
  <c r="N19" i="40"/>
  <c r="L10" i="40" a="1"/>
  <c r="L10" i="40"/>
  <c r="G10" i="40"/>
  <c r="H10" i="40"/>
  <c r="J14" i="40"/>
  <c r="T6" i="40" a="1"/>
  <c r="T6" i="40"/>
  <c r="J10" i="40"/>
  <c r="M20" i="40"/>
  <c r="N20" i="40"/>
  <c r="D20" i="40"/>
  <c r="E20" i="40"/>
  <c r="D18" i="40"/>
  <c r="E18" i="40"/>
  <c r="F18" i="40" a="1"/>
  <c r="F18" i="40"/>
  <c r="J18" i="40"/>
  <c r="K18" i="40"/>
  <c r="J12" i="40"/>
  <c r="J20" i="40"/>
  <c r="K20" i="40"/>
  <c r="G18" i="40"/>
  <c r="H18" i="40"/>
  <c r="L18" i="40" a="1"/>
  <c r="L18" i="40"/>
  <c r="L20" i="40" a="1"/>
  <c r="L20" i="40"/>
  <c r="O18" i="40" a="1"/>
  <c r="O18" i="40"/>
  <c r="F20" i="40" a="1"/>
  <c r="F20" i="40"/>
  <c r="M11" i="40"/>
  <c r="I12" i="40" a="1"/>
  <c r="I12" i="40"/>
  <c r="L12" i="40" a="1"/>
  <c r="L12" i="40"/>
  <c r="M12" i="40"/>
  <c r="L25" i="40" a="1"/>
  <c r="L25" i="40"/>
  <c r="F12" i="40" a="1"/>
  <c r="F12" i="40"/>
  <c r="E12" i="40"/>
  <c r="O12" i="40" a="1"/>
  <c r="O12" i="40"/>
  <c r="L24" i="40" a="1"/>
  <c r="L24" i="40"/>
  <c r="L11" i="40" a="1"/>
  <c r="L11" i="40"/>
  <c r="G12" i="40"/>
  <c r="O11" i="40" a="1"/>
  <c r="O11" i="40"/>
  <c r="D11" i="40"/>
  <c r="F11" i="40" a="1"/>
  <c r="F11" i="40"/>
  <c r="G24" i="40"/>
  <c r="H24" i="40"/>
  <c r="L14" i="40" a="1"/>
  <c r="L14" i="40"/>
  <c r="M24" i="40"/>
  <c r="N24" i="40"/>
  <c r="M14" i="40"/>
  <c r="O24" i="40" a="1"/>
  <c r="O24" i="40"/>
  <c r="D24" i="40"/>
  <c r="E24" i="40"/>
  <c r="O14" i="40" a="1"/>
  <c r="O14" i="40"/>
  <c r="I24" i="40" a="1"/>
  <c r="I24" i="40"/>
  <c r="J24" i="40"/>
  <c r="K24" i="40"/>
  <c r="D14" i="40"/>
  <c r="F14" i="40" a="1"/>
  <c r="F14" i="40"/>
  <c r="J13" i="40"/>
  <c r="O13" i="40" a="1"/>
  <c r="O13" i="40"/>
  <c r="K17" i="40"/>
  <c r="G13" i="40"/>
  <c r="I13" i="40" a="1"/>
  <c r="I13" i="40"/>
  <c r="D13" i="40"/>
  <c r="E13" i="40"/>
  <c r="L13" i="40" a="1"/>
  <c r="L13" i="40"/>
  <c r="M13" i="40"/>
  <c r="I25" i="40" a="1"/>
  <c r="I25" i="40"/>
  <c r="F25" i="40" a="1"/>
  <c r="F25" i="40"/>
  <c r="J25" i="40"/>
  <c r="K25" i="40"/>
  <c r="M25" i="40"/>
  <c r="N25" i="40"/>
  <c r="D25" i="40"/>
  <c r="E25" i="40"/>
  <c r="G25" i="40"/>
  <c r="H25" i="40"/>
  <c r="K15" i="40"/>
  <c r="H17" i="40"/>
  <c r="K16" i="40"/>
  <c r="E16" i="40"/>
  <c r="E17" i="40"/>
  <c r="H16" i="40"/>
  <c r="N17" i="40"/>
  <c r="N16" i="40"/>
  <c r="E15" i="40"/>
  <c r="H15" i="40"/>
  <c r="E10" i="40"/>
  <c r="K10" i="40"/>
  <c r="K11" i="40"/>
  <c r="N10" i="40"/>
  <c r="N14" i="40"/>
  <c r="K12" i="40"/>
  <c r="N12" i="40"/>
  <c r="K14" i="40"/>
  <c r="N13" i="40"/>
  <c r="E11" i="40"/>
  <c r="E14" i="40"/>
  <c r="N11" i="40"/>
  <c r="H12" i="40"/>
  <c r="K13" i="40"/>
  <c r="H13" i="40"/>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<sst xmlns="http://schemas.openxmlformats.org/spreadsheetml/2006/main" count="667" uniqueCount="206">
  <si>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</si>
  <si>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</si>
  <si>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</si>
  <si>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</si>
  <si>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</si>
  <si>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</si>
  <si>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</si>
  <si>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</si>
  <si>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</si>
  <si>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</si>
  <si>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</si>
  <si>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</si>
  <si>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</si>
  <si>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</si>
  <si>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</si>
  <si>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</si>
  <si>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</si>
  <si>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</si>
  <si>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</si>
  <si>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</si>
  <si>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</si>
  <si>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</si>
  <si>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</si>
  <si>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</si>
  <si>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</si>
  <si>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</si>
  <si>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</si>
  <si>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</si>
  <si>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</si>
  <si>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</si>
  <si>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</si>
  <si>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</si>
  <si>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</si>
  <si>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</si>
  <si>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</si>
  <si>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</si>
  <si>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</si>
  <si>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</si>
  <si>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</si>
  <si>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</si>
  <si>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</si>
  <si>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</si>
  <si>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</si>
  <si>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</si>
  <si>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</si>
  <si>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</si>
  <si>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</si>
  <si>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</si>
  <si>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</si>
  <si>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</si>
  <si>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</si>
  <si>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</si>
  <si>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</si>
  <si>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</si>
  <si>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</si>
  <si>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</si>
  <si>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</si>
  <si>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</si>
  <si>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</si>
  <si>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</si>
  <si>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</si>
  <si>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</si>
  <si>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</si>
  <si>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</si>
  <si>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</si>
  <si>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</si>
  <si>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</si>
  <si>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</si>
  <si>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</si>
  <si>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</si>
  <si>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</si>
  <si>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</si>
  <si>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</si>
  <si>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</si>
  <si>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</si>
  <si>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</si>
  <si>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</si>
  <si>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</si>
  <si>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</si>
  <si>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</si>
  <si>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</si>
  <si>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</si>
  <si>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</si>
  <si>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</si>
  <si>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</si>
  <si>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</si>
  <si>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</si>
  <si>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</si>
  <si>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</si>
  <si>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</si>
  <si>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</si>
  <si>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</si>
  <si>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</si>
  <si>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</si>
  <si>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</si>
  <si>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</si>
  <si>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</si>
  <si>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</si>
  <si>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</si>
  <si>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</si>
  <si>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</si>
  <si>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</si>
  <si>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</si>
  <si>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</si>
  <si>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</si>
  <si>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</si>
  <si>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</si>
  <si>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</si>
  <si>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</si>
  <si>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</si>
  <si>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</si>
  <si>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</si>
  <si>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</si>
  <si>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</si>
  <si>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</si>
  <si>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</si>
  <si>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</si>
  <si>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</si>
  <si>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</si>
  <si>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</si>
  <si>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</si>
  <si>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</si>
  <si>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</si>
  <si>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</si>
  <si>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</si>
  <si>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</si>
  <si>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</si>
  <si>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</si>
  <si>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</si>
  <si>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</si>
  <si>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</si>
  <si>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</si>
  <si>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</si>
  <si>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</si>
  <si>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</si>
  <si>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</si>
  <si>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</si>
  <si>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</si>
  <si>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</si>
  <si>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</si>
  <si>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</si>
  <si>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</si>
  <si>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</si>
  <si>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</si>
  <si>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</si>
  <si>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</si>
  <si>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</si>
  <si>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</si>
  <si>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</si>
  <si>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</si>
  <si>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</si>
  <si>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</si>
  <si>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</si>
  <si>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</si>
  <si>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</si>
  <si>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</si>
  <si>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</si>
  <si>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</si>
  <si>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</si>
  <si>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</si>
  <si>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</si>
  <si>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</si>
  <si>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</si>
  <si>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</si>
  <si>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</si>
  <si>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</si>
  <si>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</si>
  <si>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</si>
  <si>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</si>
  <si>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</si>
  <si>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</si>
  <si>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</si>
  <si>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</si>
  <si>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</si>
  <si>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</si>
  <si>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</si>
  <si>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</si>
  <si>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</si>
  <si>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</si>
  <si>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</si>
  <si>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</si>
  <si>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</si>
  <si>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</si>
  <si>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</si>
  <si>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</si>
  <si>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</si>
  <si>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</si>
  <si>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</si>
  <si>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</si>
  <si>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</si>
  <si>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</si>
  <si>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</si>
  <si>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</si>
  <si>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</si>
  <si>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</si>
  <si>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</si>
  <si>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</si>
  <si>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</si>
  <si>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</si>
  <si>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</si>
  <si>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Carlos Hurtado</t>
  </si>
  <si>
    <t>carloshurtadoch286@gmail.com</t>
  </si>
  <si>
    <t>Messi</t>
  </si>
  <si>
    <t>Lautaro</t>
  </si>
  <si>
    <t>Endrick</t>
  </si>
  <si>
    <t>Dibu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</si>
</sst>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 #,##0.00_-;_-* &quot;-&quot;??_-;_-@_-"/>
    <numFmt numFmtId="165" formatCode="_-* #,##0.00\ &quot;€&quot;_-;\-* #,##0.00\ &quot;€&quot;_-;_-* &quot;-&quot;??\ &quot;€&quot;_-;_-@_-"/>
    <numFmt numFmtId="166" formatCode=";;;"/>
    <numFmt numFmtId="167" formatCode="h:mm;@"/>
    <numFmt numFmtId="168" formatCode="dd/mm/yyyy\ hh:mm"/>
    <numFmt numFmtId="169" formatCode="\+#;\-#;0"/>
    <numFmt numFmtId="170" formatCode="_-* #,##0\ &quot;€&quot;_-;\-* #,##0\ &quot;€&quot;_-;_-* &quot;-&quot;??\ &quot;€&quot;_-;_-@_-"/>
    <numFmt numFmtId="171"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8">
    <xf numFmtId="0" fontId="0" fillId="0" borderId="0"/>
    <xf numFmtId="0" fontId="4" fillId="0" borderId="0" applyNumberForma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0" fontId="4" fillId="0" borderId="0" applyNumberFormat="0" applyFill="0" applyBorder="0" applyAlignment="0" applyProtection="0"/>
  </cellStyleXfs>
  <cellXfs count="303">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6"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6" fontId="0" fillId="3" borderId="0" xfId="2" applyNumberFormat="1" applyFont="1" applyFill="1"/>
    <xf numFmtId="164"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164"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7"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164" fontId="6" fillId="0" borderId="0" xfId="2" applyFont="1" applyFill="1"/>
    <xf numFmtId="166" fontId="0" fillId="0" borderId="0" xfId="2" applyNumberFormat="1" applyFont="1" applyFill="1"/>
    <xf numFmtId="166"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164" fontId="0" fillId="0" borderId="0" xfId="3" applyFont="1"/>
    <xf numFmtId="164"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164" fontId="0" fillId="0" borderId="0" xfId="3" applyFont="1" applyFill="1"/>
    <xf numFmtId="164" fontId="1" fillId="3" borderId="0" xfId="3" applyFont="1" applyFill="1"/>
    <xf numFmtId="164" fontId="1" fillId="0" borderId="0" xfId="3" applyFont="1" applyFill="1"/>
    <xf numFmtId="164" fontId="1" fillId="0" borderId="0" xfId="3" applyFont="1"/>
    <xf numFmtId="0" fontId="0" fillId="0" borderId="39" xfId="0" applyBorder="1"/>
    <xf numFmtId="164" fontId="5" fillId="3" borderId="0" xfId="3" applyFont="1" applyFill="1" applyAlignment="1">
      <alignment horizontal="center" vertical="center"/>
    </xf>
    <xf numFmtId="164" fontId="5" fillId="0" borderId="0" xfId="3" applyFont="1" applyAlignment="1">
      <alignment horizontal="center" vertical="center"/>
    </xf>
    <xf numFmtId="164"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164"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8" fontId="0" fillId="0" borderId="0" xfId="3" applyNumberFormat="1" applyFont="1" applyAlignment="1">
      <alignment horizontal="center"/>
    </xf>
    <xf numFmtId="0" fontId="2" fillId="9" borderId="0" xfId="0" applyFont="1" applyFill="1" applyAlignment="1">
      <alignment horizontal="center"/>
    </xf>
    <xf numFmtId="168"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7"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164"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6"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9" fontId="0" fillId="3" borderId="34" xfId="0" applyNumberFormat="1" applyFill="1" applyBorder="1" applyAlignment="1">
      <alignment horizontal="center" vertical="center"/>
    </xf>
    <xf numFmtId="166" fontId="2" fillId="9" borderId="0" xfId="2" applyNumberFormat="1" applyFont="1" applyFill="1" applyAlignment="1">
      <alignment horizontal="center"/>
    </xf>
    <xf numFmtId="166" fontId="0" fillId="3" borderId="0" xfId="2" applyNumberFormat="1" applyFont="1" applyFill="1" applyAlignment="1">
      <alignment horizontal="center"/>
    </xf>
    <xf numFmtId="166" fontId="2" fillId="3" borderId="0" xfId="2" applyNumberFormat="1" applyFont="1" applyFill="1" applyAlignment="1">
      <alignment horizontal="center" vertical="center"/>
    </xf>
    <xf numFmtId="166" fontId="17" fillId="3" borderId="0" xfId="2" applyNumberFormat="1" applyFont="1" applyFill="1"/>
    <xf numFmtId="166" fontId="16" fillId="3" borderId="0" xfId="2" applyNumberFormat="1" applyFont="1" applyFill="1"/>
    <xf numFmtId="166" fontId="18" fillId="3" borderId="0" xfId="2" applyNumberFormat="1" applyFont="1" applyFill="1"/>
    <xf numFmtId="166" fontId="0" fillId="3" borderId="0" xfId="0" applyNumberFormat="1" applyFill="1" applyAlignment="1">
      <alignment horizontal="center"/>
    </xf>
    <xf numFmtId="166" fontId="0" fillId="3" borderId="0" xfId="2" applyNumberFormat="1" applyFont="1" applyFill="1" applyAlignment="1">
      <alignment horizontal="left" indent="1"/>
    </xf>
    <xf numFmtId="166"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70" fontId="0" fillId="0" borderId="0" xfId="6" applyNumberFormat="1" applyFont="1"/>
    <xf numFmtId="171" fontId="38" fillId="2" borderId="35" xfId="1" applyNumberFormat="1" applyFont="1" applyFill="1" applyBorder="1" applyAlignment="1">
      <alignment horizontal="center" vertical="center" wrapText="1"/>
    </xf>
    <xf numFmtId="164"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0" fontId="4" fillId="3" borderId="32" xfId="7" applyFill="1" applyBorder="1" applyAlignment="1">
      <alignment horizontal="left" indent="1"/>
    </xf>
    <xf numFmtId="0" fontId="4" fillId="3" borderId="33" xfId="7" applyFill="1" applyBorder="1" applyAlignment="1">
      <alignment horizontal="left" indent="1"/>
    </xf>
    <xf numFmtId="0" fontId="4" fillId="3" borderId="34" xfId="7" applyFill="1" applyBorder="1" applyAlignment="1">
      <alignment horizontal="left" indent="1"/>
    </xf>
    <xf numFmtId="171" fontId="38" fillId="2" borderId="35" xfId="1" applyNumberFormat="1" applyFont="1" applyFill="1" applyBorder="1" applyAlignment="1">
      <alignment horizontal="center" vertical="center" wrapText="1"/>
    </xf>
    <xf numFmtId="171"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1" fontId="38" fillId="9" borderId="35" xfId="1" applyNumberFormat="1" applyFont="1" applyFill="1" applyBorder="1" applyAlignment="1">
      <alignment horizontal="center" vertical="center" wrapText="1"/>
    </xf>
    <xf numFmtId="171"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8">
    <cellStyle name="Hipervínculo" xfId="1" builtinId="8"/>
    <cellStyle name="Hyperlink" xfId="7" xr:uid="{00000000-000B-0000-0000-000008000000}"/>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34">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left style="thin">
          <color theme="2" tint="-9.9948118533890809E-2"/>
        </left>
        <vertical/>
        <horizontal/>
      </border>
    </dxf>
    <dxf>
      <border>
        <bottom style="thin">
          <color auto="1"/>
        </bottom>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patternType="none"/>
      </fill>
    </dxf>
    <dxf>
      <font>
        <color rgb="FFB91114"/>
      </font>
      <fill>
        <patternFill patternType="none"/>
      </fill>
    </dxf>
    <dxf>
      <font>
        <color rgb="FF0065B3"/>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B91114"/>
      </font>
      <fill>
        <patternFill patternType="none"/>
      </fill>
    </dxf>
    <dxf>
      <fill>
        <patternFill patternType="none"/>
      </fill>
    </dxf>
    <dxf>
      <font>
        <color rgb="FF0065B3"/>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20/07/relationships/rdRichValueWebImage" Target="richData/rdRichValueWebImag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Types" Target="richData/rdRichValueTyp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carloshurtadoch286@gmail.co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tabSelected="1" zoomScaleNormal="100" workbookViewId="0">
      <selection activeCell="E27" sqref="E27"/>
    </sheetView>
  </sheetViews>
  <sheetFormatPr defaultColWidth="10.76171875" defaultRowHeight="15" x14ac:dyDescent="0.2"/>
  <cols>
    <col min="2" max="2" width="45.0625" customWidth="1"/>
    <col min="3" max="3" width="8.609375" customWidth="1"/>
    <col min="4" max="4" width="10.89453125" customWidth="1"/>
    <col min="5" max="5" width="29.7265625" customWidth="1"/>
    <col min="6" max="6" width="8.609375" customWidth="1"/>
    <col min="7" max="7" width="23.5390625" customWidth="1"/>
    <col min="8" max="8" width="8.609375" customWidth="1"/>
    <col min="9" max="9" width="20.04296875" customWidth="1"/>
    <col min="10" max="10" width="8.7421875" customWidth="1"/>
    <col min="11" max="11" width="11.97265625" customWidth="1"/>
  </cols>
  <sheetData>
    <row r="1" spans="2:13" ht="27.75" x14ac:dyDescent="0.5">
      <c r="B1" s="265" t="s">
        <v>177</v>
      </c>
      <c r="C1" s="265"/>
      <c r="D1" s="265"/>
      <c r="E1" s="265"/>
      <c r="F1" s="265"/>
      <c r="G1" s="265"/>
      <c r="H1" s="265"/>
      <c r="I1" s="265"/>
      <c r="J1" s="265"/>
      <c r="K1" s="265"/>
      <c r="L1" s="265"/>
    </row>
    <row r="3" spans="2:13" ht="43.5" customHeight="1" x14ac:dyDescent="0.2">
      <c r="B3" s="266" t="s">
        <v>65</v>
      </c>
      <c r="C3" s="266"/>
      <c r="D3" s="266"/>
      <c r="E3" s="266"/>
      <c r="F3" s="266"/>
      <c r="G3" s="266"/>
    </row>
    <row r="4" spans="2:13" ht="15.75" thickBot="1" x14ac:dyDescent="0.25"/>
    <row r="5" spans="2:13" ht="15.75" thickBot="1" x14ac:dyDescent="0.25">
      <c r="B5" s="86"/>
      <c r="C5" s="87" t="s">
        <v>66</v>
      </c>
      <c r="D5" s="87" t="s">
        <v>67</v>
      </c>
      <c r="G5" s="267" t="s">
        <v>68</v>
      </c>
      <c r="H5" s="268"/>
      <c r="I5" s="268"/>
      <c r="J5" s="268"/>
      <c r="K5" s="268"/>
      <c r="L5" s="269"/>
    </row>
    <row r="6" spans="2:13" ht="15.75" thickBot="1" x14ac:dyDescent="0.25">
      <c r="B6" s="89" t="s">
        <v>69</v>
      </c>
      <c r="C6" s="90">
        <v>5</v>
      </c>
      <c r="D6" s="90">
        <f>+C6*24</f>
        <v>120</v>
      </c>
      <c r="E6" s="127"/>
      <c r="G6" s="116" t="s">
        <v>70</v>
      </c>
      <c r="H6" s="117"/>
      <c r="I6" s="116" t="s">
        <v>71</v>
      </c>
      <c r="J6" s="117"/>
      <c r="K6" s="116" t="s">
        <v>72</v>
      </c>
      <c r="L6" s="117"/>
      <c r="M6" s="88"/>
    </row>
    <row r="7" spans="2:13" x14ac:dyDescent="0.2">
      <c r="B7" s="91" t="s">
        <v>73</v>
      </c>
      <c r="C7" s="92">
        <v>0</v>
      </c>
      <c r="D7" s="90">
        <f>+C7*24</f>
        <v>0</v>
      </c>
      <c r="E7" s="127"/>
      <c r="G7" s="111" t="s">
        <v>74</v>
      </c>
      <c r="H7" s="93">
        <v>1</v>
      </c>
      <c r="I7" s="111" t="s">
        <v>74</v>
      </c>
      <c r="J7" s="93">
        <v>1</v>
      </c>
      <c r="K7" s="111" t="s">
        <v>74</v>
      </c>
      <c r="L7" s="93">
        <v>1</v>
      </c>
    </row>
    <row r="8" spans="2:13" ht="15.75" thickBot="1" x14ac:dyDescent="0.25">
      <c r="B8" s="94" t="s">
        <v>75</v>
      </c>
      <c r="C8" s="95">
        <v>5</v>
      </c>
      <c r="D8" s="95">
        <f>+D6</f>
        <v>120</v>
      </c>
      <c r="E8" s="127"/>
      <c r="G8" s="111" t="s">
        <v>76</v>
      </c>
      <c r="H8" s="93">
        <v>0</v>
      </c>
      <c r="I8" s="111" t="s">
        <v>76</v>
      </c>
      <c r="J8" s="93">
        <v>0</v>
      </c>
      <c r="K8" s="111" t="s">
        <v>76</v>
      </c>
      <c r="L8" s="93">
        <v>0</v>
      </c>
    </row>
    <row r="9" spans="2:13" ht="15.75" thickBot="1" x14ac:dyDescent="0.25">
      <c r="B9" s="96" t="s">
        <v>80</v>
      </c>
      <c r="C9" s="90">
        <v>5</v>
      </c>
      <c r="D9" s="90">
        <f>+C9*4</f>
        <v>20</v>
      </c>
      <c r="E9" s="127"/>
      <c r="G9" s="111" t="s">
        <v>77</v>
      </c>
      <c r="H9" s="93">
        <v>0</v>
      </c>
      <c r="I9" s="111" t="s">
        <v>77</v>
      </c>
      <c r="J9" s="93">
        <v>0</v>
      </c>
      <c r="K9" s="111" t="s">
        <v>77</v>
      </c>
      <c r="L9" s="93">
        <v>0</v>
      </c>
    </row>
    <row r="10" spans="2:13" x14ac:dyDescent="0.2">
      <c r="B10" s="97" t="s">
        <v>82</v>
      </c>
      <c r="C10" s="92">
        <f>+C7*2</f>
        <v>0</v>
      </c>
      <c r="D10" s="90">
        <f>+C10*24</f>
        <v>0</v>
      </c>
      <c r="E10" s="127"/>
      <c r="G10" s="111" t="s">
        <v>78</v>
      </c>
      <c r="H10" s="93">
        <v>0</v>
      </c>
      <c r="I10" s="111" t="s">
        <v>78</v>
      </c>
      <c r="J10" s="93">
        <v>0</v>
      </c>
      <c r="K10" s="111" t="s">
        <v>78</v>
      </c>
      <c r="L10" s="93">
        <v>0</v>
      </c>
    </row>
    <row r="11" spans="2:13" ht="15.75" thickBot="1" x14ac:dyDescent="0.25">
      <c r="B11" s="100" t="s">
        <v>84</v>
      </c>
      <c r="C11" s="95">
        <v>5</v>
      </c>
      <c r="D11" s="95">
        <f>+D9</f>
        <v>20</v>
      </c>
      <c r="E11" s="127"/>
      <c r="G11" s="111" t="s">
        <v>79</v>
      </c>
      <c r="H11" s="93">
        <v>0</v>
      </c>
      <c r="I11" s="111" t="s">
        <v>79</v>
      </c>
      <c r="J11" s="93">
        <v>0</v>
      </c>
      <c r="K11" s="111" t="s">
        <v>79</v>
      </c>
      <c r="L11" s="93">
        <v>0</v>
      </c>
    </row>
    <row r="12" spans="2:13" ht="15.75" thickBot="1" x14ac:dyDescent="0.25">
      <c r="B12" s="101" t="s">
        <v>85</v>
      </c>
      <c r="C12" s="90">
        <v>5</v>
      </c>
      <c r="D12" s="90">
        <f>+C12*2</f>
        <v>10</v>
      </c>
      <c r="E12" s="127"/>
      <c r="G12" s="111" t="s">
        <v>81</v>
      </c>
      <c r="H12" s="93">
        <v>0</v>
      </c>
      <c r="I12" s="111" t="s">
        <v>81</v>
      </c>
      <c r="J12" s="93">
        <v>0</v>
      </c>
      <c r="K12" s="111" t="s">
        <v>81</v>
      </c>
      <c r="L12" s="93">
        <v>0</v>
      </c>
    </row>
    <row r="13" spans="2:13" ht="15.75" thickBot="1" x14ac:dyDescent="0.25">
      <c r="B13" s="102" t="s">
        <v>86</v>
      </c>
      <c r="C13" s="92">
        <f>C10*2</f>
        <v>0</v>
      </c>
      <c r="D13" s="90">
        <f>+C13*24</f>
        <v>0</v>
      </c>
      <c r="E13" s="127"/>
      <c r="G13" s="112" t="s">
        <v>83</v>
      </c>
      <c r="H13" s="98">
        <v>0</v>
      </c>
      <c r="I13" s="112"/>
      <c r="J13" s="98"/>
      <c r="K13" s="112"/>
      <c r="L13" s="99"/>
    </row>
    <row r="14" spans="2:13" ht="15.75" thickBot="1" x14ac:dyDescent="0.25">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25">
      <c r="B15" s="104" t="s">
        <v>88</v>
      </c>
      <c r="C15" s="90">
        <v>5</v>
      </c>
      <c r="D15" s="90">
        <f>+C15*2</f>
        <v>10</v>
      </c>
      <c r="E15" s="127"/>
    </row>
    <row r="16" spans="2:13" x14ac:dyDescent="0.2">
      <c r="B16" s="105" t="s">
        <v>89</v>
      </c>
      <c r="C16" s="92">
        <f>+C13*2</f>
        <v>0</v>
      </c>
      <c r="D16" s="90">
        <f>+C16*24</f>
        <v>0</v>
      </c>
      <c r="E16" s="127"/>
    </row>
    <row r="17" spans="2:5" ht="15.75" thickBot="1" x14ac:dyDescent="0.25">
      <c r="B17" s="106" t="s">
        <v>90</v>
      </c>
      <c r="C17" s="95">
        <v>5</v>
      </c>
      <c r="D17" s="95">
        <f>+D15</f>
        <v>10</v>
      </c>
      <c r="E17" s="127"/>
    </row>
    <row r="18" spans="2:5" x14ac:dyDescent="0.2">
      <c r="B18" s="253" t="s">
        <v>105</v>
      </c>
      <c r="C18" s="107">
        <v>15</v>
      </c>
      <c r="D18" s="90">
        <f>+C18*4</f>
        <v>60</v>
      </c>
      <c r="E18" s="127"/>
    </row>
    <row r="19" spans="2:5" x14ac:dyDescent="0.2">
      <c r="B19" s="254" t="s">
        <v>91</v>
      </c>
      <c r="C19" s="108">
        <v>20</v>
      </c>
      <c r="D19" s="92">
        <f>+C19*8</f>
        <v>160</v>
      </c>
      <c r="E19" s="127"/>
    </row>
    <row r="20" spans="2:5" x14ac:dyDescent="0.2">
      <c r="B20" s="254" t="s">
        <v>92</v>
      </c>
      <c r="C20" s="108">
        <v>25</v>
      </c>
      <c r="D20" s="92">
        <f>+C20*4</f>
        <v>100</v>
      </c>
      <c r="E20" s="127"/>
    </row>
    <row r="21" spans="2:5" x14ac:dyDescent="0.2">
      <c r="B21" s="254" t="s">
        <v>93</v>
      </c>
      <c r="C21" s="108">
        <v>30</v>
      </c>
      <c r="D21" s="92">
        <f>+C21*2</f>
        <v>60</v>
      </c>
      <c r="E21" s="127"/>
    </row>
    <row r="22" spans="2:5" ht="15.75" thickBot="1" x14ac:dyDescent="0.25">
      <c r="B22" s="255" t="s">
        <v>94</v>
      </c>
      <c r="C22" s="109">
        <v>50</v>
      </c>
      <c r="D22" s="95">
        <f t="shared" ref="D22:D27" si="0">+C22</f>
        <v>50</v>
      </c>
      <c r="E22" s="127"/>
    </row>
    <row r="23" spans="2:5" ht="15.75" thickBot="1" x14ac:dyDescent="0.25">
      <c r="B23" s="262" t="s">
        <v>195</v>
      </c>
      <c r="C23" s="109">
        <v>10</v>
      </c>
      <c r="D23" s="95">
        <f t="shared" si="0"/>
        <v>10</v>
      </c>
      <c r="E23" s="262" t="s">
        <v>203</v>
      </c>
    </row>
    <row r="24" spans="2:5" ht="15.75" thickBot="1" x14ac:dyDescent="0.25">
      <c r="B24" s="262" t="s">
        <v>196</v>
      </c>
      <c r="C24" s="109">
        <v>10</v>
      </c>
      <c r="D24" s="95">
        <f t="shared" si="0"/>
        <v>10</v>
      </c>
      <c r="E24" s="262" t="s">
        <v>202</v>
      </c>
    </row>
    <row r="25" spans="2:5" ht="15.75" thickBot="1" x14ac:dyDescent="0.25">
      <c r="B25" s="262" t="s">
        <v>197</v>
      </c>
      <c r="C25" s="109">
        <v>10</v>
      </c>
      <c r="D25" s="95">
        <f t="shared" si="0"/>
        <v>10</v>
      </c>
      <c r="E25" s="262" t="s">
        <v>202</v>
      </c>
    </row>
    <row r="26" spans="2:5" ht="15.75" thickBot="1" x14ac:dyDescent="0.25">
      <c r="B26" s="262" t="s">
        <v>198</v>
      </c>
      <c r="C26" s="109">
        <v>10</v>
      </c>
      <c r="D26" s="95">
        <f t="shared" si="0"/>
        <v>10</v>
      </c>
      <c r="E26" s="262" t="s">
        <v>204</v>
      </c>
    </row>
    <row r="27" spans="2:5" ht="15.75" thickBot="1" x14ac:dyDescent="0.25">
      <c r="B27" s="262" t="s">
        <v>199</v>
      </c>
      <c r="C27" s="109">
        <v>10</v>
      </c>
      <c r="D27" s="95">
        <f t="shared" si="0"/>
        <v>10</v>
      </c>
      <c r="E27" s="262" t="s">
        <v>205</v>
      </c>
    </row>
    <row r="32" spans="2:5" ht="15.75" thickBot="1" x14ac:dyDescent="0.25"/>
    <row r="33" spans="2:7" ht="15.75" thickBot="1" x14ac:dyDescent="0.25">
      <c r="B33" s="113" t="s">
        <v>95</v>
      </c>
      <c r="C33" s="270" t="s">
        <v>200</v>
      </c>
      <c r="D33" s="271"/>
      <c r="E33" s="271"/>
      <c r="F33" s="271"/>
      <c r="G33" s="272"/>
    </row>
    <row r="34" spans="2:7" ht="15.75" thickBot="1" x14ac:dyDescent="0.25">
      <c r="B34" s="110"/>
    </row>
    <row r="35" spans="2:7" ht="15.75" thickBot="1" x14ac:dyDescent="0.25">
      <c r="B35" s="113" t="s">
        <v>96</v>
      </c>
      <c r="C35" s="273" t="s">
        <v>201</v>
      </c>
      <c r="D35" s="274"/>
      <c r="E35" s="274"/>
      <c r="F35" s="274"/>
      <c r="G35" s="275"/>
    </row>
    <row r="36" spans="2:7" ht="15.75" thickBot="1" x14ac:dyDescent="0.25"/>
    <row r="37" spans="2:7" ht="15.75" thickBot="1" x14ac:dyDescent="0.25">
      <c r="B37" s="113" t="s">
        <v>97</v>
      </c>
      <c r="C37" s="263">
        <v>4142259255</v>
      </c>
      <c r="D37" s="264"/>
      <c r="F37" s="113" t="s">
        <v>176</v>
      </c>
      <c r="G37" s="243">
        <v>-4</v>
      </c>
    </row>
  </sheetData>
  <mergeCells count="6">
    <mergeCell ref="C37:D37"/>
    <mergeCell ref="B1:L1"/>
    <mergeCell ref="B3:G3"/>
    <mergeCell ref="G5:L5"/>
    <mergeCell ref="C33:G33"/>
    <mergeCell ref="C35:G35"/>
  </mergeCells>
  <hyperlinks>
    <hyperlink ref="C35:G35" r:id="rId1" xr:uid="{1F8793C4-884A-A848-88A3-5CCDC0990CB6}"/>
  </hyperlinks>
  <pageMargins left="0.7" right="0.7" top="0.75" bottom="0.75" header="0.3" footer="0.3"/>
  <pageSetup paperSize="9" orientation="portrait" r:id="rId2"/>
  <ignoredErrors>
    <ignoredError sqref="D19" formula="1"/>
  </ignoredError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topLeftCell="G1" zoomScaleNormal="100" workbookViewId="0">
      <selection activeCell="K34" sqref="K34"/>
    </sheetView>
  </sheetViews>
  <sheetFormatPr defaultColWidth="14.390625" defaultRowHeight="15" customHeight="1" x14ac:dyDescent="0.2"/>
  <cols>
    <col min="1" max="1" width="3.62890625" style="50" customWidth="1"/>
    <col min="2" max="2" width="3.765625" style="50" customWidth="1"/>
    <col min="3" max="3" width="7.6640625" style="50" customWidth="1"/>
    <col min="4" max="4" width="6.72265625" style="50" customWidth="1"/>
    <col min="5" max="5" width="2.5546875" style="50" customWidth="1"/>
    <col min="6" max="6" width="5.6484375" style="50" customWidth="1"/>
    <col min="7" max="7" width="19.7734375" style="50" customWidth="1"/>
    <col min="8" max="8" width="6.72265625" style="50" customWidth="1"/>
    <col min="9" max="9" width="2.6875" style="50" customWidth="1"/>
    <col min="10" max="10" width="6.72265625" style="50" customWidth="1"/>
    <col min="11" max="11" width="19.7734375" style="50" customWidth="1"/>
    <col min="12" max="12" width="5.6484375" style="50" customWidth="1"/>
    <col min="13" max="13" width="2.5546875" style="50" customWidth="1"/>
    <col min="14" max="14" width="17.75390625" style="50" customWidth="1"/>
    <col min="15" max="15" width="2.6875" style="50" customWidth="1"/>
    <col min="16" max="16" width="18.6953125" style="50" customWidth="1"/>
    <col min="17" max="17" width="5.6484375" style="50" customWidth="1"/>
    <col min="18" max="18" width="1.74609375" style="50" customWidth="1"/>
    <col min="19" max="25" width="4.03515625" style="50" customWidth="1"/>
    <col min="26" max="26" width="6.05078125" style="54" customWidth="1"/>
    <col min="27" max="29" width="4.9765625" style="53" customWidth="1"/>
    <col min="30" max="30" width="14.796875" style="53" customWidth="1"/>
    <col min="31" max="37" width="4.9765625" style="53" customWidth="1"/>
    <col min="38" max="40" width="8.609375" style="53" customWidth="1"/>
    <col min="41" max="42" width="4.9765625" style="53" customWidth="1"/>
    <col min="43" max="43" width="7.6640625" style="54" customWidth="1"/>
    <col min="44" max="44" width="14.390625" style="54"/>
    <col min="45" max="45" width="14.9296875" style="50" customWidth="1"/>
    <col min="46" max="16384" width="14.390625" style="50"/>
  </cols>
  <sheetData>
    <row r="1" spans="2:47" s="54" customFormat="1" ht="18.75" x14ac:dyDescent="0.2">
      <c r="B1" s="49"/>
      <c r="C1" s="50"/>
      <c r="D1" s="50"/>
      <c r="E1" s="50"/>
      <c r="F1" s="50"/>
      <c r="G1" s="50"/>
      <c r="H1" s="51"/>
      <c r="I1" s="51"/>
      <c r="J1" s="51"/>
      <c r="K1" s="51"/>
      <c r="L1" s="51"/>
      <c r="M1" s="51"/>
      <c r="N1" s="51"/>
      <c r="O1" s="51"/>
      <c r="P1" s="51"/>
      <c r="Q1" s="51"/>
      <c r="R1" s="51"/>
      <c r="S1" s="278"/>
      <c r="T1" s="278"/>
      <c r="U1" s="278"/>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7</v>
      </c>
      <c r="AS5" s="245">
        <f>+VLOOKUP(AS7,$AD$9:$AF$15,3,0)</f>
        <v>1</v>
      </c>
      <c r="AT5" s="245">
        <f>+VLOOKUP(AT7,$AD$9:$AF$15,3,0)</f>
        <v>4</v>
      </c>
      <c r="AU5" s="245">
        <f>+VLOOKUP(AU7,$AD$9:$AF$15,3,0)</f>
        <v>4</v>
      </c>
    </row>
    <row r="6" spans="2:47" s="54" customFormat="1" ht="22.15" customHeight="1" thickBot="1" x14ac:dyDescent="0.25">
      <c r="B6" s="183" t="s">
        <v>34</v>
      </c>
      <c r="C6" s="184" t="s">
        <v>35</v>
      </c>
      <c r="D6" s="184" t="s">
        <v>36</v>
      </c>
      <c r="E6" s="284" t="s">
        <v>37</v>
      </c>
      <c r="F6" s="280"/>
      <c r="G6" s="280"/>
      <c r="H6" s="280"/>
      <c r="I6" s="280"/>
      <c r="J6" s="280"/>
      <c r="K6" s="280"/>
      <c r="L6" s="280"/>
      <c r="M6" s="285"/>
      <c r="N6" s="185" t="s">
        <v>38</v>
      </c>
      <c r="O6" s="61"/>
      <c r="P6" s="279" t="s">
        <v>39</v>
      </c>
      <c r="Q6" s="280"/>
      <c r="R6" s="280"/>
      <c r="S6" s="281"/>
      <c r="T6" s="281"/>
      <c r="U6" s="281"/>
      <c r="V6" s="281"/>
      <c r="W6" s="281"/>
      <c r="X6" s="281"/>
      <c r="Y6" s="282"/>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
      <c r="B9" s="27">
        <v>1</v>
      </c>
      <c r="C9" s="28">
        <f>+VLOOKUP(B9,Aux!F:AB,4,0)</f>
        <v>45463.833333333336</v>
      </c>
      <c r="D9" s="29">
        <f>+VLOOKUP(B9,Aux!F:AB,4,0)</f>
        <v>45463.833333333336</v>
      </c>
      <c r="E9" s="169"/>
      <c r="F9" s="169" t="e" vm="1">
        <f>IFERROR(VLOOKUP(G9,Aux!$A:$C,3,0),"")</f>
        <v>#VALUE!</v>
      </c>
      <c r="G9" s="30" t="str">
        <f>+VLOOKUP(B9,Aux!F:S,5,0)</f>
        <v>Argentina</v>
      </c>
      <c r="H9" s="258">
        <v>1</v>
      </c>
      <c r="I9" s="257" t="s">
        <v>41</v>
      </c>
      <c r="J9" s="258">
        <v>1</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7</v>
      </c>
      <c r="T9" s="160">
        <f>+VLOOKUP($P9,$AD$9:$AK$15,4,0)</f>
        <v>2</v>
      </c>
      <c r="U9" s="160">
        <f>+VLOOKUP($P9,$AD$9:$AK$15,5,0)</f>
        <v>1</v>
      </c>
      <c r="V9" s="160">
        <f>+VLOOKUP($P9,$AD$9:$AK$15,6,0)</f>
        <v>0</v>
      </c>
      <c r="W9" s="161">
        <f>+VLOOKUP($P9,$AD$9:$AK$15,7,0)</f>
        <v>6</v>
      </c>
      <c r="X9" s="161">
        <f>+VLOOKUP($P9,$AD$9:$AK$15,8,0)</f>
        <v>2</v>
      </c>
      <c r="Y9" s="161">
        <f>+W9-X9</f>
        <v>4</v>
      </c>
      <c r="Z9" s="60"/>
      <c r="AA9" s="57"/>
      <c r="AB9" s="53"/>
      <c r="AC9" s="53">
        <v>1</v>
      </c>
      <c r="AD9" s="251" t="str">
        <f>+VLOOKUP($AD$5&amp;AC9,Aux!S:T,2,0)</f>
        <v>Argentina</v>
      </c>
      <c r="AE9" s="53">
        <f>+AG9+AH9+AI9</f>
        <v>3</v>
      </c>
      <c r="AF9" s="53">
        <f>+AG9*3+AH9</f>
        <v>7</v>
      </c>
      <c r="AG9" s="53" cm="1">
        <f t="array" ref="AG9">SUM(($G$9:$G$22=$AD9)*($H$9:$H$22&gt;$J$9:$J$22)+($K$9:$K$22=$AD9)*($H$9:$H$22&lt;$J$9:$J$22))</f>
        <v>2</v>
      </c>
      <c r="AH9" s="53" cm="1">
        <f t="array" ref="AH9">SUM(($G$9:$G$22=$AD9)*($H$9:$H$22=$J$9:$J$22)*($H$9:$H$22&lt;&gt;"")+($K$9:$K$22=$AD9)*($H$9:$H$22=$J$9:$J$22)*($H$9:$H$22&lt;&gt;""))</f>
        <v>1</v>
      </c>
      <c r="AI9" s="53" cm="1">
        <f t="array" ref="AI9">SUM(($G$9:$G$22=$AD9)*($H$9:$H$22&lt;$J$9:$J$22)+($K$9:$K$22=$AD9)*($H$9:$H$22&gt;$J$9:$J$22))</f>
        <v>0</v>
      </c>
      <c r="AJ9" s="53" cm="1">
        <f t="array" ref="AJ9">SUM(($G$9:$G$22=$AD9)*($H$9:$H$22)+($K$9:$K$22=$AD9)*($J$9:$J$22))</f>
        <v>6</v>
      </c>
      <c r="AK9" s="53" cm="1">
        <f t="array" ref="AK9">SUM(($G$9:$G$22=$AD9)*($J$9:$J$22)+($K$9:$K$22=$AD9)*($H$9:$H$22))</f>
        <v>2</v>
      </c>
      <c r="AL9" s="252">
        <f>+SUMIFS($AR9:$AU9,$AR$5:$AU$5,AF9)</f>
        <v>0</v>
      </c>
      <c r="AM9" s="252">
        <f>+AJ9-AK9</f>
        <v>4</v>
      </c>
      <c r="AN9" s="53">
        <f>+_xlfn.RANK.EQ(AF9,$AF$9:$AF$15)+_xlfn.RANK.EQ(AM9,$AM$9:$AM$15)/10+_xlfn.RANK.EQ(AJ9,$AJ$9:$AJ$15)/100+_xlfn.RANK.EQ(AL9,$AL$9:$AL$15)/1000+ROW()/1000000</f>
        <v>1.112009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303</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
      <c r="B11" s="27">
        <v>2</v>
      </c>
      <c r="C11" s="28">
        <f>+VLOOKUP(B11,Aux!F:AB,4,0)</f>
        <v>45464.833333333336</v>
      </c>
      <c r="D11" s="29">
        <f>+VLOOKUP(B11,Aux!F:AB,4,0)</f>
        <v>45464.833333333336</v>
      </c>
      <c r="E11" s="169"/>
      <c r="F11" s="169" t="e" vm="3">
        <f>IFERROR(VLOOKUP(G11,Aux!$A:$C,3,0),"")</f>
        <v>#VALUE!</v>
      </c>
      <c r="G11" s="30" t="str">
        <f>+VLOOKUP(B11,Aux!F:S,5,0)</f>
        <v>Perú</v>
      </c>
      <c r="H11" s="258">
        <v>2</v>
      </c>
      <c r="I11" s="257" t="s">
        <v>41</v>
      </c>
      <c r="J11" s="258">
        <v>2</v>
      </c>
      <c r="K11" s="38" t="str">
        <f>+VLOOKUP(B11,Aux!F:S,6,0)</f>
        <v>Chile</v>
      </c>
      <c r="L11" s="169" t="e" vm="4">
        <f>IFERROR(VLOOKUP(K11,Aux!$A:$C,3,0),"")</f>
        <v>#VALUE!</v>
      </c>
      <c r="M11" s="38"/>
      <c r="N11" s="46" t="str">
        <f>+_xlfn.XLOOKUP(B11,Aux!F:F,Aux!L:L)</f>
        <v>AT&amp;T Stadium - ARLINGTON, TX</v>
      </c>
      <c r="O11"/>
      <c r="P11" s="156" t="str">
        <f>+INDEX($AD$9:$AD$16,MATCH(2,$AO$9:$AO$15,0))</f>
        <v>Chile</v>
      </c>
      <c r="Q11" s="157" t="e" vm="4">
        <f>IFERROR(VLOOKUP(P11,Aux!A:C,3,0),"")</f>
        <v>#VALUE!</v>
      </c>
      <c r="R11" s="158"/>
      <c r="S11" s="159">
        <f>+VLOOKUP($P11,$AD$9:$AK$15,3,0)</f>
        <v>4</v>
      </c>
      <c r="T11" s="160">
        <f>+VLOOKUP($P11,$AD$9:$AK$15,4,0)</f>
        <v>1</v>
      </c>
      <c r="U11" s="160">
        <f>+VLOOKUP($P11,$AD$9:$AK$15,5,0)</f>
        <v>1</v>
      </c>
      <c r="V11" s="160">
        <f>+VLOOKUP($P11,$AD$9:$AK$15,6,0)</f>
        <v>1</v>
      </c>
      <c r="W11" s="161">
        <f>+VLOOKUP($P11,$AD$9:$AK$15,7,0)</f>
        <v>5</v>
      </c>
      <c r="X11" s="161">
        <f>+VLOOKUP($P11,$AD$9:$AK$15,8,0)</f>
        <v>4</v>
      </c>
      <c r="Y11" s="161">
        <f>+W11-X11</f>
        <v>1</v>
      </c>
      <c r="Z11" s="60"/>
      <c r="AA11" s="59"/>
      <c r="AB11" s="245"/>
      <c r="AC11" s="53">
        <v>2</v>
      </c>
      <c r="AD11" s="251" t="str">
        <f>+VLOOKUP($AD$5&amp;AC11,Aux!S:T,2,0)</f>
        <v>Perú</v>
      </c>
      <c r="AE11" s="53">
        <f t="shared" ref="AE11:AE15" si="0">+AG11+AH11+AI11</f>
        <v>3</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2</v>
      </c>
      <c r="AJ11" s="53" cm="1">
        <f t="array" ref="AJ11">SUM(($G$9:$G$22=$AD11)*($H$9:$H$22)+($K$9:$K$22=$AD11)*($J$9:$J$22))</f>
        <v>3</v>
      </c>
      <c r="AK11" s="53" cm="1">
        <f t="array" ref="AK11">SUM(($G$9:$G$22=$AD11)*($J$9:$J$22)+($K$9:$K$22=$AD11)*($H$9:$H$22))</f>
        <v>8</v>
      </c>
      <c r="AL11" s="252">
        <f>+SUMIFS($AR11:$AU11,$AR$5:$AU$5,AF11)</f>
        <v>0</v>
      </c>
      <c r="AM11" s="252">
        <f>+AJ11-AK11</f>
        <v>-5</v>
      </c>
      <c r="AN11" s="53">
        <f>+_xlfn.RANK.EQ(AF11,$AF$9:$AF$15)+_xlfn.RANK.EQ(AM11,$AM$9:$AM$15)/10+_xlfn.RANK.EQ(AJ11,$AJ$9:$AJ$15)/100+_xlfn.RANK.EQ(AL11,$AL$9:$AL$15)/1000+ROW()/1000000</f>
        <v>4.4420109999999999</v>
      </c>
      <c r="AO11" s="53">
        <f t="shared" ref="AO11:AO15" si="2">+_xlfn.RANK.EQ(AN11,$AN$9:$AN$15,1)</f>
        <v>4</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-2</v>
      </c>
    </row>
    <row r="12" spans="2:47" s="54" customFormat="1" ht="10.15" customHeight="1" x14ac:dyDescent="0.2">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
      <c r="B13" s="27">
        <v>9</v>
      </c>
      <c r="C13" s="28">
        <f>+VLOOKUP(B13,Aux!F:AB,4,0)</f>
        <v>45468.750000000007</v>
      </c>
      <c r="D13" s="29">
        <f>+VLOOKUP(B13,Aux!F:AB,4,0)</f>
        <v>45468.750000000007</v>
      </c>
      <c r="E13" s="169"/>
      <c r="F13" s="169" t="e" vm="3">
        <f>IFERROR(VLOOKUP(G13,Aux!$A:$C,3,0),"")</f>
        <v>#VALUE!</v>
      </c>
      <c r="G13" s="30" t="str">
        <f>+VLOOKUP(B13,Aux!F:S,5,0)</f>
        <v>Perú</v>
      </c>
      <c r="H13" s="258">
        <v>1</v>
      </c>
      <c r="I13" s="257" t="s">
        <v>41</v>
      </c>
      <c r="J13" s="258">
        <v>3</v>
      </c>
      <c r="K13" s="38" t="str">
        <f>+VLOOKUP(B13,Aux!F:S,6,0)</f>
        <v>Canadá</v>
      </c>
      <c r="L13" s="169" t="e" vm="2">
        <f>IFERROR(VLOOKUP(K13,Aux!$A:$C,3,0),"")</f>
        <v>#VALUE!</v>
      </c>
      <c r="M13" s="38"/>
      <c r="N13" s="46" t="str">
        <f>+_xlfn.XLOOKUP(B13,Aux!F:F,Aux!L:L)</f>
        <v>Children's Mercy Park - KANSAS CITY, KS</v>
      </c>
      <c r="O13"/>
      <c r="P13" s="156" t="str">
        <f>+INDEX($AD$9:$AD$16,MATCH(3,$AO$9:$AO$15,0))</f>
        <v>Canadá</v>
      </c>
      <c r="Q13" s="157" t="e" vm="2">
        <f>IFERROR(VLOOKUP(P13,Aux!A:C,3,0),"")</f>
        <v>#VALUE!</v>
      </c>
      <c r="R13" s="158"/>
      <c r="S13" s="159">
        <f>+VLOOKUP($P13,$AD$9:$AK$15,3,0)</f>
        <v>4</v>
      </c>
      <c r="T13" s="160">
        <f>+VLOOKUP($P13,$AD$9:$AK$15,4,0)</f>
        <v>1</v>
      </c>
      <c r="U13" s="160">
        <f>+VLOOKUP($P13,$AD$9:$AK$15,5,0)</f>
        <v>1</v>
      </c>
      <c r="V13" s="160">
        <f>+VLOOKUP($P13,$AD$9:$AK$15,6,0)</f>
        <v>1</v>
      </c>
      <c r="W13" s="161">
        <f>+VLOOKUP($P13,$AD$9:$AK$15,7,0)</f>
        <v>4</v>
      </c>
      <c r="X13" s="161">
        <f>+VLOOKUP($P13,$AD$9:$AK$15,8,0)</f>
        <v>4</v>
      </c>
      <c r="Y13" s="161">
        <f>+W13-X13</f>
        <v>0</v>
      </c>
      <c r="Z13" s="60"/>
      <c r="AA13" s="57"/>
      <c r="AB13" s="53"/>
      <c r="AC13" s="53">
        <v>3</v>
      </c>
      <c r="AD13" s="251" t="str">
        <f>+VLOOKUP($AD$5&amp;AC13,Aux!S:T,2,0)</f>
        <v>Chile</v>
      </c>
      <c r="AE13" s="53">
        <f t="shared" si="0"/>
        <v>3</v>
      </c>
      <c r="AF13" s="53">
        <f t="shared" si="1"/>
        <v>4</v>
      </c>
      <c r="AG13" s="53" cm="1">
        <f t="array" ref="AG13">SUM(($G$9:$G$22=$AD13)*($H$9:$H$22&gt;$J$9:$J$22)+($K$9:$K$22=$AD13)*($H$9:$H$22&lt;$J$9:$J$22))</f>
        <v>1</v>
      </c>
      <c r="AH13" s="53" cm="1">
        <f t="array" ref="AH13">SUM(($G$9:$G$22=$AD13)*($H$9:$H$22=$J$9:$J$22)*($H$9:$H$22&lt;&gt;"")+($K$9:$K$22=$AD13)*($H$9:$H$22=$J$9:$J$22)*($H$9:$H$22&lt;&gt;""))</f>
        <v>1</v>
      </c>
      <c r="AI13" s="53" cm="1">
        <f t="array" ref="AI13">SUM(($G$9:$G$22=$AD13)*($H$9:$H$22&lt;$J$9:$J$22)+($K$9:$K$22=$AD13)*($H$9:$H$22&gt;$J$9:$J$22))</f>
        <v>1</v>
      </c>
      <c r="AJ13" s="53" cm="1">
        <f t="array" ref="AJ13">SUM(($G$9:$G$22=$AD13)*($H$9:$H$22)+($K$9:$K$22=$AD13)*($J$9:$J$22))</f>
        <v>5</v>
      </c>
      <c r="AK13" s="53" cm="1">
        <f t="array" ref="AK13">SUM(($G$9:$G$22=$AD13)*($J$9:$J$22)+($K$9:$K$22=$AD13)*($H$9:$H$22))</f>
        <v>4</v>
      </c>
      <c r="AL13" s="252">
        <f>+SUMIFS($AR13:$AU13,$AR$5:$AU$5,AF13)</f>
        <v>302</v>
      </c>
      <c r="AM13" s="252">
        <f>+AJ13-AK13</f>
        <v>1</v>
      </c>
      <c r="AN13" s="53">
        <f>+_xlfn.RANK.EQ(AF13,$AF$9:$AF$15)+_xlfn.RANK.EQ(AM13,$AM$9:$AM$15)/10+_xlfn.RANK.EQ(AJ13,$AJ$9:$AJ$15)/100+_xlfn.RANK.EQ(AL13,$AL$9:$AL$15)/1000+ROW()/1000000</f>
        <v>2.2210130000000001</v>
      </c>
      <c r="AO13" s="53">
        <f t="shared" si="2"/>
        <v>2</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302</v>
      </c>
    </row>
    <row r="14" spans="2:47" s="54" customFormat="1" ht="10.15" customHeight="1" x14ac:dyDescent="0.2">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
      <c r="B15" s="27">
        <v>10</v>
      </c>
      <c r="C15" s="28">
        <f>+VLOOKUP(B15,Aux!F:AB,4,0)</f>
        <v>45468.875</v>
      </c>
      <c r="D15" s="29">
        <f>+VLOOKUP(B15,Aux!F:AB,4,0)</f>
        <v>45468.875</v>
      </c>
      <c r="E15" s="169"/>
      <c r="F15" s="169" t="e" vm="4">
        <f>IFERROR(VLOOKUP(G15,Aux!$A:$C,3,0),"")</f>
        <v>#VALUE!</v>
      </c>
      <c r="G15" s="30" t="str">
        <f>+VLOOKUP(B15,Aux!F:S,5,0)</f>
        <v>Chile</v>
      </c>
      <c r="H15" s="258">
        <v>1</v>
      </c>
      <c r="I15" s="257" t="s">
        <v>41</v>
      </c>
      <c r="J15" s="258">
        <v>2</v>
      </c>
      <c r="K15" s="38" t="str">
        <f>+VLOOKUP(B15,Aux!F:S,6,0)</f>
        <v>Argentina</v>
      </c>
      <c r="L15" s="169" t="e" vm="1">
        <f>IFERROR(VLOOKUP(K15,Aux!$A:$C,3,0),"")</f>
        <v>#VALUE!</v>
      </c>
      <c r="M15" s="38"/>
      <c r="N15" s="46" t="str">
        <f>+_xlfn.XLOOKUP(B15,Aux!F:F,Aux!L:L)</f>
        <v>MetLife Stadium - EAST RUTHERFORD, NJ</v>
      </c>
      <c r="O15"/>
      <c r="P15" s="156" t="str">
        <f>+INDEX($AD$9:$AD$16,MATCH(4,$AO$9:$AO$15,0))</f>
        <v>Perú</v>
      </c>
      <c r="Q15" s="157" t="e" vm="3">
        <f>IFERROR(VLOOKUP(P15,Aux!A:C,3,0),"")</f>
        <v>#VALUE!</v>
      </c>
      <c r="R15" s="158"/>
      <c r="S15" s="159">
        <f>+VLOOKUP($P15,$AD$9:$AK$15,3,0)</f>
        <v>1</v>
      </c>
      <c r="T15" s="160">
        <f>+VLOOKUP($P15,$AD$9:$AK$15,4,0)</f>
        <v>0</v>
      </c>
      <c r="U15" s="160">
        <f>+VLOOKUP($P15,$AD$9:$AK$15,5,0)</f>
        <v>1</v>
      </c>
      <c r="V15" s="160">
        <f>+VLOOKUP($P15,$AD$9:$AK$15,6,0)</f>
        <v>2</v>
      </c>
      <c r="W15" s="161">
        <f>+VLOOKUP($P15,$AD$9:$AK$15,7,0)</f>
        <v>3</v>
      </c>
      <c r="X15" s="161">
        <f>+VLOOKUP($P15,$AD$9:$AK$15,8,0)</f>
        <v>8</v>
      </c>
      <c r="Y15" s="161">
        <f>+W15-X15</f>
        <v>-5</v>
      </c>
      <c r="Z15" s="60"/>
      <c r="AA15" s="59"/>
      <c r="AB15" s="245"/>
      <c r="AC15" s="53">
        <v>4</v>
      </c>
      <c r="AD15" s="251" t="str">
        <f>+VLOOKUP($AD$5&amp;AC15,Aux!S:T,2,0)</f>
        <v>Canadá</v>
      </c>
      <c r="AE15" s="53">
        <f t="shared" si="0"/>
        <v>3</v>
      </c>
      <c r="AF15" s="53">
        <f t="shared" si="1"/>
        <v>4</v>
      </c>
      <c r="AG15" s="53" cm="1">
        <f t="array" ref="AG15">SUM(($G$9:$G$22=$AD15)*($H$9:$H$22&gt;$J$9:$J$22)+($K$9:$K$22=$AD15)*($H$9:$H$22&lt;$J$9:$J$22))</f>
        <v>1</v>
      </c>
      <c r="AH15" s="53" cm="1">
        <f t="array" ref="AH15">SUM(($G$9:$G$22=$AD15)*($H$9:$H$22=$J$9:$J$22)*($H$9:$H$22&lt;&gt;"")+($K$9:$K$22=$AD15)*($H$9:$H$22=$J$9:$J$22)*($H$9:$H$22&lt;&gt;""))</f>
        <v>1</v>
      </c>
      <c r="AI15" s="53" cm="1">
        <f t="array" ref="AI15">SUM(($G$9:$G$22=$AD15)*($H$9:$H$22&lt;$J$9:$J$22)+($K$9:$K$22=$AD15)*($H$9:$H$22&gt;$J$9:$J$22))</f>
        <v>1</v>
      </c>
      <c r="AJ15" s="53" cm="1">
        <f t="array" ref="AJ15">SUM(($G$9:$G$22=$AD15)*($H$9:$H$22)+($K$9:$K$22=$AD15)*($J$9:$J$22))</f>
        <v>4</v>
      </c>
      <c r="AK15" s="53" cm="1">
        <f t="array" ref="AK15">SUM(($G$9:$G$22=$AD15)*($J$9:$J$22)+($K$9:$K$22=$AD15)*($H$9:$H$22))</f>
        <v>4</v>
      </c>
      <c r="AL15" s="252">
        <f>+SUMIFS($AR15:$AU15,$AR$5:$AU$5,AF15)</f>
        <v>-2</v>
      </c>
      <c r="AM15" s="252">
        <f>+AJ15-AK15</f>
        <v>0</v>
      </c>
      <c r="AN15" s="53">
        <f>+_xlfn.RANK.EQ(AF15,$AF$9:$AF$15)+_xlfn.RANK.EQ(AM15,$AM$9:$AM$15)/10+_xlfn.RANK.EQ(AJ15,$AJ$9:$AJ$15)/100+_xlfn.RANK.EQ(AL15,$AL$9:$AL$15)/1000+ROW()/1000000</f>
        <v>2.3340149999999995</v>
      </c>
      <c r="AO15" s="53">
        <f t="shared" si="2"/>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302</v>
      </c>
      <c r="AT15" s="53" cm="1">
        <f t="array" ref="AT15">(SUM(($G$9:$G$22=$AD15)*($H$9:$H$22&gt;$J$9:$J$22)*($K$9:$K$22=AT$7)+($K$9:$K$22=$AD15)*($H$9:$H$22&lt;$J$9:$J$22)*($G$9:$G$22=AT$7)))*300+
(SUM(($G$9:$G$22=$AD15)*($H$9:$H$22=$J$9:$J$22)*($K$9:$K$22=AT$7)+($K$9:$K$22=$AD15)*($H$9:$H$22=$J$9:$J$22)*($G$9:$G$22=AT$7)))*100
+SUM(($G$9:$G$22=$AD15)*($H$9:$H$22)*($K$9:$K$22=AT$7)+($K$9:$K$22=$AD15)*($J$9:$J$22)*($G$9:$G$22=AT$7))
-SUM(($G$9:$G$22=$AD15)*($J$9:$J$22)*($K$9:$K$22=AT$7)+($K$9:$K$22=$AD15)*($H$9:$H$22)*($G$9:$G$22=AT$7))</f>
        <v>-2</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25">
      <c r="B17" s="27">
        <v>17</v>
      </c>
      <c r="C17" s="28">
        <f>+VLOOKUP(B17,Aux!F:AB,4,0)</f>
        <v>45472.833333333336</v>
      </c>
      <c r="D17" s="29">
        <f>+VLOOKUP(B17,Aux!F:AB,4,0)</f>
        <v>45472.833333333336</v>
      </c>
      <c r="E17" s="169"/>
      <c r="F17" s="169" t="e" vm="1">
        <f>IFERROR(VLOOKUP(G17,Aux!$A:$C,3,0),"")</f>
        <v>#VALUE!</v>
      </c>
      <c r="G17" s="30" t="str">
        <f>+VLOOKUP(B17,Aux!F:S,5,0)</f>
        <v>Argentina</v>
      </c>
      <c r="H17" s="258">
        <v>3</v>
      </c>
      <c r="I17" s="257" t="s">
        <v>41</v>
      </c>
      <c r="J17" s="258">
        <v>0</v>
      </c>
      <c r="K17" s="38" t="str">
        <f>+VLOOKUP(B17,Aux!F:S,6,0)</f>
        <v>Perú</v>
      </c>
      <c r="L17" s="169" t="e" vm="3">
        <f>IFERROR(VLOOKUP(K17,Aux!$A:$C,3,0),"")</f>
        <v>#VALUE!</v>
      </c>
      <c r="M17" s="38"/>
      <c r="N17" s="46" t="str">
        <f>+_xlfn.XLOOKUP(B17,Aux!F:F,Aux!L:L)</f>
        <v>Hard Rock Stadium - MIAMI, FL</v>
      </c>
      <c r="O17"/>
      <c r="P17" s="283"/>
      <c r="Q17" s="283"/>
      <c r="R17" s="283"/>
      <c r="S17" s="283"/>
      <c r="T17" s="283"/>
      <c r="U17" s="283"/>
      <c r="V17" s="283"/>
      <c r="W17" s="283"/>
      <c r="X17" s="283"/>
      <c r="Y17" s="283"/>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
      <c r="B19" s="27">
        <v>18</v>
      </c>
      <c r="C19" s="28">
        <f>+VLOOKUP(B19,Aux!F:AB,4,0)</f>
        <v>45472.833333333336</v>
      </c>
      <c r="D19" s="29">
        <f>+VLOOKUP(B19,Aux!F:AB,4,0)</f>
        <v>45472.833333333336</v>
      </c>
      <c r="E19" s="169"/>
      <c r="F19" s="169" t="e" vm="2">
        <f>IFERROR(VLOOKUP(G19,Aux!$A:$C,3,0),"")</f>
        <v>#VALUE!</v>
      </c>
      <c r="G19" s="30" t="str">
        <f>+VLOOKUP(B19,Aux!F:S,5,0)</f>
        <v>Canadá</v>
      </c>
      <c r="H19" s="258">
        <v>0</v>
      </c>
      <c r="I19" s="257" t="s">
        <v>41</v>
      </c>
      <c r="J19" s="258">
        <v>2</v>
      </c>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25">
      <c r="K22" s="259"/>
    </row>
    <row r="23" spans="2:47" ht="15" customHeight="1" x14ac:dyDescent="0.2">
      <c r="K23" s="286" t="s">
        <v>193</v>
      </c>
    </row>
    <row r="24" spans="2:47" ht="15" customHeight="1" thickBot="1" x14ac:dyDescent="0.25">
      <c r="K24" s="287"/>
    </row>
    <row r="25" spans="2:47" ht="15" customHeight="1" x14ac:dyDescent="0.2">
      <c r="K25" s="276" t="s">
        <v>194</v>
      </c>
    </row>
    <row r="26" spans="2:47" ht="15" customHeight="1" thickBot="1" x14ac:dyDescent="0.25">
      <c r="K26" s="277"/>
    </row>
  </sheetData>
  <mergeCells count="6">
    <mergeCell ref="K25:K26"/>
    <mergeCell ref="S1:U1"/>
    <mergeCell ref="P6:Y6"/>
    <mergeCell ref="P17:Y17"/>
    <mergeCell ref="E6:M6"/>
    <mergeCell ref="K23:K24"/>
  </mergeCells>
  <conditionalFormatting sqref="H9 H11 H13 H15 H17 H19">
    <cfRule type="expression" dxfId="133" priority="3">
      <formula>#REF!="P"</formula>
    </cfRule>
    <cfRule type="expression" dxfId="132" priority="4">
      <formula>#REF!="E"</formula>
    </cfRule>
    <cfRule type="expression" dxfId="131" priority="5">
      <formula>#REF!="G"</formula>
    </cfRule>
  </conditionalFormatting>
  <conditionalFormatting sqref="J9 J11 J13 J15 J17 J19">
    <cfRule type="expression" dxfId="130" priority="6">
      <formula>#REF!="P"</formula>
    </cfRule>
    <cfRule type="expression" dxfId="129" priority="7">
      <formula>#REF!="E"</formula>
    </cfRule>
    <cfRule type="expression" dxfId="128" priority="8">
      <formula>#REF!="G"</formula>
    </cfRule>
  </conditionalFormatting>
  <conditionalFormatting sqref="K22:K27">
    <cfRule type="expression" dxfId="127" priority="1">
      <formula>$L22&lt;&gt;""</formula>
    </cfRule>
    <cfRule type="expression" dxfId="126"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topLeftCell="N5" zoomScaleNormal="100" workbookViewId="0">
      <selection activeCell="J19" sqref="J19"/>
    </sheetView>
  </sheetViews>
  <sheetFormatPr defaultColWidth="14.390625" defaultRowHeight="15" customHeight="1" x14ac:dyDescent="0.2"/>
  <cols>
    <col min="1" max="1" width="3.62890625" style="50" customWidth="1"/>
    <col min="2" max="2" width="3.765625" style="50" customWidth="1"/>
    <col min="3" max="3" width="7.6640625" style="50" customWidth="1"/>
    <col min="4" max="4" width="6.72265625" style="50" customWidth="1"/>
    <col min="5" max="5" width="2.5546875" style="50" customWidth="1"/>
    <col min="6" max="6" width="5.6484375" style="50" customWidth="1"/>
    <col min="7" max="7" width="19.7734375" style="50" customWidth="1"/>
    <col min="8" max="8" width="6.72265625" style="50" customWidth="1"/>
    <col min="9" max="9" width="2.6875" style="50" customWidth="1"/>
    <col min="10" max="10" width="6.72265625" style="50" customWidth="1"/>
    <col min="11" max="11" width="19.7734375" style="50" customWidth="1"/>
    <col min="12" max="12" width="5.6484375" style="50" customWidth="1"/>
    <col min="13" max="13" width="2.5546875" style="50" customWidth="1"/>
    <col min="14" max="14" width="17.75390625" style="50" customWidth="1"/>
    <col min="15" max="15" width="2.6875" style="50" customWidth="1"/>
    <col min="16" max="16" width="18.6953125" style="50" customWidth="1"/>
    <col min="17" max="17" width="5.6484375" style="50" customWidth="1"/>
    <col min="18" max="18" width="1.74609375" style="50" customWidth="1"/>
    <col min="19" max="25" width="4.03515625" style="50" customWidth="1"/>
    <col min="26" max="26" width="6.05078125" style="54" customWidth="1"/>
    <col min="27" max="29" width="4.9765625" style="53" customWidth="1"/>
    <col min="30" max="30" width="14.796875" style="53" customWidth="1"/>
    <col min="31" max="37" width="4.9765625" style="53" customWidth="1"/>
    <col min="38" max="40" width="8.609375" style="53" customWidth="1"/>
    <col min="41" max="42" width="4.9765625" style="53" customWidth="1"/>
    <col min="43" max="43" width="7.6640625" style="54" customWidth="1"/>
    <col min="44" max="44" width="14.390625" style="54"/>
    <col min="45" max="45" width="14.9296875" style="50" customWidth="1"/>
    <col min="46" max="16384" width="14.390625" style="50"/>
  </cols>
  <sheetData>
    <row r="1" spans="2:47" s="54" customFormat="1" ht="18.75" x14ac:dyDescent="0.2">
      <c r="B1" s="49"/>
      <c r="C1" s="50"/>
      <c r="D1" s="50"/>
      <c r="E1" s="50"/>
      <c r="F1" s="50"/>
      <c r="G1" s="50"/>
      <c r="H1" s="51"/>
      <c r="I1" s="51"/>
      <c r="J1" s="51"/>
      <c r="K1" s="51"/>
      <c r="L1" s="51"/>
      <c r="M1" s="51"/>
      <c r="N1" s="51"/>
      <c r="O1" s="51"/>
      <c r="P1" s="51"/>
      <c r="Q1" s="51"/>
      <c r="R1" s="51"/>
      <c r="S1" s="278"/>
      <c r="T1" s="278"/>
      <c r="U1" s="278"/>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3</v>
      </c>
      <c r="AS5" s="245">
        <f>+VLOOKUP(AS7,$AD$9:$AF$15,3,0)</f>
        <v>7</v>
      </c>
      <c r="AT5" s="245">
        <f>+VLOOKUP(AT7,$AD$9:$AF$15,3,0)</f>
        <v>7</v>
      </c>
      <c r="AU5" s="245">
        <f>+VLOOKUP(AU7,$AD$9:$AF$15,3,0)</f>
        <v>0</v>
      </c>
    </row>
    <row r="6" spans="2:47" s="54" customFormat="1" ht="22.15" customHeight="1" thickBot="1" x14ac:dyDescent="0.25">
      <c r="B6" s="183" t="s">
        <v>34</v>
      </c>
      <c r="C6" s="184" t="s">
        <v>35</v>
      </c>
      <c r="D6" s="184" t="s">
        <v>36</v>
      </c>
      <c r="E6" s="284" t="s">
        <v>37</v>
      </c>
      <c r="F6" s="280"/>
      <c r="G6" s="280"/>
      <c r="H6" s="280"/>
      <c r="I6" s="280"/>
      <c r="J6" s="280"/>
      <c r="K6" s="280"/>
      <c r="L6" s="280"/>
      <c r="M6" s="285"/>
      <c r="N6" s="185" t="s">
        <v>38</v>
      </c>
      <c r="O6" s="61"/>
      <c r="P6" s="279" t="s">
        <v>39</v>
      </c>
      <c r="Q6" s="280"/>
      <c r="R6" s="280"/>
      <c r="S6" s="281"/>
      <c r="T6" s="281"/>
      <c r="U6" s="281"/>
      <c r="V6" s="281"/>
      <c r="W6" s="281"/>
      <c r="X6" s="281"/>
      <c r="Y6" s="282"/>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
      <c r="B9" s="27">
        <v>3</v>
      </c>
      <c r="C9" s="28">
        <f>+VLOOKUP(B9,Aux!F:AB,4,0)</f>
        <v>45465.75</v>
      </c>
      <c r="D9" s="29">
        <f>+VLOOKUP(B9,Aux!F:AB,4,0)</f>
        <v>45465.75</v>
      </c>
      <c r="E9" s="169"/>
      <c r="F9" s="169" t="e" vm="5">
        <f>IFERROR(VLOOKUP(G9,Aux!$A:$C,3,0),"")</f>
        <v>#VALUE!</v>
      </c>
      <c r="G9" s="30" t="str">
        <f>+VLOOKUP(B9,Aux!F:S,5,0)</f>
        <v>Ecuador</v>
      </c>
      <c r="H9" s="258">
        <v>1</v>
      </c>
      <c r="I9" s="257" t="s">
        <v>41</v>
      </c>
      <c r="J9" s="258">
        <v>1</v>
      </c>
      <c r="K9" s="38" t="str">
        <f>+VLOOKUP(B9,Aux!F:S,6,0)</f>
        <v>Venezuela</v>
      </c>
      <c r="L9" s="169" t="e" vm="6">
        <f>IFERROR(VLOOKUP(K9,Aux!$A:$C,3,0),"")</f>
        <v>#VALUE!</v>
      </c>
      <c r="M9" s="38"/>
      <c r="N9" s="46" t="str">
        <f>+_xlfn.XLOOKUP(B9,Aux!F:F,Aux!L:L)</f>
        <v>Levi's® Stadium - SANTA CLARA, CA</v>
      </c>
      <c r="O9"/>
      <c r="P9" s="156" t="str">
        <f>+INDEX($AD$9:$AD$16,MATCH(1,$AO$9:$AO$15,0))</f>
        <v>Ecuador</v>
      </c>
      <c r="Q9" s="157" t="e" vm="5">
        <f>IFERROR(VLOOKUP(P9,Aux!A:C,3,0),"")</f>
        <v>#VALUE!</v>
      </c>
      <c r="R9" s="158"/>
      <c r="S9" s="159">
        <f>+VLOOKUP($P9,$AD$9:$AK$15,3,0)</f>
        <v>7</v>
      </c>
      <c r="T9" s="160">
        <f>+VLOOKUP($P9,$AD$9:$AK$15,4,0)</f>
        <v>2</v>
      </c>
      <c r="U9" s="160">
        <f>+VLOOKUP($P9,$AD$9:$AK$15,5,0)</f>
        <v>1</v>
      </c>
      <c r="V9" s="160">
        <f>+VLOOKUP($P9,$AD$9:$AK$15,6,0)</f>
        <v>0</v>
      </c>
      <c r="W9" s="161">
        <f>+VLOOKUP($P9,$AD$9:$AK$15,7,0)</f>
        <v>5</v>
      </c>
      <c r="X9" s="161">
        <f>+VLOOKUP($P9,$AD$9:$AK$15,8,0)</f>
        <v>3</v>
      </c>
      <c r="Y9" s="161">
        <f>+W9-X9</f>
        <v>2</v>
      </c>
      <c r="Z9" s="60"/>
      <c r="AA9" s="57"/>
      <c r="AB9" s="53"/>
      <c r="AC9" s="53">
        <v>1</v>
      </c>
      <c r="AD9" s="251" t="str">
        <f>+VLOOKUP($AD$5&amp;AC9,Aux!S:T,2,0)</f>
        <v>México</v>
      </c>
      <c r="AE9" s="53">
        <f>+AG9+AH9+AI9</f>
        <v>3</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2</v>
      </c>
      <c r="AJ9" s="53" cm="1">
        <f t="array" ref="AJ9">SUM(($G$9:$G$22=$AD9)*($H$9:$H$22)+($K$9:$K$22=$AD9)*($J$9:$J$22))</f>
        <v>6</v>
      </c>
      <c r="AK9" s="53" cm="1">
        <f t="array" ref="AK9">SUM(($G$9:$G$22=$AD9)*($J$9:$J$22)+($K$9:$K$22=$AD9)*($H$9:$H$22))</f>
        <v>6</v>
      </c>
      <c r="AL9" s="252">
        <f>+SUMIFS($AR9:$AU9,$AR$5:$AU$5,AF9)</f>
        <v>0</v>
      </c>
      <c r="AM9" s="252">
        <f>+AJ9-AK9</f>
        <v>0</v>
      </c>
      <c r="AN9" s="53">
        <f>+_xlfn.RANK.EQ(AF9,$AF$9:$AF$15)+_xlfn.RANK.EQ(AM9,$AM$9:$AM$15)/10+_xlfn.RANK.EQ(AJ9,$AJ$9:$AJ$15)/100+_xlfn.RANK.EQ(AL9,$AL$9:$AL$15)/1000+ROW()/1000000</f>
        <v>3.3130089999999996</v>
      </c>
      <c r="AO9" s="53">
        <f>+_xlfn.RANK.EQ(AN9,$AN$9:$AN$15,1)</f>
        <v>3</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
      <c r="B11" s="27">
        <v>4</v>
      </c>
      <c r="C11" s="28">
        <f>+VLOOKUP(B11,Aux!F:AB,4,0)</f>
        <v>45465.875000000007</v>
      </c>
      <c r="D11" s="29">
        <f>+VLOOKUP(B11,Aux!F:AB,4,0)</f>
        <v>45465.875000000007</v>
      </c>
      <c r="E11" s="169"/>
      <c r="F11" s="169" t="e" vm="7">
        <f>IFERROR(VLOOKUP(G11,Aux!$A:$C,3,0),"")</f>
        <v>#VALUE!</v>
      </c>
      <c r="G11" s="30" t="str">
        <f>+VLOOKUP(B11,Aux!F:S,5,0)</f>
        <v>México</v>
      </c>
      <c r="H11" s="258">
        <v>3</v>
      </c>
      <c r="I11" s="257" t="s">
        <v>41</v>
      </c>
      <c r="J11" s="258">
        <v>1</v>
      </c>
      <c r="K11" s="38" t="str">
        <f>+VLOOKUP(B11,Aux!F:S,6,0)</f>
        <v>Jamaica</v>
      </c>
      <c r="L11" s="169" t="e" vm="8">
        <f>IFERROR(VLOOKUP(K11,Aux!$A:$C,3,0),"")</f>
        <v>#VALUE!</v>
      </c>
      <c r="M11" s="38"/>
      <c r="N11" s="46" t="str">
        <f>+_xlfn.XLOOKUP(B11,Aux!F:F,Aux!L:L)</f>
        <v>NRG Stadium - HOUSTON, TX</v>
      </c>
      <c r="O11"/>
      <c r="P11" s="156" t="str">
        <f>+INDEX($AD$9:$AD$16,MATCH(2,$AO$9:$AO$15,0))</f>
        <v>Venezuela</v>
      </c>
      <c r="Q11" s="157" t="e" vm="6">
        <f>IFERROR(VLOOKUP(P11,Aux!A:C,3,0),"")</f>
        <v>#VALUE!</v>
      </c>
      <c r="R11" s="158"/>
      <c r="S11" s="159">
        <f>+VLOOKUP($P11,$AD$9:$AK$15,3,0)</f>
        <v>7</v>
      </c>
      <c r="T11" s="160">
        <f>+VLOOKUP($P11,$AD$9:$AK$15,4,0)</f>
        <v>2</v>
      </c>
      <c r="U11" s="160">
        <f>+VLOOKUP($P11,$AD$9:$AK$15,5,0)</f>
        <v>1</v>
      </c>
      <c r="V11" s="160">
        <f>+VLOOKUP($P11,$AD$9:$AK$15,6,0)</f>
        <v>0</v>
      </c>
      <c r="W11" s="161">
        <f>+VLOOKUP($P11,$AD$9:$AK$15,7,0)</f>
        <v>5</v>
      </c>
      <c r="X11" s="161">
        <f>+VLOOKUP($P11,$AD$9:$AK$15,8,0)</f>
        <v>3</v>
      </c>
      <c r="Y11" s="161">
        <f>+W11-X11</f>
        <v>2</v>
      </c>
      <c r="Z11" s="60"/>
      <c r="AA11" s="59"/>
      <c r="AB11" s="245"/>
      <c r="AC11" s="53">
        <v>2</v>
      </c>
      <c r="AD11" s="251" t="str">
        <f>+VLOOKUP($AD$5&amp;AC11,Aux!S:T,2,0)</f>
        <v>Ecuador</v>
      </c>
      <c r="AE11" s="53">
        <f t="shared" ref="AE11" si="0">+AG11+AH11+AI11</f>
        <v>3</v>
      </c>
      <c r="AF11" s="53">
        <f t="shared" ref="AF11" si="1">+AG11*3+AH11</f>
        <v>7</v>
      </c>
      <c r="AG11" s="53" cm="1">
        <f t="array" ref="AG11">SUM(($G$9:$G$22=$AD11)*($H$9:$H$22&gt;$J$9:$J$22)+($K$9:$K$22=$AD11)*($H$9:$H$22&lt;$J$9:$J$22))</f>
        <v>2</v>
      </c>
      <c r="AH11" s="53" cm="1">
        <f t="array" ref="AH11">SUM(($G$9:$G$22=$AD11)*($H$9:$H$22=$J$9:$J$22)*($H$9:$H$22&lt;&gt;"")+($K$9:$K$22=$AD11)*($H$9:$H$22=$J$9:$J$22)*($H$9:$H$22&lt;&gt;""))</f>
        <v>1</v>
      </c>
      <c r="AI11" s="53" cm="1">
        <f t="array" ref="AI11">SUM(($G$9:$G$22=$AD11)*($H$9:$H$22&lt;$J$9:$J$22)+($K$9:$K$22=$AD11)*($H$9:$H$22&gt;$J$9:$J$22))</f>
        <v>0</v>
      </c>
      <c r="AJ11" s="53" cm="1">
        <f t="array" ref="AJ11">SUM(($G$9:$G$22=$AD11)*($H$9:$H$22)+($K$9:$K$22=$AD11)*($J$9:$J$22))</f>
        <v>5</v>
      </c>
      <c r="AK11" s="53" cm="1">
        <f t="array" ref="AK11">SUM(($G$9:$G$22=$AD11)*($J$9:$J$22)+($K$9:$K$22=$AD11)*($H$9:$H$22))</f>
        <v>3</v>
      </c>
      <c r="AL11" s="252">
        <f>+SUMIFS($AR11:$AU11,$AR$5:$AU$5,AF11)</f>
        <v>100</v>
      </c>
      <c r="AM11" s="252">
        <f>+AJ11-AK11</f>
        <v>2</v>
      </c>
      <c r="AN11" s="53">
        <f>+_xlfn.RANK.EQ(AF11,$AF$9:$AF$15)+_xlfn.RANK.EQ(AM11,$AM$9:$AM$15)/10+_xlfn.RANK.EQ(AJ11,$AJ$9:$AJ$15)/100+_xlfn.RANK.EQ(AL11,$AL$9:$AL$15)/1000+ROW()/1000000</f>
        <v>1.121011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301</v>
      </c>
    </row>
    <row r="12" spans="2:47" s="54" customFormat="1" ht="10.15" customHeight="1" x14ac:dyDescent="0.2">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
      <c r="B13" s="27">
        <v>11</v>
      </c>
      <c r="C13" s="28">
        <f>+VLOOKUP(B13,Aux!F:AB,4,0)</f>
        <v>45469.75</v>
      </c>
      <c r="D13" s="29">
        <f>+VLOOKUP(B13,Aux!F:AB,4,0)</f>
        <v>45469.75</v>
      </c>
      <c r="E13" s="169"/>
      <c r="F13" s="169" t="e" vm="5">
        <f>IFERROR(VLOOKUP(G13,Aux!$A:$C,3,0),"")</f>
        <v>#VALUE!</v>
      </c>
      <c r="G13" s="30" t="str">
        <f>+VLOOKUP(B13,Aux!F:S,5,0)</f>
        <v>Ecuador</v>
      </c>
      <c r="H13" s="258">
        <v>1</v>
      </c>
      <c r="I13" s="257" t="s">
        <v>41</v>
      </c>
      <c r="J13" s="258">
        <v>0</v>
      </c>
      <c r="K13" s="38" t="str">
        <f>+VLOOKUP(B13,Aux!F:S,6,0)</f>
        <v>Jamaica</v>
      </c>
      <c r="L13" s="169" t="e" vm="8">
        <f>IFERROR(VLOOKUP(K13,Aux!$A:$C,3,0),"")</f>
        <v>#VALUE!</v>
      </c>
      <c r="M13" s="38"/>
      <c r="N13" s="46" t="str">
        <f>+_xlfn.XLOOKUP(B13,Aux!F:F,Aux!L:L)</f>
        <v>Allegiant Stadium - LAS VEGAS, NV</v>
      </c>
      <c r="O13"/>
      <c r="P13" s="156" t="str">
        <f>+INDEX($AD$9:$AD$16,MATCH(3,$AO$9:$AO$15,0))</f>
        <v>México</v>
      </c>
      <c r="Q13" s="157" t="e" vm="7">
        <f>IFERROR(VLOOKUP(P13,Aux!A:C,3,0),"")</f>
        <v>#VALUE!</v>
      </c>
      <c r="R13" s="158"/>
      <c r="S13" s="159">
        <f>+VLOOKUP($P13,$AD$9:$AK$15,3,0)</f>
        <v>3</v>
      </c>
      <c r="T13" s="160">
        <f>+VLOOKUP($P13,$AD$9:$AK$15,4,0)</f>
        <v>1</v>
      </c>
      <c r="U13" s="160">
        <f>+VLOOKUP($P13,$AD$9:$AK$15,5,0)</f>
        <v>0</v>
      </c>
      <c r="V13" s="160">
        <f>+VLOOKUP($P13,$AD$9:$AK$15,6,0)</f>
        <v>2</v>
      </c>
      <c r="W13" s="161">
        <f>+VLOOKUP($P13,$AD$9:$AK$15,7,0)</f>
        <v>6</v>
      </c>
      <c r="X13" s="161">
        <f>+VLOOKUP($P13,$AD$9:$AK$15,8,0)</f>
        <v>6</v>
      </c>
      <c r="Y13" s="161">
        <f>+W13-X13</f>
        <v>0</v>
      </c>
      <c r="Z13" s="60"/>
      <c r="AA13" s="57"/>
      <c r="AB13" s="53"/>
      <c r="AC13" s="53">
        <v>3</v>
      </c>
      <c r="AD13" s="251" t="str">
        <f>+VLOOKUP($AD$5&amp;AC13,Aux!S:T,2,0)</f>
        <v>Venezuela</v>
      </c>
      <c r="AE13" s="53">
        <f t="shared" ref="AE13" si="3">+AG13+AH13+AI13</f>
        <v>3</v>
      </c>
      <c r="AF13" s="53">
        <f t="shared" ref="AF13" si="4">+AG13*3+AH13</f>
        <v>7</v>
      </c>
      <c r="AG13" s="53" cm="1">
        <f t="array" ref="AG13">SUM(($G$9:$G$22=$AD13)*($H$9:$H$22&gt;$J$9:$J$22)+($K$9:$K$22=$AD13)*($H$9:$H$22&lt;$J$9:$J$22))</f>
        <v>2</v>
      </c>
      <c r="AH13" s="53" cm="1">
        <f t="array" ref="AH13">SUM(($G$9:$G$22=$AD13)*($H$9:$H$22=$J$9:$J$22)*($H$9:$H$22&lt;&gt;"")+($K$9:$K$22=$AD13)*($H$9:$H$22=$J$9:$J$22)*($H$9:$H$22&lt;&gt;""))</f>
        <v>1</v>
      </c>
      <c r="AI13" s="53" cm="1">
        <f t="array" ref="AI13">SUM(($G$9:$G$22=$AD13)*($H$9:$H$22&lt;$J$9:$J$22)+($K$9:$K$22=$AD13)*($H$9:$H$22&gt;$J$9:$J$22))</f>
        <v>0</v>
      </c>
      <c r="AJ13" s="53" cm="1">
        <f t="array" ref="AJ13">SUM(($G$9:$G$22=$AD13)*($H$9:$H$22)+($K$9:$K$22=$AD13)*($J$9:$J$22))</f>
        <v>5</v>
      </c>
      <c r="AK13" s="53" cm="1">
        <f t="array" ref="AK13">SUM(($G$9:$G$22=$AD13)*($J$9:$J$22)+($K$9:$K$22=$AD13)*($H$9:$H$22))</f>
        <v>3</v>
      </c>
      <c r="AL13" s="252">
        <f>+SUMIFS($AR13:$AU13,$AR$5:$AU$5,AF13)</f>
        <v>100</v>
      </c>
      <c r="AM13" s="252">
        <f>+AJ13-AK13</f>
        <v>2</v>
      </c>
      <c r="AN13" s="53">
        <f>+_xlfn.RANK.EQ(AF13,$AF$9:$AF$15)+_xlfn.RANK.EQ(AM13,$AM$9:$AM$15)/10+_xlfn.RANK.EQ(AJ13,$AJ$9:$AJ$15)/100+_xlfn.RANK.EQ(AL13,$AL$9:$AL$15)/1000+ROW()/1000000</f>
        <v>1.121013</v>
      </c>
      <c r="AO13" s="53">
        <f t="shared" ref="AO13" si="5">+_xlfn.RANK.EQ(AN13,$AN$9:$AN$15,1)</f>
        <v>2</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301</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301</v>
      </c>
    </row>
    <row r="14" spans="2:47" s="54" customFormat="1" ht="10.15" customHeight="1" x14ac:dyDescent="0.2">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
      <c r="B15" s="27">
        <v>12</v>
      </c>
      <c r="C15" s="28">
        <f>+VLOOKUP(B15,Aux!F:AB,4,0)</f>
        <v>45469.875</v>
      </c>
      <c r="D15" s="29">
        <f>+VLOOKUP(B15,Aux!F:AB,4,0)</f>
        <v>45469.875</v>
      </c>
      <c r="E15" s="169"/>
      <c r="F15" s="169" t="e" vm="6">
        <f>IFERROR(VLOOKUP(G15,Aux!$A:$C,3,0),"")</f>
        <v>#VALUE!</v>
      </c>
      <c r="G15" s="30" t="str">
        <f>+VLOOKUP(B15,Aux!F:S,5,0)</f>
        <v>Venezuela</v>
      </c>
      <c r="H15" s="258">
        <v>2</v>
      </c>
      <c r="I15" s="257" t="s">
        <v>41</v>
      </c>
      <c r="J15" s="258">
        <v>1</v>
      </c>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3</v>
      </c>
      <c r="W15" s="161">
        <f>+VLOOKUP($P15,$AD$9:$AK$15,7,0)</f>
        <v>2</v>
      </c>
      <c r="X15" s="161">
        <f>+VLOOKUP($P15,$AD$9:$AK$15,8,0)</f>
        <v>6</v>
      </c>
      <c r="Y15" s="161">
        <f>+W15-X15</f>
        <v>-4</v>
      </c>
      <c r="Z15" s="60"/>
      <c r="AA15" s="59"/>
      <c r="AB15" s="245"/>
      <c r="AC15" s="53">
        <v>4</v>
      </c>
      <c r="AD15" s="251" t="str">
        <f>+VLOOKUP($AD$5&amp;AC15,Aux!S:T,2,0)</f>
        <v>Jamaica</v>
      </c>
      <c r="AE15" s="53">
        <f t="shared" ref="AE15" si="6">+AG15+AH15+AI15</f>
        <v>3</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3</v>
      </c>
      <c r="AJ15" s="53" cm="1">
        <f t="array" ref="AJ15">SUM(($G$9:$G$22=$AD15)*($H$9:$H$22)+($K$9:$K$22=$AD15)*($J$9:$J$22))</f>
        <v>2</v>
      </c>
      <c r="AK15" s="53" cm="1">
        <f t="array" ref="AK15">SUM(($G$9:$G$22=$AD15)*($J$9:$J$22)+($K$9:$K$22=$AD15)*($H$9:$H$22))</f>
        <v>6</v>
      </c>
      <c r="AL15" s="252">
        <f>+SUMIFS($AR15:$AU15,$AR$5:$AU$5,AF15)</f>
        <v>0</v>
      </c>
      <c r="AM15" s="252">
        <f>+AJ15-AK15</f>
        <v>-4</v>
      </c>
      <c r="AN15" s="53">
        <f>+_xlfn.RANK.EQ(AF15,$AF$9:$AF$15)+_xlfn.RANK.EQ(AM15,$AM$9:$AM$15)/10+_xlfn.RANK.EQ(AJ15,$AJ$9:$AJ$15)/100+_xlfn.RANK.EQ(AL15,$AL$9:$AL$15)/1000+ROW()/1000000</f>
        <v>4.4430150000000008</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-1</v>
      </c>
      <c r="AT15" s="53" cm="1">
        <f t="array" ref="AT15">(SUM(($G$9:$G$22=$AD15)*($H$9:$H$22&gt;$J$9:$J$22)*($K$9:$K$22=AT$7)+($K$9:$K$22=$AD15)*($H$9:$H$22&lt;$J$9:$J$22)*($G$9:$G$22=AT$7)))*300+
(SUM(($G$9:$G$22=$AD15)*($H$9:$H$22=$J$9:$J$22)*($K$9:$K$22=AT$7)+($K$9:$K$22=$AD15)*($H$9:$H$22=$J$9:$J$22)*($G$9:$G$22=AT$7)))*100
+SUM(($G$9:$G$22=$AD15)*($H$9:$H$22)*($K$9:$K$22=AT$7)+($K$9:$K$22=$AD15)*($J$9:$J$22)*($G$9:$G$22=AT$7))
-SUM(($G$9:$G$22=$AD15)*($J$9:$J$22)*($K$9:$K$22=AT$7)+($K$9:$K$22=$AD15)*($H$9:$H$22)*($G$9:$G$22=AT$7))</f>
        <v>-1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25">
      <c r="B17" s="27">
        <v>19</v>
      </c>
      <c r="C17" s="28">
        <f>+VLOOKUP(B17,Aux!F:AB,4,0)</f>
        <v>45473.833333333336</v>
      </c>
      <c r="D17" s="29">
        <f>+VLOOKUP(B17,Aux!F:AB,4,0)</f>
        <v>45473.833333333336</v>
      </c>
      <c r="E17" s="169"/>
      <c r="F17" s="169" t="e" vm="7">
        <f>IFERROR(VLOOKUP(G17,Aux!$A:$C,3,0),"")</f>
        <v>#VALUE!</v>
      </c>
      <c r="G17" s="30" t="str">
        <f>+VLOOKUP(B17,Aux!F:S,5,0)</f>
        <v>México</v>
      </c>
      <c r="H17" s="258">
        <v>2</v>
      </c>
      <c r="I17" s="257" t="s">
        <v>41</v>
      </c>
      <c r="J17" s="258">
        <v>3</v>
      </c>
      <c r="K17" s="38" t="str">
        <f>+VLOOKUP(B17,Aux!F:S,6,0)</f>
        <v>Ecuador</v>
      </c>
      <c r="L17" s="169" t="e" vm="5">
        <f>IFERROR(VLOOKUP(K17,Aux!$A:$C,3,0),"")</f>
        <v>#VALUE!</v>
      </c>
      <c r="M17" s="38"/>
      <c r="N17" s="46" t="str">
        <f>+_xlfn.XLOOKUP(B17,Aux!F:F,Aux!L:L)</f>
        <v>State Farm Stadium - GLENDALE, AZ</v>
      </c>
      <c r="O17"/>
      <c r="P17" s="283"/>
      <c r="Q17" s="283"/>
      <c r="R17" s="283"/>
      <c r="S17" s="283"/>
      <c r="T17" s="283"/>
      <c r="U17" s="283"/>
      <c r="V17" s="283"/>
      <c r="W17" s="283"/>
      <c r="X17" s="283"/>
      <c r="Y17" s="283"/>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
      <c r="B19" s="27">
        <v>20</v>
      </c>
      <c r="C19" s="28">
        <f>+VLOOKUP(B19,Aux!F:AB,4,0)</f>
        <v>45473.833333333336</v>
      </c>
      <c r="D19" s="29">
        <f>+VLOOKUP(B19,Aux!F:AB,4,0)</f>
        <v>45473.833333333336</v>
      </c>
      <c r="E19" s="169"/>
      <c r="F19" s="169" t="e" vm="8">
        <f>IFERROR(VLOOKUP(G19,Aux!$A:$C,3,0),"")</f>
        <v>#VALUE!</v>
      </c>
      <c r="G19" s="30" t="str">
        <f>+VLOOKUP(B19,Aux!F:S,5,0)</f>
        <v>Jamaica</v>
      </c>
      <c r="H19" s="258">
        <v>1</v>
      </c>
      <c r="I19" s="257" t="s">
        <v>41</v>
      </c>
      <c r="J19" s="258">
        <v>2</v>
      </c>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25">
      <c r="K22" s="259"/>
    </row>
    <row r="23" spans="2:47" ht="15" customHeight="1" x14ac:dyDescent="0.2">
      <c r="K23" s="286" t="s">
        <v>193</v>
      </c>
    </row>
    <row r="24" spans="2:47" ht="15" customHeight="1" thickBot="1" x14ac:dyDescent="0.25">
      <c r="K24" s="287"/>
    </row>
    <row r="25" spans="2:47" ht="15" customHeight="1" x14ac:dyDescent="0.2">
      <c r="K25" s="276" t="s">
        <v>194</v>
      </c>
    </row>
    <row r="26" spans="2:47" ht="15" customHeight="1" thickBot="1" x14ac:dyDescent="0.25">
      <c r="K26" s="277"/>
    </row>
  </sheetData>
  <mergeCells count="6">
    <mergeCell ref="K25:K26"/>
    <mergeCell ref="S1:U1"/>
    <mergeCell ref="E6:M6"/>
    <mergeCell ref="P6:Y6"/>
    <mergeCell ref="P17:Y17"/>
    <mergeCell ref="K23:K24"/>
  </mergeCells>
  <conditionalFormatting sqref="H9 H11 H13 H15 H17 H19">
    <cfRule type="expression" dxfId="125" priority="3">
      <formula>#REF!="P"</formula>
    </cfRule>
    <cfRule type="expression" dxfId="124" priority="4">
      <formula>#REF!="E"</formula>
    </cfRule>
    <cfRule type="expression" dxfId="123" priority="5">
      <formula>#REF!="G"</formula>
    </cfRule>
  </conditionalFormatting>
  <conditionalFormatting sqref="J9 J11 J13 J15 J17 J19">
    <cfRule type="expression" dxfId="122" priority="6">
      <formula>#REF!="P"</formula>
    </cfRule>
    <cfRule type="expression" dxfId="121" priority="7">
      <formula>#REF!="E"</formula>
    </cfRule>
    <cfRule type="expression" dxfId="120" priority="8">
      <formula>#REF!="G"</formula>
    </cfRule>
  </conditionalFormatting>
  <conditionalFormatting sqref="K22:K27">
    <cfRule type="expression" dxfId="119" priority="1">
      <formula>$L22&lt;&gt;""</formula>
    </cfRule>
    <cfRule type="expression" dxfId="118"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topLeftCell="G6" zoomScaleNormal="100" workbookViewId="0">
      <selection activeCell="G24" sqref="G24"/>
    </sheetView>
  </sheetViews>
  <sheetFormatPr defaultColWidth="14.390625" defaultRowHeight="15" customHeight="1" x14ac:dyDescent="0.2"/>
  <cols>
    <col min="1" max="1" width="3.62890625" style="50" customWidth="1"/>
    <col min="2" max="2" width="3.765625" style="50" customWidth="1"/>
    <col min="3" max="3" width="7.6640625" style="50" customWidth="1"/>
    <col min="4" max="4" width="6.72265625" style="50" customWidth="1"/>
    <col min="5" max="5" width="2.5546875" style="50" customWidth="1"/>
    <col min="6" max="6" width="5.6484375" style="50" customWidth="1"/>
    <col min="7" max="7" width="19.7734375" style="50" customWidth="1"/>
    <col min="8" max="8" width="6.72265625" style="50" customWidth="1"/>
    <col min="9" max="9" width="2.6875" style="50" customWidth="1"/>
    <col min="10" max="10" width="6.72265625" style="50" customWidth="1"/>
    <col min="11" max="11" width="19.7734375" style="50" customWidth="1"/>
    <col min="12" max="12" width="5.6484375" style="50" customWidth="1"/>
    <col min="13" max="13" width="2.5546875" style="50" customWidth="1"/>
    <col min="14" max="14" width="17.75390625" style="50" customWidth="1"/>
    <col min="15" max="15" width="2.6875" style="50" customWidth="1"/>
    <col min="16" max="16" width="18.6953125" style="50" customWidth="1"/>
    <col min="17" max="17" width="5.6484375" style="50" customWidth="1"/>
    <col min="18" max="18" width="1.74609375" style="50" customWidth="1"/>
    <col min="19" max="25" width="4.03515625" style="50" customWidth="1"/>
    <col min="26" max="26" width="6.05078125" style="54" customWidth="1"/>
    <col min="27" max="29" width="4.9765625" style="53" customWidth="1"/>
    <col min="30" max="30" width="14.796875" style="53" customWidth="1"/>
    <col min="31" max="37" width="4.9765625" style="53" customWidth="1"/>
    <col min="38" max="40" width="8.609375" style="53" customWidth="1"/>
    <col min="41" max="42" width="4.9765625" style="53" customWidth="1"/>
    <col min="43" max="43" width="7.6640625" style="54" customWidth="1"/>
    <col min="44" max="44" width="14.390625" style="54"/>
    <col min="45" max="45" width="14.9296875" style="50" customWidth="1"/>
    <col min="46" max="16384" width="14.390625" style="50"/>
  </cols>
  <sheetData>
    <row r="1" spans="2:47" s="54" customFormat="1" ht="18.75" x14ac:dyDescent="0.2">
      <c r="B1" s="49"/>
      <c r="C1" s="50"/>
      <c r="D1" s="50"/>
      <c r="E1" s="50"/>
      <c r="F1" s="50"/>
      <c r="G1" s="50"/>
      <c r="H1" s="51"/>
      <c r="I1" s="51"/>
      <c r="J1" s="51"/>
      <c r="K1" s="51"/>
      <c r="L1" s="51"/>
      <c r="M1" s="51"/>
      <c r="N1" s="51"/>
      <c r="O1" s="51"/>
      <c r="P1" s="51"/>
      <c r="Q1" s="51"/>
      <c r="R1" s="51"/>
      <c r="S1" s="278"/>
      <c r="T1" s="278"/>
      <c r="U1" s="278"/>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6</v>
      </c>
      <c r="AS5" s="245">
        <f>+VLOOKUP(AS7,$AD$9:$AF$15,3,0)</f>
        <v>9</v>
      </c>
      <c r="AT5" s="245">
        <f>+VLOOKUP(AT7,$AD$9:$AF$15,3,0)</f>
        <v>0</v>
      </c>
      <c r="AU5" s="245">
        <f>+VLOOKUP(AU7,$AD$9:$AF$15,3,0)</f>
        <v>3</v>
      </c>
    </row>
    <row r="6" spans="2:47" s="54" customFormat="1" ht="22.15" customHeight="1" thickBot="1" x14ac:dyDescent="0.25">
      <c r="B6" s="183" t="s">
        <v>34</v>
      </c>
      <c r="C6" s="184" t="s">
        <v>35</v>
      </c>
      <c r="D6" s="184" t="s">
        <v>36</v>
      </c>
      <c r="E6" s="284" t="s">
        <v>37</v>
      </c>
      <c r="F6" s="280"/>
      <c r="G6" s="280"/>
      <c r="H6" s="280"/>
      <c r="I6" s="280"/>
      <c r="J6" s="280"/>
      <c r="K6" s="280"/>
      <c r="L6" s="280"/>
      <c r="M6" s="285"/>
      <c r="N6" s="185" t="s">
        <v>38</v>
      </c>
      <c r="O6" s="61"/>
      <c r="P6" s="279" t="s">
        <v>39</v>
      </c>
      <c r="Q6" s="280"/>
      <c r="R6" s="280"/>
      <c r="S6" s="281"/>
      <c r="T6" s="281"/>
      <c r="U6" s="281"/>
      <c r="V6" s="281"/>
      <c r="W6" s="281"/>
      <c r="X6" s="281"/>
      <c r="Y6" s="282"/>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
      <c r="B9" s="27">
        <v>5</v>
      </c>
      <c r="C9" s="28">
        <f>+VLOOKUP(B9,Aux!F:AB,4,0)</f>
        <v>45466.750000000007</v>
      </c>
      <c r="D9" s="29">
        <f>+VLOOKUP(B9,Aux!F:AB,4,0)</f>
        <v>45466.750000000007</v>
      </c>
      <c r="E9" s="169"/>
      <c r="F9" s="169" t="e" vm="9">
        <f>IFERROR(VLOOKUP(G9,Aux!$A:$C,3,0),"")</f>
        <v>#VALUE!</v>
      </c>
      <c r="G9" s="30" t="str">
        <f>+VLOOKUP(B9,Aux!F:S,5,0)</f>
        <v>Estados Unidos</v>
      </c>
      <c r="H9" s="258">
        <v>2</v>
      </c>
      <c r="I9" s="257" t="s">
        <v>41</v>
      </c>
      <c r="J9" s="258">
        <v>0</v>
      </c>
      <c r="K9" s="38" t="str">
        <f>+VLOOKUP(B9,Aux!F:S,6,0)</f>
        <v>Bolivia</v>
      </c>
      <c r="L9" s="169" t="e" vm="10">
        <f>IFERROR(VLOOKUP(K9,Aux!$A:$C,3,0),"")</f>
        <v>#VALUE!</v>
      </c>
      <c r="M9" s="38"/>
      <c r="N9" s="46" t="str">
        <f>+_xlfn.XLOOKUP(B9,Aux!F:F,Aux!L:L)</f>
        <v>AT&amp;T Stadium - ARLINGTON, TX</v>
      </c>
      <c r="O9"/>
      <c r="P9" s="156" t="str">
        <f>+INDEX($AD$9:$AD$16,MATCH(1,$AO$9:$AO$15,0))</f>
        <v>Uruguay</v>
      </c>
      <c r="Q9" s="157" t="e" vm="11">
        <f>IFERROR(VLOOKUP(P9,Aux!A:C,3,0),"")</f>
        <v>#VALUE!</v>
      </c>
      <c r="R9" s="158"/>
      <c r="S9" s="159">
        <f>+VLOOKUP($P9,$AD$9:$AK$15,3,0)</f>
        <v>9</v>
      </c>
      <c r="T9" s="160">
        <f>+VLOOKUP($P9,$AD$9:$AK$15,4,0)</f>
        <v>3</v>
      </c>
      <c r="U9" s="160">
        <f>+VLOOKUP($P9,$AD$9:$AK$15,5,0)</f>
        <v>0</v>
      </c>
      <c r="V9" s="160">
        <f>+VLOOKUP($P9,$AD$9:$AK$15,6,0)</f>
        <v>0</v>
      </c>
      <c r="W9" s="161">
        <f>+VLOOKUP($P9,$AD$9:$AK$15,7,0)</f>
        <v>9</v>
      </c>
      <c r="X9" s="161">
        <f>+VLOOKUP($P9,$AD$9:$AK$15,8,0)</f>
        <v>2</v>
      </c>
      <c r="Y9" s="161">
        <f>+W9-X9</f>
        <v>7</v>
      </c>
      <c r="Z9" s="60"/>
      <c r="AA9" s="57"/>
      <c r="AB9" s="53"/>
      <c r="AC9" s="53">
        <v>1</v>
      </c>
      <c r="AD9" s="251" t="str">
        <f>+VLOOKUP($AD$5&amp;AC9,Aux!S:T,2,0)</f>
        <v>Estados Unidos</v>
      </c>
      <c r="AE9" s="53">
        <f>+AG9+AH9+AI9</f>
        <v>3</v>
      </c>
      <c r="AF9" s="53">
        <f>+AG9*3+AH9</f>
        <v>6</v>
      </c>
      <c r="AG9" s="53" cm="1">
        <f t="array" ref="AG9">SUM(($G$9:$G$22=$AD9)*($H$9:$H$22&gt;$J$9:$J$22)+($K$9:$K$22=$AD9)*($H$9:$H$22&lt;$J$9:$J$22))</f>
        <v>2</v>
      </c>
      <c r="AH9" s="53" cm="1">
        <f t="array" ref="AH9">SUM(($G$9:$G$22=$AD9)*($H$9:$H$22=$J$9:$J$22)*($H$9:$H$22&lt;&gt;"")+($K$9:$K$22=$AD9)*($H$9:$H$22=$J$9:$J$22)*($H$9:$H$22&lt;&gt;""))</f>
        <v>0</v>
      </c>
      <c r="AI9" s="53" cm="1">
        <f t="array" ref="AI9">SUM(($G$9:$G$22=$AD9)*($H$9:$H$22&lt;$J$9:$J$22)+($K$9:$K$22=$AD9)*($H$9:$H$22&gt;$J$9:$J$22))</f>
        <v>1</v>
      </c>
      <c r="AJ9" s="53" cm="1">
        <f t="array" ref="AJ9">SUM(($G$9:$G$22=$AD9)*($H$9:$H$22)+($K$9:$K$22=$AD9)*($J$9:$J$22))</f>
        <v>4</v>
      </c>
      <c r="AK9" s="53" cm="1">
        <f t="array" ref="AK9">SUM(($G$9:$G$22=$AD9)*($J$9:$J$22)+($K$9:$K$22=$AD9)*($H$9:$H$22))</f>
        <v>2</v>
      </c>
      <c r="AL9" s="252">
        <f>+SUMIFS($AR9:$AU9,$AR$5:$AU$5,AF9)</f>
        <v>0</v>
      </c>
      <c r="AM9" s="252">
        <f>+AJ9-AK9</f>
        <v>2</v>
      </c>
      <c r="AN9" s="53">
        <f>+_xlfn.RANK.EQ(AF9,$AF$9:$AF$15)+_xlfn.RANK.EQ(AM9,$AM$9:$AM$15)/10+_xlfn.RANK.EQ(AJ9,$AJ$9:$AJ$15)/100+_xlfn.RANK.EQ(AL9,$AL$9:$AL$15)/1000+ROW()/1000000</f>
        <v>2.221009</v>
      </c>
      <c r="AO9" s="53">
        <f>+_xlfn.RANK.EQ(AN9,$AN$9:$AN$15,1)</f>
        <v>2</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v>
      </c>
      <c r="AT9" s="53" cm="1">
        <f t="array" ref="AT9">(SUM(($G$9:$G$22=$AD9)*($H$9:$H$22&gt;$J$9:$J$22)*($K$9:$K$22=AT$7)+($K$9:$K$22=$AD9)*($H$9:$H$22&lt;$J$9:$J$22)*($G$9:$G$22=AT$7)))*300+
(SUM(($G$9:$G$22=$AD9)*($H$9:$H$22=$J$9:$J$22)*($K$9:$K$22=AT$7)+($K$9:$K$22=$AD9)*($H$9:$H$22=$J$9:$J$22)*($G$9:$G$22=AT$7)))*100
+SUM(($G$9:$G$22=$AD9)*($H$9:$H$22)*($K$9:$K$22=AT$7)+($K$9:$K$22=$AD9)*($J$9:$J$22)*($G$9:$G$22=AT$7))
-SUM(($G$9:$G$22=$AD9)*($J$9:$J$22)*($K$9:$K$22=AT$7)+($K$9:$K$22=$AD9)*($H$9:$H$22)*($G$9:$G$22=AT$7))</f>
        <v>301</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
      <c r="B11" s="27">
        <v>6</v>
      </c>
      <c r="C11" s="28">
        <f>+VLOOKUP(B11,Aux!F:AB,4,0)</f>
        <v>45466.875</v>
      </c>
      <c r="D11" s="29">
        <f>+VLOOKUP(B11,Aux!F:AB,4,0)</f>
        <v>45466.875</v>
      </c>
      <c r="E11" s="169"/>
      <c r="F11" s="169" t="e" vm="11">
        <f>IFERROR(VLOOKUP(G11,Aux!$A:$C,3,0),"")</f>
        <v>#VALUE!</v>
      </c>
      <c r="G11" s="30" t="str">
        <f>+VLOOKUP(B11,Aux!F:S,5,0)</f>
        <v>Uruguay</v>
      </c>
      <c r="H11" s="258">
        <v>4</v>
      </c>
      <c r="I11" s="257" t="s">
        <v>41</v>
      </c>
      <c r="J11" s="258">
        <v>0</v>
      </c>
      <c r="K11" s="38" t="str">
        <f>+VLOOKUP(B11,Aux!F:S,6,0)</f>
        <v>Panamá</v>
      </c>
      <c r="L11" s="169" t="e" vm="12">
        <f>IFERROR(VLOOKUP(K11,Aux!$A:$C,3,0),"")</f>
        <v>#VALUE!</v>
      </c>
      <c r="M11" s="38"/>
      <c r="N11" s="46" t="str">
        <f>+_xlfn.XLOOKUP(B11,Aux!F:F,Aux!L:L)</f>
        <v>Hard Rock Stadium - MIAMI, FL</v>
      </c>
      <c r="O11"/>
      <c r="P11" s="156" t="str">
        <f>+INDEX($AD$9:$AD$16,MATCH(2,$AO$9:$AO$15,0))</f>
        <v>Estados Unidos</v>
      </c>
      <c r="Q11" s="157" t="e" vm="9">
        <f>IFERROR(VLOOKUP(P11,Aux!A:C,3,0),"")</f>
        <v>#VALUE!</v>
      </c>
      <c r="R11" s="158"/>
      <c r="S11" s="159">
        <f>+VLOOKUP($P11,$AD$9:$AK$15,3,0)</f>
        <v>6</v>
      </c>
      <c r="T11" s="160">
        <f>+VLOOKUP($P11,$AD$9:$AK$15,4,0)</f>
        <v>2</v>
      </c>
      <c r="U11" s="160">
        <f>+VLOOKUP($P11,$AD$9:$AK$15,5,0)</f>
        <v>0</v>
      </c>
      <c r="V11" s="160">
        <f>+VLOOKUP($P11,$AD$9:$AK$15,6,0)</f>
        <v>1</v>
      </c>
      <c r="W11" s="161">
        <f>+VLOOKUP($P11,$AD$9:$AK$15,7,0)</f>
        <v>4</v>
      </c>
      <c r="X11" s="161">
        <f>+VLOOKUP($P11,$AD$9:$AK$15,8,0)</f>
        <v>2</v>
      </c>
      <c r="Y11" s="161">
        <f>+W11-X11</f>
        <v>2</v>
      </c>
      <c r="Z11" s="60"/>
      <c r="AA11" s="59"/>
      <c r="AB11" s="245"/>
      <c r="AC11" s="53">
        <v>2</v>
      </c>
      <c r="AD11" s="251" t="str">
        <f>+VLOOKUP($AD$5&amp;AC11,Aux!S:T,2,0)</f>
        <v>Uruguay</v>
      </c>
      <c r="AE11" s="53">
        <f t="shared" ref="AE11" si="0">+AG11+AH11+AI11</f>
        <v>3</v>
      </c>
      <c r="AF11" s="53">
        <f t="shared" ref="AF11" si="1">+AG11*3+AH11</f>
        <v>9</v>
      </c>
      <c r="AG11" s="53" cm="1">
        <f t="array" ref="AG11">SUM(($G$9:$G$22=$AD11)*($H$9:$H$22&gt;$J$9:$J$22)+($K$9:$K$22=$AD11)*($H$9:$H$22&lt;$J$9:$J$22))</f>
        <v>3</v>
      </c>
      <c r="AH11" s="53" cm="1">
        <f t="array" ref="AH11">SUM(($G$9:$G$22=$AD11)*($H$9:$H$22=$J$9:$J$22)*($H$9:$H$22&lt;&gt;"")+($K$9:$K$22=$AD11)*($H$9:$H$22=$J$9:$J$22)*($H$9:$H$22&lt;&gt;""))</f>
        <v>0</v>
      </c>
      <c r="AI11" s="53" cm="1">
        <f t="array" ref="AI11">SUM(($G$9:$G$22=$AD11)*($H$9:$H$22&lt;$J$9:$J$22)+($K$9:$K$22=$AD11)*($H$9:$H$22&gt;$J$9:$J$22))</f>
        <v>0</v>
      </c>
      <c r="AJ11" s="53" cm="1">
        <f t="array" ref="AJ11">SUM(($G$9:$G$22=$AD11)*($H$9:$H$22)+($K$9:$K$22=$AD11)*($J$9:$J$22))</f>
        <v>9</v>
      </c>
      <c r="AK11" s="53" cm="1">
        <f t="array" ref="AK11">SUM(($G$9:$G$22=$AD11)*($J$9:$J$22)+($K$9:$K$22=$AD11)*($H$9:$H$22))</f>
        <v>2</v>
      </c>
      <c r="AL11" s="252">
        <f>+SUMIFS($AR11:$AU11,$AR$5:$AU$5,AF11)</f>
        <v>0</v>
      </c>
      <c r="AM11" s="252">
        <f>+AJ11-AK11</f>
        <v>7</v>
      </c>
      <c r="AN11" s="53">
        <f>+_xlfn.RANK.EQ(AF11,$AF$9:$AF$15)+_xlfn.RANK.EQ(AM11,$AM$9:$AM$15)/10+_xlfn.RANK.EQ(AJ11,$AJ$9:$AJ$15)/100+_xlfn.RANK.EQ(AL11,$AL$9:$AL$15)/1000+ROW()/1000000</f>
        <v>1.111011</v>
      </c>
      <c r="AO11" s="53">
        <f t="shared" ref="AO11" si="2">+_xlfn.RANK.EQ(AN11,$AN$9:$AN$15,1)</f>
        <v>1</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301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304</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
      <c r="B13" s="27">
        <v>13</v>
      </c>
      <c r="C13" s="28">
        <f>+VLOOKUP(B13,Aux!F:AB,4,0)</f>
        <v>45470.75</v>
      </c>
      <c r="D13" s="29">
        <f>+VLOOKUP(B13,Aux!F:AB,4,0)</f>
        <v>45470.75</v>
      </c>
      <c r="E13" s="169"/>
      <c r="F13" s="169" t="e" vm="12">
        <f>IFERROR(VLOOKUP(G13,Aux!$A:$C,3,0),"")</f>
        <v>#VALUE!</v>
      </c>
      <c r="G13" s="30" t="str">
        <f>+VLOOKUP(B13,Aux!F:S,5,0)</f>
        <v>Panamá</v>
      </c>
      <c r="H13" s="258">
        <v>1</v>
      </c>
      <c r="I13" s="257" t="s">
        <v>41</v>
      </c>
      <c r="J13" s="258">
        <v>2</v>
      </c>
      <c r="K13" s="38" t="str">
        <f>+VLOOKUP(B13,Aux!F:S,6,0)</f>
        <v>Estados Unidos</v>
      </c>
      <c r="L13" s="169" t="e" vm="9">
        <f>IFERROR(VLOOKUP(K13,Aux!$A:$C,3,0),"")</f>
        <v>#VALUE!</v>
      </c>
      <c r="M13" s="38"/>
      <c r="N13" s="46" t="str">
        <f>+_xlfn.XLOOKUP(B13,Aux!F:F,Aux!L:L)</f>
        <v>Mercedes-Benz Stadium - ATLANTA, GA</v>
      </c>
      <c r="O13"/>
      <c r="P13" s="156" t="str">
        <f>+INDEX($AD$9:$AD$16,MATCH(3,$AO$9:$AO$15,0))</f>
        <v>Bolivia</v>
      </c>
      <c r="Q13" s="157" t="e" vm="10">
        <f>IFERROR(VLOOKUP(P13,Aux!A:C,3,0),"")</f>
        <v>#VALUE!</v>
      </c>
      <c r="R13" s="158"/>
      <c r="S13" s="159">
        <f>+VLOOKUP($P13,$AD$9:$AK$15,3,0)</f>
        <v>3</v>
      </c>
      <c r="T13" s="160">
        <f>+VLOOKUP($P13,$AD$9:$AK$15,4,0)</f>
        <v>1</v>
      </c>
      <c r="U13" s="160">
        <f>+VLOOKUP($P13,$AD$9:$AK$15,5,0)</f>
        <v>0</v>
      </c>
      <c r="V13" s="160">
        <f>+VLOOKUP($P13,$AD$9:$AK$15,6,0)</f>
        <v>2</v>
      </c>
      <c r="W13" s="161">
        <f>+VLOOKUP($P13,$AD$9:$AK$15,7,0)</f>
        <v>4</v>
      </c>
      <c r="X13" s="161">
        <f>+VLOOKUP($P13,$AD$9:$AK$15,8,0)</f>
        <v>7</v>
      </c>
      <c r="Y13" s="161">
        <f>+W13-X13</f>
        <v>-3</v>
      </c>
      <c r="Z13" s="60"/>
      <c r="AA13" s="57"/>
      <c r="AB13" s="53"/>
      <c r="AC13" s="53">
        <v>3</v>
      </c>
      <c r="AD13" s="251" t="str">
        <f>+VLOOKUP($AD$5&amp;AC13,Aux!S:T,2,0)</f>
        <v>Panamá</v>
      </c>
      <c r="AE13" s="53">
        <f t="shared" ref="AE13" si="3">+AG13+AH13+AI13</f>
        <v>3</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3</v>
      </c>
      <c r="AJ13" s="53" cm="1">
        <f t="array" ref="AJ13">SUM(($G$9:$G$22=$AD13)*($H$9:$H$22)+($K$9:$K$22=$AD13)*($J$9:$J$22))</f>
        <v>2</v>
      </c>
      <c r="AK13" s="53" cm="1">
        <f t="array" ref="AK13">SUM(($G$9:$G$22=$AD13)*($J$9:$J$22)+($K$9:$K$22=$AD13)*($H$9:$H$22))</f>
        <v>8</v>
      </c>
      <c r="AL13" s="252">
        <f>+SUMIFS($AR13:$AU13,$AR$5:$AU$5,AF13)</f>
        <v>0</v>
      </c>
      <c r="AM13" s="252">
        <f>+AJ13-AK13</f>
        <v>-6</v>
      </c>
      <c r="AN13" s="53">
        <f>+_xlfn.RANK.EQ(AF13,$AF$9:$AF$15)+_xlfn.RANK.EQ(AM13,$AM$9:$AM$15)/10+_xlfn.RANK.EQ(AJ13,$AJ$9:$AJ$15)/100+_xlfn.RANK.EQ(AL13,$AL$9:$AL$15)/1000+ROW()/1000000</f>
        <v>4.4410130000000008</v>
      </c>
      <c r="AO13" s="53">
        <f t="shared" ref="AO13" si="5">+_xlfn.RANK.EQ(AN13,$AN$9:$AN$15,1)</f>
        <v>4</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v>
      </c>
      <c r="AS13" s="53" cm="1">
        <f t="array" ref="AS13">(SUM(($G$9:$G$22=$AD13)*($H$9:$H$22&gt;$J$9:$J$22)*($K$9:$K$22=AS$7)+($K$9:$K$22=$AD13)*($H$9:$H$22&lt;$J$9:$J$22)*($G$9:$G$22=AS$7)))*300+
(SUM(($G$9:$G$22=$AD13)*($H$9:$H$22=$J$9:$J$22)*($K$9:$K$22=AS$7)+($K$9:$K$22=$AD13)*($H$9:$H$22=$J$9:$J$22)*($G$9:$G$22=AS$7)))*100
+SUM(($G$9:$G$22=$AD13)*($H$9:$H$22)*($K$9:$K$22=AS$7)+($K$9:$K$22=$AD13)*($J$9:$J$22)*($G$9:$G$22=AS$7))
-SUM(($G$9:$G$22=$AD13)*($J$9:$J$22)*($K$9:$K$22=AS$7)+($K$9:$K$22=$AD13)*($H$9:$H$22)*($G$9:$G$22=AS$7))</f>
        <v>-4</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v>
      </c>
    </row>
    <row r="14" spans="2:47" s="54" customFormat="1" ht="10.15" customHeight="1" x14ac:dyDescent="0.2">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
      <c r="B15" s="27">
        <v>14</v>
      </c>
      <c r="C15" s="28">
        <f>+VLOOKUP(B15,Aux!F:AB,4,0)</f>
        <v>45470.875</v>
      </c>
      <c r="D15" s="29">
        <f>+VLOOKUP(B15,Aux!F:AB,4,0)</f>
        <v>45470.875</v>
      </c>
      <c r="E15" s="169"/>
      <c r="F15" s="169" t="e" vm="11">
        <f>IFERROR(VLOOKUP(G15,Aux!$A:$C,3,0),"")</f>
        <v>#VALUE!</v>
      </c>
      <c r="G15" s="30" t="str">
        <f>+VLOOKUP(B15,Aux!F:S,5,0)</f>
        <v>Uruguay</v>
      </c>
      <c r="H15" s="258">
        <v>4</v>
      </c>
      <c r="I15" s="257" t="s">
        <v>41</v>
      </c>
      <c r="J15" s="258">
        <v>2</v>
      </c>
      <c r="K15" s="38" t="str">
        <f>+VLOOKUP(B15,Aux!F:S,6,0)</f>
        <v>Bolivia</v>
      </c>
      <c r="L15" s="169" t="e" vm="10">
        <f>IFERROR(VLOOKUP(K15,Aux!$A:$C,3,0),"")</f>
        <v>#VALUE!</v>
      </c>
      <c r="M15" s="38"/>
      <c r="N15" s="46" t="str">
        <f>+_xlfn.XLOOKUP(B15,Aux!F:F,Aux!L:L)</f>
        <v>MetLife Stadium - EAST RUTHERFORD, NJ</v>
      </c>
      <c r="O15"/>
      <c r="P15" s="156" t="str">
        <f>+INDEX($AD$9:$AD$16,MATCH(4,$AO$9:$AO$15,0))</f>
        <v>Panamá</v>
      </c>
      <c r="Q15" s="157" t="e" vm="12">
        <f>IFERROR(VLOOKUP(P15,Aux!A:C,3,0),"")</f>
        <v>#VALUE!</v>
      </c>
      <c r="R15" s="158"/>
      <c r="S15" s="159">
        <f>+VLOOKUP($P15,$AD$9:$AK$15,3,0)</f>
        <v>0</v>
      </c>
      <c r="T15" s="160">
        <f>+VLOOKUP($P15,$AD$9:$AK$15,4,0)</f>
        <v>0</v>
      </c>
      <c r="U15" s="160">
        <f>+VLOOKUP($P15,$AD$9:$AK$15,5,0)</f>
        <v>0</v>
      </c>
      <c r="V15" s="160">
        <f>+VLOOKUP($P15,$AD$9:$AK$15,6,0)</f>
        <v>3</v>
      </c>
      <c r="W15" s="161">
        <f>+VLOOKUP($P15,$AD$9:$AK$15,7,0)</f>
        <v>2</v>
      </c>
      <c r="X15" s="161">
        <f>+VLOOKUP($P15,$AD$9:$AK$15,8,0)</f>
        <v>8</v>
      </c>
      <c r="Y15" s="161">
        <f>+W15-X15</f>
        <v>-6</v>
      </c>
      <c r="Z15" s="60"/>
      <c r="AA15" s="59"/>
      <c r="AB15" s="245"/>
      <c r="AC15" s="53">
        <v>4</v>
      </c>
      <c r="AD15" s="251" t="str">
        <f>+VLOOKUP($AD$5&amp;AC15,Aux!S:T,2,0)</f>
        <v>Bolivia</v>
      </c>
      <c r="AE15" s="53">
        <f t="shared" ref="AE15" si="6">+AG15+AH15+AI15</f>
        <v>3</v>
      </c>
      <c r="AF15" s="53">
        <f t="shared" ref="AF15" si="7">+AG15*3+AH15</f>
        <v>3</v>
      </c>
      <c r="AG15" s="53" cm="1">
        <f t="array" ref="AG15">SUM(($G$9:$G$22=$AD15)*($H$9:$H$22&gt;$J$9:$J$22)+($K$9:$K$22=$AD15)*($H$9:$H$22&lt;$J$9:$J$22))</f>
        <v>1</v>
      </c>
      <c r="AH15" s="53" cm="1">
        <f t="array" ref="AH15">SUM(($G$9:$G$22=$AD15)*($H$9:$H$22=$J$9:$J$22)*($H$9:$H$22&lt;&gt;"")+($K$9:$K$22=$AD15)*($H$9:$H$22=$J$9:$J$22)*($H$9:$H$22&lt;&gt;""))</f>
        <v>0</v>
      </c>
      <c r="AI15" s="53" cm="1">
        <f t="array" ref="AI15">SUM(($G$9:$G$22=$AD15)*($H$9:$H$22&lt;$J$9:$J$22)+($K$9:$K$22=$AD15)*($H$9:$H$22&gt;$J$9:$J$22))</f>
        <v>2</v>
      </c>
      <c r="AJ15" s="53" cm="1">
        <f t="array" ref="AJ15">SUM(($G$9:$G$22=$AD15)*($H$9:$H$22)+($K$9:$K$22=$AD15)*($J$9:$J$22))</f>
        <v>4</v>
      </c>
      <c r="AK15" s="53" cm="1">
        <f t="array" ref="AK15">SUM(($G$9:$G$22=$AD15)*($J$9:$J$22)+($K$9:$K$22=$AD15)*($H$9:$H$22))</f>
        <v>7</v>
      </c>
      <c r="AL15" s="252">
        <f>+SUMIFS($AR15:$AU15,$AR$5:$AU$5,AF15)</f>
        <v>0</v>
      </c>
      <c r="AM15" s="252">
        <f>+AJ15-AK15</f>
        <v>-3</v>
      </c>
      <c r="AN15" s="53">
        <f>+_xlfn.RANK.EQ(AF15,$AF$9:$AF$15)+_xlfn.RANK.EQ(AM15,$AM$9:$AM$15)/10+_xlfn.RANK.EQ(AJ15,$AJ$9:$AJ$15)/100+_xlfn.RANK.EQ(AL15,$AL$9:$AL$15)/1000+ROW()/1000000</f>
        <v>3.3210149999999996</v>
      </c>
      <c r="AO15" s="53">
        <f t="shared" ref="AO15" si="8">+_xlfn.RANK.EQ(AN15,$AN$9:$AN$15,1)</f>
        <v>3</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301</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25">
      <c r="B17" s="27">
        <v>21</v>
      </c>
      <c r="C17" s="28">
        <f>+VLOOKUP(B17,Aux!F:AB,4,0)</f>
        <v>45474.875000000007</v>
      </c>
      <c r="D17" s="29">
        <f>+VLOOKUP(B17,Aux!F:AB,4,0)</f>
        <v>45474.875000000007</v>
      </c>
      <c r="E17" s="169"/>
      <c r="F17" s="169" t="e" vm="9">
        <f>IFERROR(VLOOKUP(G17,Aux!$A:$C,3,0),"")</f>
        <v>#VALUE!</v>
      </c>
      <c r="G17" s="30" t="str">
        <f>+VLOOKUP(B17,Aux!F:S,5,0)</f>
        <v>Estados Unidos</v>
      </c>
      <c r="H17" s="258">
        <v>0</v>
      </c>
      <c r="I17" s="257" t="s">
        <v>41</v>
      </c>
      <c r="J17" s="258">
        <v>1</v>
      </c>
      <c r="K17" s="38" t="str">
        <f>+VLOOKUP(B17,Aux!F:S,6,0)</f>
        <v>Uruguay</v>
      </c>
      <c r="L17" s="169" t="e" vm="11">
        <f>IFERROR(VLOOKUP(K17,Aux!$A:$C,3,0),"")</f>
        <v>#VALUE!</v>
      </c>
      <c r="M17" s="38"/>
      <c r="N17" s="46" t="str">
        <f>+_xlfn.XLOOKUP(B17,Aux!F:F,Aux!L:L)</f>
        <v>GEHA Field at Arrowhead - KANSAS CITY, MO</v>
      </c>
      <c r="O17"/>
      <c r="P17" s="283"/>
      <c r="Q17" s="283"/>
      <c r="R17" s="283"/>
      <c r="S17" s="283"/>
      <c r="T17" s="283"/>
      <c r="U17" s="283"/>
      <c r="V17" s="283"/>
      <c r="W17" s="283"/>
      <c r="X17" s="283"/>
      <c r="Y17" s="283"/>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
      <c r="B19" s="27">
        <v>22</v>
      </c>
      <c r="C19" s="28">
        <f>+VLOOKUP(B19,Aux!F:AB,4,0)</f>
        <v>45474.875</v>
      </c>
      <c r="D19" s="29">
        <f>+VLOOKUP(B19,Aux!F:AB,4,0)</f>
        <v>45474.875</v>
      </c>
      <c r="E19" s="169"/>
      <c r="F19" s="169" t="e" vm="10">
        <f>IFERROR(VLOOKUP(G19,Aux!$A:$C,3,0),"")</f>
        <v>#VALUE!</v>
      </c>
      <c r="G19" s="30" t="str">
        <f>+VLOOKUP(B19,Aux!F:S,5,0)</f>
        <v>Bolivia</v>
      </c>
      <c r="H19" s="258">
        <v>2</v>
      </c>
      <c r="I19" s="257" t="s">
        <v>41</v>
      </c>
      <c r="J19" s="258">
        <v>1</v>
      </c>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25">
      <c r="K22" s="259"/>
    </row>
    <row r="23" spans="2:47" ht="15" customHeight="1" x14ac:dyDescent="0.2">
      <c r="K23" s="286" t="s">
        <v>193</v>
      </c>
    </row>
    <row r="24" spans="2:47" ht="15" customHeight="1" thickBot="1" x14ac:dyDescent="0.25">
      <c r="K24" s="287"/>
    </row>
    <row r="25" spans="2:47" ht="15" customHeight="1" x14ac:dyDescent="0.2">
      <c r="K25" s="276" t="s">
        <v>194</v>
      </c>
    </row>
    <row r="26" spans="2:47" ht="15" customHeight="1" thickBot="1" x14ac:dyDescent="0.25">
      <c r="K26" s="277"/>
    </row>
  </sheetData>
  <mergeCells count="6">
    <mergeCell ref="K25:K26"/>
    <mergeCell ref="S1:U1"/>
    <mergeCell ref="E6:M6"/>
    <mergeCell ref="P6:Y6"/>
    <mergeCell ref="P17:Y17"/>
    <mergeCell ref="K23:K24"/>
  </mergeCells>
  <conditionalFormatting sqref="H9 H11 H13 H15 H17 H19">
    <cfRule type="expression" dxfId="117" priority="3">
      <formula>#REF!="P"</formula>
    </cfRule>
    <cfRule type="expression" dxfId="116" priority="4">
      <formula>#REF!="E"</formula>
    </cfRule>
    <cfRule type="expression" dxfId="115" priority="5">
      <formula>#REF!="G"</formula>
    </cfRule>
  </conditionalFormatting>
  <conditionalFormatting sqref="J9 J11 J13 J15 J17 J19">
    <cfRule type="expression" dxfId="114" priority="6">
      <formula>#REF!="P"</formula>
    </cfRule>
    <cfRule type="expression" dxfId="113" priority="7">
      <formula>#REF!="E"</formula>
    </cfRule>
    <cfRule type="expression" dxfId="112" priority="8">
      <formula>#REF!="G"</formula>
    </cfRule>
  </conditionalFormatting>
  <conditionalFormatting sqref="K22:K27">
    <cfRule type="expression" dxfId="111" priority="1">
      <formula>$L22&lt;&gt;""</formula>
    </cfRule>
    <cfRule type="expression" dxfId="110"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L36" sqref="L36:L52"/>
    </sheetView>
  </sheetViews>
  <sheetFormatPr defaultColWidth="14.390625" defaultRowHeight="15" customHeight="1" x14ac:dyDescent="0.2"/>
  <cols>
    <col min="1" max="1" width="3.62890625" style="50" customWidth="1"/>
    <col min="2" max="2" width="3.765625" style="50" customWidth="1"/>
    <col min="3" max="3" width="7.6640625" style="50" customWidth="1"/>
    <col min="4" max="4" width="6.72265625" style="50" customWidth="1"/>
    <col min="5" max="5" width="2.5546875" style="50" customWidth="1"/>
    <col min="6" max="6" width="5.6484375" style="50" customWidth="1"/>
    <col min="7" max="7" width="19.7734375" style="50" customWidth="1"/>
    <col min="8" max="8" width="6.72265625" style="50" customWidth="1"/>
    <col min="9" max="9" width="2.6875" style="50" customWidth="1"/>
    <col min="10" max="10" width="6.72265625" style="50" customWidth="1"/>
    <col min="11" max="11" width="19.7734375" style="50" customWidth="1"/>
    <col min="12" max="12" width="5.6484375" style="50" customWidth="1"/>
    <col min="13" max="13" width="2.5546875" style="50" customWidth="1"/>
    <col min="14" max="14" width="17.75390625" style="50" customWidth="1"/>
    <col min="15" max="15" width="2.6875" style="50" customWidth="1"/>
    <col min="16" max="16" width="18.6953125" style="50" customWidth="1"/>
    <col min="17" max="17" width="5.6484375" style="50" customWidth="1"/>
    <col min="18" max="18" width="1.74609375" style="50" customWidth="1"/>
    <col min="19" max="25" width="4.03515625" style="50" customWidth="1"/>
    <col min="26" max="26" width="6.05078125" style="54" customWidth="1"/>
    <col min="27" max="29" width="4.9765625" style="53" customWidth="1"/>
    <col min="30" max="30" width="14.796875" style="53" customWidth="1"/>
    <col min="31" max="37" width="4.9765625" style="53" customWidth="1"/>
    <col min="38" max="40" width="8.609375" style="53" customWidth="1"/>
    <col min="41" max="42" width="4.9765625" style="53" customWidth="1"/>
    <col min="43" max="43" width="7.6640625" style="54" customWidth="1"/>
    <col min="44" max="44" width="14.390625" style="54"/>
    <col min="45" max="45" width="14.9296875" style="50" customWidth="1"/>
    <col min="46" max="16384" width="14.390625" style="50"/>
  </cols>
  <sheetData>
    <row r="1" spans="2:47" s="54" customFormat="1" ht="18.75" x14ac:dyDescent="0.2">
      <c r="B1" s="49"/>
      <c r="C1" s="50"/>
      <c r="D1" s="50"/>
      <c r="E1" s="50"/>
      <c r="F1" s="50"/>
      <c r="G1" s="50"/>
      <c r="H1" s="51"/>
      <c r="I1" s="51"/>
      <c r="J1" s="51"/>
      <c r="K1" s="51"/>
      <c r="L1" s="51"/>
      <c r="M1" s="51"/>
      <c r="N1" s="51"/>
      <c r="O1" s="51"/>
      <c r="P1" s="51"/>
      <c r="Q1" s="51"/>
      <c r="R1" s="51"/>
      <c r="S1" s="278"/>
      <c r="T1" s="278"/>
      <c r="U1" s="278"/>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7</v>
      </c>
      <c r="AS5" s="245">
        <f>+VLOOKUP(AS7,$AD$9:$AF$15,3,0)</f>
        <v>6</v>
      </c>
      <c r="AT5" s="245">
        <f>+VLOOKUP(AT7,$AD$9:$AF$15,3,0)</f>
        <v>2</v>
      </c>
      <c r="AU5" s="245">
        <f>+VLOOKUP(AU7,$AD$9:$AF$15,3,0)</f>
        <v>1</v>
      </c>
    </row>
    <row r="6" spans="2:47" s="54" customFormat="1" ht="22.15" customHeight="1" thickBot="1" x14ac:dyDescent="0.25">
      <c r="B6" s="183" t="s">
        <v>34</v>
      </c>
      <c r="C6" s="184" t="s">
        <v>35</v>
      </c>
      <c r="D6" s="184" t="s">
        <v>36</v>
      </c>
      <c r="E6" s="284" t="s">
        <v>37</v>
      </c>
      <c r="F6" s="280"/>
      <c r="G6" s="280"/>
      <c r="H6" s="280"/>
      <c r="I6" s="280"/>
      <c r="J6" s="280"/>
      <c r="K6" s="280"/>
      <c r="L6" s="280"/>
      <c r="M6" s="285"/>
      <c r="N6" s="185" t="s">
        <v>38</v>
      </c>
      <c r="O6" s="61"/>
      <c r="P6" s="279" t="s">
        <v>39</v>
      </c>
      <c r="Q6" s="280"/>
      <c r="R6" s="280"/>
      <c r="S6" s="281"/>
      <c r="T6" s="281"/>
      <c r="U6" s="281"/>
      <c r="V6" s="281"/>
      <c r="W6" s="281"/>
      <c r="X6" s="281"/>
      <c r="Y6" s="282"/>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
      <c r="B9" s="27">
        <v>7</v>
      </c>
      <c r="C9" s="28">
        <f>+VLOOKUP(B9,Aux!F:AB,4,0)</f>
        <v>45467.750000000007</v>
      </c>
      <c r="D9" s="29">
        <f>+VLOOKUP(B9,Aux!F:AB,4,0)</f>
        <v>45467.750000000007</v>
      </c>
      <c r="E9" s="169"/>
      <c r="F9" s="169" t="e" vm="13">
        <f>IFERROR(VLOOKUP(G9,Aux!$A:$C,3,0),"")</f>
        <v>#VALUE!</v>
      </c>
      <c r="G9" s="30" t="str">
        <f>+VLOOKUP(B9,Aux!F:S,5,0)</f>
        <v>Colombia</v>
      </c>
      <c r="H9" s="258">
        <v>1</v>
      </c>
      <c r="I9" s="257" t="s">
        <v>41</v>
      </c>
      <c r="J9" s="258">
        <v>0</v>
      </c>
      <c r="K9" s="38" t="str">
        <f>+VLOOKUP(B9,Aux!F:S,6,0)</f>
        <v>Paraguay</v>
      </c>
      <c r="L9" s="169" t="e" vm="14">
        <f>IFERROR(VLOOKUP(K9,Aux!$A:$C,3,0),"")</f>
        <v>#VALUE!</v>
      </c>
      <c r="M9" s="38"/>
      <c r="N9" s="46" t="str">
        <f>+_xlfn.XLOOKUP(B9,Aux!F:F,Aux!L:L)</f>
        <v>NRG Stadium - HOUSTON, TX</v>
      </c>
      <c r="O9"/>
      <c r="P9" s="156" t="str">
        <f>+INDEX($AD$9:$AD$16,MATCH(1,$AO$9:$AO$15,0))</f>
        <v>Brasil</v>
      </c>
      <c r="Q9" s="157" t="e" vm="15">
        <f>IFERROR(VLOOKUP(P9,Aux!A:C,3,0),"")</f>
        <v>#VALUE!</v>
      </c>
      <c r="R9" s="158"/>
      <c r="S9" s="159">
        <f>+VLOOKUP($P9,$AD$9:$AK$15,3,0)</f>
        <v>7</v>
      </c>
      <c r="T9" s="160">
        <f>+VLOOKUP($P9,$AD$9:$AK$15,4,0)</f>
        <v>2</v>
      </c>
      <c r="U9" s="160">
        <f>+VLOOKUP($P9,$AD$9:$AK$15,5,0)</f>
        <v>1</v>
      </c>
      <c r="V9" s="160">
        <f>+VLOOKUP($P9,$AD$9:$AK$15,6,0)</f>
        <v>0</v>
      </c>
      <c r="W9" s="161">
        <f>+VLOOKUP($P9,$AD$9:$AK$15,7,0)</f>
        <v>7</v>
      </c>
      <c r="X9" s="161">
        <f>+VLOOKUP($P9,$AD$9:$AK$15,8,0)</f>
        <v>4</v>
      </c>
      <c r="Y9" s="161">
        <f>+W9-X9</f>
        <v>3</v>
      </c>
      <c r="Z9" s="60"/>
      <c r="AA9" s="57"/>
      <c r="AB9" s="53"/>
      <c r="AC9" s="53">
        <v>1</v>
      </c>
      <c r="AD9" s="251" t="str">
        <f>+VLOOKUP($AD$5&amp;AC9,Aux!S:T,2,0)</f>
        <v>Brasil</v>
      </c>
      <c r="AE9" s="53">
        <f>+AG9+AH9+AI9</f>
        <v>3</v>
      </c>
      <c r="AF9" s="53">
        <f>+AG9*3+AH9</f>
        <v>7</v>
      </c>
      <c r="AG9" s="53" cm="1">
        <f t="array" ref="AG9">SUM(($G$9:$G$22=$AD9)*($H$9:$H$22&gt;$J$9:$J$22)+($K$9:$K$22=$AD9)*($H$9:$H$22&lt;$J$9:$J$22))</f>
        <v>2</v>
      </c>
      <c r="AH9" s="53" cm="1">
        <f t="array" ref="AH9">SUM(($G$9:$G$22=$AD9)*($H$9:$H$22=$J$9:$J$22)*($H$9:$H$22&lt;&gt;"")+($K$9:$K$22=$AD9)*($H$9:$H$22=$J$9:$J$22)*($H$9:$H$22&lt;&gt;""))</f>
        <v>1</v>
      </c>
      <c r="AI9" s="53" cm="1">
        <f t="array" ref="AI9">SUM(($G$9:$G$22=$AD9)*($H$9:$H$22&lt;$J$9:$J$22)+($K$9:$K$22=$AD9)*($H$9:$H$22&gt;$J$9:$J$22))</f>
        <v>0</v>
      </c>
      <c r="AJ9" s="53" cm="1">
        <f t="array" ref="AJ9">SUM(($G$9:$G$22=$AD9)*($H$9:$H$22)+($K$9:$K$22=$AD9)*($J$9:$J$22))</f>
        <v>7</v>
      </c>
      <c r="AK9" s="53" cm="1">
        <f t="array" ref="AK9">SUM(($G$9:$G$22=$AD9)*($J$9:$J$22)+($K$9:$K$22=$AD9)*($H$9:$H$22))</f>
        <v>4</v>
      </c>
      <c r="AL9" s="252">
        <f>+SUMIFS($AR9:$AU9,$AR$5:$AU$5,AF9)</f>
        <v>0</v>
      </c>
      <c r="AM9" s="252">
        <f>+AJ9-AK9</f>
        <v>3</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301</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
      <c r="B11" s="27">
        <v>8</v>
      </c>
      <c r="C11" s="28">
        <f>+VLOOKUP(B11,Aux!F:AB,4,0)</f>
        <v>45467.875</v>
      </c>
      <c r="D11" s="29">
        <f>+VLOOKUP(B11,Aux!F:AB,4,0)</f>
        <v>45467.875</v>
      </c>
      <c r="E11" s="169"/>
      <c r="F11" s="169" t="e" vm="15">
        <f>IFERROR(VLOOKUP(G11,Aux!$A:$C,3,0),"")</f>
        <v>#VALUE!</v>
      </c>
      <c r="G11" s="30" t="str">
        <f>+VLOOKUP(B11,Aux!F:S,5,0)</f>
        <v>Brasil</v>
      </c>
      <c r="H11" s="258">
        <v>2</v>
      </c>
      <c r="I11" s="257" t="s">
        <v>41</v>
      </c>
      <c r="J11" s="258">
        <v>0</v>
      </c>
      <c r="K11" s="38" t="str">
        <f>+VLOOKUP(B11,Aux!F:S,6,0)</f>
        <v>Costa Rica</v>
      </c>
      <c r="L11" s="169" t="e" vm="16">
        <f>IFERROR(VLOOKUP(K11,Aux!$A:$C,3,0),"")</f>
        <v>#VALUE!</v>
      </c>
      <c r="M11" s="38"/>
      <c r="N11" s="46" t="str">
        <f>+_xlfn.XLOOKUP(B11,Aux!F:F,Aux!L:L)</f>
        <v>SoFi Stadium - INGLEWOOD, CA</v>
      </c>
      <c r="O11"/>
      <c r="P11" s="156" t="str">
        <f>+INDEX($AD$9:$AD$16,MATCH(2,$AO$9:$AO$15,0))</f>
        <v>Colombia</v>
      </c>
      <c r="Q11" s="157" t="e" vm="13">
        <f>IFERROR(VLOOKUP(P11,Aux!A:C,3,0),"")</f>
        <v>#VALUE!</v>
      </c>
      <c r="R11" s="158"/>
      <c r="S11" s="159">
        <f>+VLOOKUP($P11,$AD$9:$AK$15,3,0)</f>
        <v>6</v>
      </c>
      <c r="T11" s="160">
        <f>+VLOOKUP($P11,$AD$9:$AK$15,4,0)</f>
        <v>2</v>
      </c>
      <c r="U11" s="160">
        <f>+VLOOKUP($P11,$AD$9:$AK$15,5,0)</f>
        <v>0</v>
      </c>
      <c r="V11" s="160">
        <f>+VLOOKUP($P11,$AD$9:$AK$15,6,0)</f>
        <v>1</v>
      </c>
      <c r="W11" s="161">
        <f>+VLOOKUP($P11,$AD$9:$AK$15,7,0)</f>
        <v>6</v>
      </c>
      <c r="X11" s="161">
        <f>+VLOOKUP($P11,$AD$9:$AK$15,8,0)</f>
        <v>4</v>
      </c>
      <c r="Y11" s="161">
        <f>+W11-X11</f>
        <v>2</v>
      </c>
      <c r="Z11" s="60"/>
      <c r="AA11" s="59"/>
      <c r="AB11" s="245"/>
      <c r="AC11" s="53">
        <v>2</v>
      </c>
      <c r="AD11" s="251" t="str">
        <f>+VLOOKUP($AD$5&amp;AC11,Aux!S:T,2,0)</f>
        <v>Colombia</v>
      </c>
      <c r="AE11" s="53">
        <f t="shared" ref="AE11" si="0">+AG11+AH11+AI11</f>
        <v>3</v>
      </c>
      <c r="AF11" s="53">
        <f t="shared" ref="AF11" si="1">+AG11*3+AH11</f>
        <v>6</v>
      </c>
      <c r="AG11" s="53" cm="1">
        <f t="array" ref="AG11">SUM(($G$9:$G$22=$AD11)*($H$9:$H$22&gt;$J$9:$J$22)+($K$9:$K$22=$AD11)*($H$9:$H$22&lt;$J$9:$J$22))</f>
        <v>2</v>
      </c>
      <c r="AH11" s="53" cm="1">
        <f t="array" ref="AH11">SUM(($G$9:$G$22=$AD11)*($H$9:$H$22=$J$9:$J$22)*($H$9:$H$22&lt;&gt;"")+($K$9:$K$22=$AD11)*($H$9:$H$22=$J$9:$J$22)*($H$9:$H$22&lt;&gt;""))</f>
        <v>0</v>
      </c>
      <c r="AI11" s="53" cm="1">
        <f t="array" ref="AI11">SUM(($G$9:$G$22=$AD11)*($H$9:$H$22&lt;$J$9:$J$22)+($K$9:$K$22=$AD11)*($H$9:$H$22&gt;$J$9:$J$22))</f>
        <v>1</v>
      </c>
      <c r="AJ11" s="53" cm="1">
        <f t="array" ref="AJ11">SUM(($G$9:$G$22=$AD11)*($H$9:$H$22)+($K$9:$K$22=$AD11)*($J$9:$J$22))</f>
        <v>6</v>
      </c>
      <c r="AK11" s="53" cm="1">
        <f t="array" ref="AK11">SUM(($G$9:$G$22=$AD11)*($J$9:$J$22)+($K$9:$K$22=$AD11)*($H$9:$H$22))</f>
        <v>4</v>
      </c>
      <c r="AL11" s="252">
        <f>+SUMIFS($AR11:$AU11,$AR$5:$AU$5,AF11)</f>
        <v>0</v>
      </c>
      <c r="AM11" s="252">
        <f>+AJ11-AK11</f>
        <v>2</v>
      </c>
      <c r="AN11" s="53">
        <f>+_xlfn.RANK.EQ(AF11,$AF$9:$AF$15)+_xlfn.RANK.EQ(AM11,$AM$9:$AM$15)/10+_xlfn.RANK.EQ(AJ11,$AJ$9:$AJ$15)/100+_xlfn.RANK.EQ(AL11,$AL$9:$AL$15)/1000+ROW()/1000000</f>
        <v>2.2210110000000003</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301</v>
      </c>
      <c r="AU11" s="53" cm="1">
        <f t="array" ref="AU11">(SUM(($G$9:$G$22=$AD11)*($H$9:$H$22&gt;$J$9:$J$22)*($K$9:$K$22=AU$7)+($K$9:$K$22=$AD11)*($H$9:$H$22&lt;$J$9:$J$22)*($G$9:$G$22=AU$7)))*300+
(SUM(($G$9:$G$22=$AD11)*($H$9:$H$22=$J$9:$J$22)*($K$9:$K$22=AU$7)+($K$9:$K$22=$AD11)*($H$9:$H$22=$J$9:$J$22)*($G$9:$G$22=AU$7)))*100
+SUM(($G$9:$G$22=$AD11)*($H$9:$H$22)*($K$9:$K$22=AU$7)+($K$9:$K$22=$AD11)*($J$9:$J$22)*($G$9:$G$22=AU$7))
-SUM(($G$9:$G$22=$AD11)*($J$9:$J$22)*($K$9:$K$22=AU$7)+($K$9:$K$22=$AD11)*($H$9:$H$22)*($G$9:$G$22=AU$7))</f>
        <v>302</v>
      </c>
    </row>
    <row r="12" spans="2:47" s="54" customFormat="1" ht="10.15" customHeight="1" x14ac:dyDescent="0.2">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
      <c r="B13" s="27">
        <v>15</v>
      </c>
      <c r="C13" s="28">
        <f>+VLOOKUP(B13,Aux!F:AB,4,0)</f>
        <v>45471.75</v>
      </c>
      <c r="D13" s="29">
        <f>+VLOOKUP(B13,Aux!F:AB,4,0)</f>
        <v>45471.75</v>
      </c>
      <c r="E13" s="169"/>
      <c r="F13" s="169" t="e" vm="13">
        <f>IFERROR(VLOOKUP(G13,Aux!$A:$C,3,0),"")</f>
        <v>#VALUE!</v>
      </c>
      <c r="G13" s="30" t="str">
        <f>+VLOOKUP(B13,Aux!F:S,5,0)</f>
        <v>Colombia</v>
      </c>
      <c r="H13" s="258">
        <v>3</v>
      </c>
      <c r="I13" s="257" t="s">
        <v>41</v>
      </c>
      <c r="J13" s="258">
        <v>1</v>
      </c>
      <c r="K13" s="38" t="str">
        <f>+VLOOKUP(B13,Aux!F:S,6,0)</f>
        <v>Costa Rica</v>
      </c>
      <c r="L13" s="169" t="e" vm="16">
        <f>IFERROR(VLOOKUP(K13,Aux!$A:$C,3,0),"")</f>
        <v>#VALUE!</v>
      </c>
      <c r="M13" s="38"/>
      <c r="N13" s="46" t="str">
        <f>+_xlfn.XLOOKUP(B13,Aux!F:F,Aux!L:L)</f>
        <v>State Farm Stadium - GLENDALE, AZ</v>
      </c>
      <c r="O13"/>
      <c r="P13" s="156" t="str">
        <f>+INDEX($AD$9:$AD$16,MATCH(3,$AO$9:$AO$15,0))</f>
        <v>Paraguay</v>
      </c>
      <c r="Q13" s="157" t="e" vm="14">
        <f>IFERROR(VLOOKUP(P13,Aux!A:C,3,0),"")</f>
        <v>#VALUE!</v>
      </c>
      <c r="R13" s="158"/>
      <c r="S13" s="159">
        <f>+VLOOKUP($P13,$AD$9:$AK$15,3,0)</f>
        <v>2</v>
      </c>
      <c r="T13" s="160">
        <f>+VLOOKUP($P13,$AD$9:$AK$15,4,0)</f>
        <v>0</v>
      </c>
      <c r="U13" s="160">
        <f>+VLOOKUP($P13,$AD$9:$AK$15,5,0)</f>
        <v>2</v>
      </c>
      <c r="V13" s="160">
        <f>+VLOOKUP($P13,$AD$9:$AK$15,6,0)</f>
        <v>1</v>
      </c>
      <c r="W13" s="161">
        <f>+VLOOKUP($P13,$AD$9:$AK$15,7,0)</f>
        <v>2</v>
      </c>
      <c r="X13" s="161">
        <f>+VLOOKUP($P13,$AD$9:$AK$15,8,0)</f>
        <v>3</v>
      </c>
      <c r="Y13" s="161">
        <f>+W13-X13</f>
        <v>-1</v>
      </c>
      <c r="Z13" s="60"/>
      <c r="AA13" s="57"/>
      <c r="AB13" s="53"/>
      <c r="AC13" s="53">
        <v>3</v>
      </c>
      <c r="AD13" s="251" t="str">
        <f>+VLOOKUP($AD$5&amp;AC13,Aux!S:T,2,0)</f>
        <v>Paraguay</v>
      </c>
      <c r="AE13" s="53">
        <f t="shared" ref="AE13" si="3">+AG13+AH13+AI13</f>
        <v>3</v>
      </c>
      <c r="AF13" s="53">
        <f t="shared" ref="AF13" si="4">+AG13*3+AH13</f>
        <v>2</v>
      </c>
      <c r="AG13" s="53" cm="1">
        <f t="array" ref="AG13">SUM(($G$9:$G$22=$AD13)*($H$9:$H$22&gt;$J$9:$J$22)+($K$9:$K$22=$AD13)*($H$9:$H$22&lt;$J$9:$J$22))</f>
        <v>0</v>
      </c>
      <c r="AH13" s="53" cm="1">
        <f t="array" ref="AH13">SUM(($G$9:$G$22=$AD13)*($H$9:$H$22=$J$9:$J$22)*($H$9:$H$22&lt;&gt;"")+($K$9:$K$22=$AD13)*($H$9:$H$22=$J$9:$J$22)*($H$9:$H$22&lt;&gt;""))</f>
        <v>2</v>
      </c>
      <c r="AI13" s="53" cm="1">
        <f t="array" ref="AI13">SUM(($G$9:$G$22=$AD13)*($H$9:$H$22&lt;$J$9:$J$22)+($K$9:$K$22=$AD13)*($H$9:$H$22&gt;$J$9:$J$22))</f>
        <v>1</v>
      </c>
      <c r="AJ13" s="53" cm="1">
        <f t="array" ref="AJ13">SUM(($G$9:$G$22=$AD13)*($H$9:$H$22)+($K$9:$K$22=$AD13)*($J$9:$J$22))</f>
        <v>2</v>
      </c>
      <c r="AK13" s="53" cm="1">
        <f t="array" ref="AK13">SUM(($G$9:$G$22=$AD13)*($J$9:$J$22)+($K$9:$K$22=$AD13)*($H$9:$H$22))</f>
        <v>3</v>
      </c>
      <c r="AL13" s="252">
        <f>+SUMIFS($AR13:$AU13,$AR$5:$AU$5,AF13)</f>
        <v>0</v>
      </c>
      <c r="AM13" s="252">
        <f>+AJ13-AK13</f>
        <v>-1</v>
      </c>
      <c r="AN13" s="53">
        <f>+_xlfn.RANK.EQ(AF13,$AF$9:$AF$15)+_xlfn.RANK.EQ(AM13,$AM$9:$AM$15)/10+_xlfn.RANK.EQ(AJ13,$AJ$9:$AJ$15)/100+_xlfn.RANK.EQ(AL13,$AL$9:$AL$15)/1000+ROW()/1000000</f>
        <v>3.3310129999999996</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
      <c r="B15" s="27">
        <v>16</v>
      </c>
      <c r="C15" s="28">
        <f>+VLOOKUP(B15,Aux!F:AB,4,0)</f>
        <v>45471.875</v>
      </c>
      <c r="D15" s="29">
        <f>+VLOOKUP(B15,Aux!F:AB,4,0)</f>
        <v>45471.875</v>
      </c>
      <c r="E15" s="169"/>
      <c r="F15" s="169" t="e" vm="14">
        <f>IFERROR(VLOOKUP(G15,Aux!$A:$C,3,0),"")</f>
        <v>#VALUE!</v>
      </c>
      <c r="G15" s="30" t="str">
        <f>+VLOOKUP(B15,Aux!F:S,5,0)</f>
        <v>Paraguay</v>
      </c>
      <c r="H15" s="258">
        <v>2</v>
      </c>
      <c r="I15" s="257" t="s">
        <v>41</v>
      </c>
      <c r="J15" s="258">
        <v>2</v>
      </c>
      <c r="K15" s="38" t="str">
        <f>+VLOOKUP(B15,Aux!F:S,6,0)</f>
        <v>Brasil</v>
      </c>
      <c r="L15" s="169" t="e" vm="15">
        <f>IFERROR(VLOOKUP(K15,Aux!$A:$C,3,0),"")</f>
        <v>#VALUE!</v>
      </c>
      <c r="M15" s="38"/>
      <c r="N15" s="46" t="str">
        <f>+_xlfn.XLOOKUP(B15,Aux!F:F,Aux!L:L)</f>
        <v>Allegiant Stadium - LAS VEGAS, NV</v>
      </c>
      <c r="O15"/>
      <c r="P15" s="156" t="str">
        <f>+INDEX($AD$9:$AD$16,MATCH(4,$AO$9:$AO$15,0))</f>
        <v>Costa Rica</v>
      </c>
      <c r="Q15" s="157" t="e" vm="16">
        <f>IFERROR(VLOOKUP(P15,Aux!A:C,3,0),"")</f>
        <v>#VALUE!</v>
      </c>
      <c r="R15" s="158"/>
      <c r="S15" s="159">
        <f>+VLOOKUP($P15,$AD$9:$AK$15,3,0)</f>
        <v>1</v>
      </c>
      <c r="T15" s="160">
        <f>+VLOOKUP($P15,$AD$9:$AK$15,4,0)</f>
        <v>0</v>
      </c>
      <c r="U15" s="160">
        <f>+VLOOKUP($P15,$AD$9:$AK$15,5,0)</f>
        <v>1</v>
      </c>
      <c r="V15" s="160">
        <f>+VLOOKUP($P15,$AD$9:$AK$15,6,0)</f>
        <v>2</v>
      </c>
      <c r="W15" s="161">
        <f>+VLOOKUP($P15,$AD$9:$AK$15,7,0)</f>
        <v>1</v>
      </c>
      <c r="X15" s="161">
        <f>+VLOOKUP($P15,$AD$9:$AK$15,8,0)</f>
        <v>5</v>
      </c>
      <c r="Y15" s="161">
        <f>+W15-X15</f>
        <v>-4</v>
      </c>
      <c r="Z15" s="60"/>
      <c r="AA15" s="59"/>
      <c r="AB15" s="245"/>
      <c r="AC15" s="53">
        <v>4</v>
      </c>
      <c r="AD15" s="251" t="str">
        <f>+VLOOKUP($AD$5&amp;AC15,Aux!S:T,2,0)</f>
        <v>Costa Rica</v>
      </c>
      <c r="AE15" s="53">
        <f t="shared" ref="AE15" si="6">+AG15+AH15+AI15</f>
        <v>3</v>
      </c>
      <c r="AF15" s="53">
        <f t="shared" ref="AF15" si="7">+AG15*3+AH15</f>
        <v>1</v>
      </c>
      <c r="AG15" s="53" cm="1">
        <f t="array" ref="AG15">SUM(($G$9:$G$22=$AD15)*($H$9:$H$22&gt;$J$9:$J$22)+($K$9:$K$22=$AD15)*($H$9:$H$22&lt;$J$9:$J$22))</f>
        <v>0</v>
      </c>
      <c r="AH15" s="53" cm="1">
        <f t="array" ref="AH15">SUM(($G$9:$G$22=$AD15)*($H$9:$H$22=$J$9:$J$22)*($H$9:$H$22&lt;&gt;"")+($K$9:$K$22=$AD15)*($H$9:$H$22=$J$9:$J$22)*($H$9:$H$22&lt;&gt;""))</f>
        <v>1</v>
      </c>
      <c r="AI15" s="53" cm="1">
        <f t="array" ref="AI15">SUM(($G$9:$G$22=$AD15)*($H$9:$H$22&lt;$J$9:$J$22)+($K$9:$K$22=$AD15)*($H$9:$H$22&gt;$J$9:$J$22))</f>
        <v>2</v>
      </c>
      <c r="AJ15" s="53" cm="1">
        <f t="array" ref="AJ15">SUM(($G$9:$G$22=$AD15)*($H$9:$H$22)+($K$9:$K$22=$AD15)*($J$9:$J$22))</f>
        <v>1</v>
      </c>
      <c r="AK15" s="53" cm="1">
        <f t="array" ref="AK15">SUM(($G$9:$G$22=$AD15)*($J$9:$J$22)+($K$9:$K$22=$AD15)*($H$9:$H$22))</f>
        <v>5</v>
      </c>
      <c r="AL15" s="252">
        <f>+SUMIFS($AR15:$AU15,$AR$5:$AU$5,AF15)</f>
        <v>0</v>
      </c>
      <c r="AM15" s="252">
        <f>+AJ15-AK15</f>
        <v>-4</v>
      </c>
      <c r="AN15" s="53">
        <f>+_xlfn.RANK.EQ(AF15,$AF$9:$AF$15)+_xlfn.RANK.EQ(AM15,$AM$9:$AM$15)/10+_xlfn.RANK.EQ(AJ15,$AJ$9:$AJ$15)/100+_xlfn.RANK.EQ(AL15,$AL$9:$AL$15)/1000+ROW()/1000000</f>
        <v>4.441015000000001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-2</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25">
      <c r="B17" s="27">
        <v>23</v>
      </c>
      <c r="C17" s="28">
        <f>+VLOOKUP(B17,Aux!F:AB,4,0)</f>
        <v>45475.875</v>
      </c>
      <c r="D17" s="29">
        <f>+VLOOKUP(B17,Aux!F:AB,4,0)</f>
        <v>45475.875</v>
      </c>
      <c r="E17" s="169"/>
      <c r="F17" s="169" t="e" vm="15">
        <f>IFERROR(VLOOKUP(G17,Aux!$A:$C,3,0),"")</f>
        <v>#VALUE!</v>
      </c>
      <c r="G17" s="30" t="str">
        <f>+VLOOKUP(B17,Aux!F:S,5,0)</f>
        <v>Brasil</v>
      </c>
      <c r="H17" s="258">
        <v>3</v>
      </c>
      <c r="I17" s="257" t="s">
        <v>41</v>
      </c>
      <c r="J17" s="258">
        <v>2</v>
      </c>
      <c r="K17" s="38" t="str">
        <f>+VLOOKUP(B17,Aux!F:S,6,0)</f>
        <v>Colombia</v>
      </c>
      <c r="L17" s="169" t="e" vm="13">
        <f>IFERROR(VLOOKUP(K17,Aux!$A:$C,3,0),"")</f>
        <v>#VALUE!</v>
      </c>
      <c r="M17" s="38"/>
      <c r="N17" s="46" t="str">
        <f>+_xlfn.XLOOKUP(B17,Aux!F:F,Aux!L:L)</f>
        <v>Levi's Stadium - SANTA CLARA, CA</v>
      </c>
      <c r="O17"/>
      <c r="P17" s="283"/>
      <c r="Q17" s="283"/>
      <c r="R17" s="283"/>
      <c r="S17" s="283"/>
      <c r="T17" s="283"/>
      <c r="U17" s="283"/>
      <c r="V17" s="283"/>
      <c r="W17" s="283"/>
      <c r="X17" s="283"/>
      <c r="Y17" s="283"/>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
      <c r="B19" s="27">
        <v>24</v>
      </c>
      <c r="C19" s="28">
        <f>+VLOOKUP(B19,Aux!F:AB,4,0)</f>
        <v>45475.875000000007</v>
      </c>
      <c r="D19" s="29">
        <f>+VLOOKUP(B19,Aux!F:AB,4,0)</f>
        <v>45475.875000000007</v>
      </c>
      <c r="E19" s="169"/>
      <c r="F19" s="169" t="e" vm="16">
        <f>IFERROR(VLOOKUP(G19,Aux!$A:$C,3,0),"")</f>
        <v>#VALUE!</v>
      </c>
      <c r="G19" s="30" t="str">
        <f>+VLOOKUP(B19,Aux!F:S,5,0)</f>
        <v>Costa Rica</v>
      </c>
      <c r="H19" s="258">
        <v>0</v>
      </c>
      <c r="I19" s="257" t="s">
        <v>41</v>
      </c>
      <c r="J19" s="258">
        <v>0</v>
      </c>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25">
      <c r="K22" s="259"/>
    </row>
    <row r="23" spans="2:47" ht="15" customHeight="1" x14ac:dyDescent="0.2">
      <c r="K23" s="286" t="s">
        <v>193</v>
      </c>
    </row>
    <row r="24" spans="2:47" ht="15" customHeight="1" thickBot="1" x14ac:dyDescent="0.25">
      <c r="K24" s="287"/>
    </row>
    <row r="25" spans="2:47" ht="15" customHeight="1" x14ac:dyDescent="0.2">
      <c r="K25" s="276" t="s">
        <v>194</v>
      </c>
    </row>
    <row r="26" spans="2:47" ht="15" customHeight="1" thickBot="1" x14ac:dyDescent="0.25">
      <c r="K26" s="277"/>
    </row>
  </sheetData>
  <mergeCells count="6">
    <mergeCell ref="K25:K26"/>
    <mergeCell ref="S1:U1"/>
    <mergeCell ref="E6:M6"/>
    <mergeCell ref="P6:Y6"/>
    <mergeCell ref="P17:Y17"/>
    <mergeCell ref="K23:K24"/>
  </mergeCells>
  <conditionalFormatting sqref="H9 H11 H13 H15 H17 H19">
    <cfRule type="expression" dxfId="109" priority="3">
      <formula>#REF!="P"</formula>
    </cfRule>
    <cfRule type="expression" dxfId="108" priority="4">
      <formula>#REF!="E"</formula>
    </cfRule>
    <cfRule type="expression" dxfId="107" priority="5">
      <formula>#REF!="G"</formula>
    </cfRule>
  </conditionalFormatting>
  <conditionalFormatting sqref="J9 J11 J13 J15 J17 J19">
    <cfRule type="expression" dxfId="106" priority="6">
      <formula>#REF!="P"</formula>
    </cfRule>
    <cfRule type="expression" dxfId="105" priority="7">
      <formula>#REF!="E"</formula>
    </cfRule>
    <cfRule type="expression" dxfId="104" priority="8">
      <formula>#REF!="G"</formula>
    </cfRule>
  </conditionalFormatting>
  <conditionalFormatting sqref="K22:K27">
    <cfRule type="expression" dxfId="103" priority="1">
      <formula>$L22&lt;&gt;""</formula>
    </cfRule>
    <cfRule type="expression" dxfId="102"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topLeftCell="H1" zoomScaleNormal="100" workbookViewId="0">
      <selection activeCell="N65" sqref="N65"/>
    </sheetView>
  </sheetViews>
  <sheetFormatPr defaultColWidth="14.390625" defaultRowHeight="15" customHeight="1" x14ac:dyDescent="0.2"/>
  <cols>
    <col min="1" max="2" width="4.3046875" style="82" customWidth="1"/>
    <col min="3" max="3" width="3.765625" customWidth="1"/>
    <col min="4" max="4" width="7.6640625" customWidth="1"/>
    <col min="5" max="5" width="6.72265625" customWidth="1"/>
    <col min="6" max="6" width="2.5546875" customWidth="1"/>
    <col min="7" max="7" width="5.6484375" customWidth="1"/>
    <col min="8" max="8" width="19.7734375" customWidth="1"/>
    <col min="9" max="9" width="2.015625" customWidth="1"/>
    <col min="10" max="10" width="6.72265625" customWidth="1"/>
    <col min="11" max="11" width="2.6875" customWidth="1"/>
    <col min="12" max="12" width="6.72265625" customWidth="1"/>
    <col min="13" max="13" width="2.015625" customWidth="1"/>
    <col min="14" max="14" width="19.7734375" customWidth="1"/>
    <col min="15" max="15" width="5.6484375" customWidth="1"/>
    <col min="16" max="16" width="2.5546875" customWidth="1"/>
    <col min="17" max="17" width="37.53125" customWidth="1"/>
    <col min="18" max="18" width="0.8046875" customWidth="1"/>
    <col min="19" max="19" width="19.50390625" customWidth="1"/>
    <col min="20" max="27" width="12.64453125" customWidth="1"/>
  </cols>
  <sheetData>
    <row r="7" spans="1:19" ht="18" customHeight="1" x14ac:dyDescent="0.2">
      <c r="C7" s="73" t="s">
        <v>34</v>
      </c>
      <c r="D7" s="74" t="s">
        <v>35</v>
      </c>
      <c r="E7" s="74" t="s">
        <v>36</v>
      </c>
      <c r="F7" s="179"/>
      <c r="G7" s="179"/>
      <c r="H7" s="288" t="s">
        <v>61</v>
      </c>
      <c r="I7" s="288"/>
      <c r="J7" s="288"/>
      <c r="K7" s="288"/>
      <c r="L7" s="288"/>
      <c r="M7" s="288"/>
      <c r="N7" s="288"/>
      <c r="O7" s="177"/>
      <c r="P7" s="177"/>
      <c r="Q7" s="75" t="s">
        <v>38</v>
      </c>
      <c r="S7" s="76" t="s">
        <v>49</v>
      </c>
    </row>
    <row r="8" spans="1:19" ht="15" customHeight="1" thickBot="1" x14ac:dyDescent="0.25">
      <c r="C8" s="5"/>
      <c r="D8" s="69"/>
      <c r="E8" s="70"/>
      <c r="F8" s="6"/>
      <c r="G8" s="6"/>
      <c r="H8" s="6"/>
      <c r="I8" s="6"/>
      <c r="J8" s="6"/>
      <c r="K8" s="6"/>
      <c r="L8" s="6"/>
      <c r="M8" s="6"/>
      <c r="N8" s="6"/>
      <c r="O8" s="6"/>
      <c r="P8" s="6"/>
      <c r="Q8" s="5"/>
    </row>
    <row r="9" spans="1:19" ht="15" customHeight="1" thickBot="1" x14ac:dyDescent="0.25">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v>2</v>
      </c>
      <c r="K9" s="8" t="s">
        <v>41</v>
      </c>
      <c r="L9" s="16">
        <v>1</v>
      </c>
      <c r="M9" s="6"/>
      <c r="N9" s="17" t="str" cm="1">
        <f t="array" aca="1" ref="N9" ca="1">INDIRECT(RIGHT(B9,1)&amp;"!P"&amp;7+LEFT(B9,1)*2)</f>
        <v>Venezuela</v>
      </c>
      <c r="O9" s="180" t="e" vm="6">
        <f ca="1">IFERROR(VLOOKUP(N9,Aux!$A:$C,3,0),"")</f>
        <v>#VALUE!</v>
      </c>
      <c r="P9" s="17"/>
      <c r="Q9" s="175" t="str">
        <f>+VLOOKUP(C9,Aux!F:L,7,0)</f>
        <v>NRG Stadium - HOUSTON, TX</v>
      </c>
      <c r="S9" s="18" t="str">
        <f ca="1">IF(OR(J9="",L9=""),"",IF(J9&gt;L9,H9,IF(J9&lt;L9,N9,IF(OR(J10="",L10=""),"",IF(J10&gt;L10,H9,N9)))))</f>
        <v>Argentina</v>
      </c>
    </row>
    <row r="10" spans="1:19" ht="15" customHeight="1" x14ac:dyDescent="0.2">
      <c r="C10" s="15"/>
      <c r="D10" s="19"/>
      <c r="E10" s="20"/>
      <c r="F10" s="181"/>
      <c r="G10" s="181"/>
      <c r="H10" s="21" t="s">
        <v>51</v>
      </c>
      <c r="I10" s="6"/>
      <c r="J10" s="9"/>
      <c r="K10" s="22" t="s">
        <v>41</v>
      </c>
      <c r="L10" s="9"/>
      <c r="M10" s="23"/>
      <c r="N10" s="23"/>
      <c r="O10" s="23"/>
      <c r="P10" s="23"/>
      <c r="Q10" s="175"/>
      <c r="S10" s="24"/>
    </row>
    <row r="11" spans="1:19" ht="15" customHeight="1" thickBot="1" x14ac:dyDescent="0.25">
      <c r="C11" s="15"/>
      <c r="D11" s="19"/>
      <c r="E11" s="20"/>
      <c r="F11" s="181"/>
      <c r="G11" s="181"/>
      <c r="H11" s="23"/>
      <c r="I11" s="6"/>
      <c r="J11" s="6"/>
      <c r="K11" s="8"/>
      <c r="L11" s="6"/>
      <c r="M11" s="6"/>
      <c r="N11" s="23"/>
      <c r="O11" s="23"/>
      <c r="P11" s="23"/>
      <c r="Q11" s="175"/>
      <c r="S11" s="24"/>
    </row>
    <row r="12" spans="1:19" ht="15" customHeight="1" thickBot="1" x14ac:dyDescent="0.25">
      <c r="A12" s="171" t="s">
        <v>54</v>
      </c>
      <c r="B12" s="171" t="s">
        <v>55</v>
      </c>
      <c r="C12" s="15">
        <f>C9+1</f>
        <v>26</v>
      </c>
      <c r="D12" s="71">
        <f>+VLOOKUP(C12,Aux!F:Z,4,0)</f>
        <v>45478.875000000007</v>
      </c>
      <c r="E12" s="72">
        <f>+VLOOKUP(C12,Aux!F:Z,4,0)</f>
        <v>45478.875000000007</v>
      </c>
      <c r="F12" s="180"/>
      <c r="G12" s="180" t="e" vm="5">
        <f ca="1">IFERROR(VLOOKUP(H12,Aux!$A:$C,3,0),"")</f>
        <v>#VALUE!</v>
      </c>
      <c r="H12" s="7" t="str" cm="1">
        <f t="array" aca="1" ref="H12" ca="1">INDIRECT(RIGHT(A12,1)&amp;"!P"&amp;7+LEFT(A12,1)*2)</f>
        <v>Ecuador</v>
      </c>
      <c r="I12" s="25"/>
      <c r="J12" s="16">
        <v>1</v>
      </c>
      <c r="K12" s="8" t="s">
        <v>41</v>
      </c>
      <c r="L12" s="16">
        <v>0</v>
      </c>
      <c r="M12" s="6"/>
      <c r="N12" s="17" t="str" cm="1">
        <f t="array" aca="1" ref="N12" ca="1">INDIRECT(RIGHT(B12,1)&amp;"!P"&amp;7+LEFT(B12,1)*2)</f>
        <v>Chile</v>
      </c>
      <c r="O12" s="180" t="e" vm="4">
        <f ca="1">IFERROR(VLOOKUP(N12,Aux!$A:$C,3,0),"")</f>
        <v>#VALUE!</v>
      </c>
      <c r="P12" s="17"/>
      <c r="Q12" s="175" t="str">
        <f>+VLOOKUP(C12,Aux!F:L,7,0)</f>
        <v>AT&amp;T Stadium - ARLINGTON, TX</v>
      </c>
      <c r="S12" s="18" t="str">
        <f ca="1">IF(OR(J12="",L12=""),"",IF(J12&gt;L12,H12,IF(J12&lt;L12,N12,IF(OR(J13="",L13=""),"",IF(J13&gt;L13,H12,N12)))))</f>
        <v>Ecuador</v>
      </c>
    </row>
    <row r="13" spans="1:19" ht="15" customHeight="1" x14ac:dyDescent="0.2">
      <c r="C13" s="15"/>
      <c r="D13" s="19"/>
      <c r="E13" s="20"/>
      <c r="F13" s="181"/>
      <c r="G13" s="181"/>
      <c r="H13" s="21" t="s">
        <v>51</v>
      </c>
      <c r="I13" s="6"/>
      <c r="J13" s="9"/>
      <c r="K13" s="22" t="s">
        <v>41</v>
      </c>
      <c r="L13" s="9"/>
      <c r="M13" s="23"/>
      <c r="N13" s="23"/>
      <c r="O13" s="23"/>
      <c r="P13" s="23"/>
      <c r="Q13" s="175"/>
      <c r="S13" s="24"/>
    </row>
    <row r="14" spans="1:19" ht="15" customHeight="1" thickBot="1" x14ac:dyDescent="0.25">
      <c r="C14" s="15"/>
      <c r="D14" s="19"/>
      <c r="E14" s="20"/>
      <c r="F14" s="181"/>
      <c r="G14" s="181"/>
      <c r="H14" s="23"/>
      <c r="I14" s="6"/>
      <c r="J14" s="6"/>
      <c r="K14" s="8"/>
      <c r="L14" s="6"/>
      <c r="M14" s="6"/>
      <c r="N14" s="23"/>
      <c r="O14" s="23"/>
      <c r="P14" s="23"/>
      <c r="Q14" s="175"/>
      <c r="S14" s="24"/>
    </row>
    <row r="15" spans="1:19" ht="15" customHeight="1" thickBot="1" x14ac:dyDescent="0.25">
      <c r="A15" s="171" t="s">
        <v>56</v>
      </c>
      <c r="B15" s="171" t="s">
        <v>14</v>
      </c>
      <c r="C15" s="15">
        <f>C12+1</f>
        <v>27</v>
      </c>
      <c r="D15" s="71">
        <f>+VLOOKUP(C15,Aux!F:Z,4,0)</f>
        <v>45480.75</v>
      </c>
      <c r="E15" s="72">
        <f>+VLOOKUP(C15,Aux!F:Z,4,0)</f>
        <v>45480.75</v>
      </c>
      <c r="F15" s="180"/>
      <c r="G15" s="180" t="e" vm="15">
        <f ca="1">IFERROR(VLOOKUP(H15,Aux!$A:$C,3,0),"")</f>
        <v>#VALUE!</v>
      </c>
      <c r="H15" s="7" t="str" cm="1">
        <f t="array" aca="1" ref="H15" ca="1">INDIRECT(RIGHT(A15,1)&amp;"!P"&amp;7+LEFT(A15,1)*2)</f>
        <v>Brasil</v>
      </c>
      <c r="I15" s="25"/>
      <c r="J15" s="16">
        <v>3</v>
      </c>
      <c r="K15" s="8" t="s">
        <v>41</v>
      </c>
      <c r="L15" s="16">
        <v>0</v>
      </c>
      <c r="M15" s="6"/>
      <c r="N15" s="17" t="str" cm="1">
        <f t="array" aca="1" ref="N15" ca="1">INDIRECT(RIGHT(B15,1)&amp;"!P"&amp;7+LEFT(B15,1)*2)</f>
        <v>Estados Unidos</v>
      </c>
      <c r="O15" s="180" t="e" vm="9">
        <f ca="1">IFERROR(VLOOKUP(N15,Aux!$A:$C,3,0),"")</f>
        <v>#VALUE!</v>
      </c>
      <c r="P15" s="17"/>
      <c r="Q15" s="175" t="str">
        <f>+VLOOKUP(C15,Aux!F:L,7,0)</f>
        <v>Allegiant Stadium - LAS VEGAS, NV</v>
      </c>
      <c r="S15" s="18" t="str">
        <f ca="1">IF(OR(J15="",L15=""),"",IF(J15&gt;L15,H15,IF(J15&lt;L15,N15,IF(OR(J16="",L16=""),"",IF(J16&gt;L16,H15,N15)))))</f>
        <v>Brasil</v>
      </c>
    </row>
    <row r="16" spans="1:19" ht="15" customHeight="1" x14ac:dyDescent="0.2">
      <c r="C16" s="15"/>
      <c r="D16" s="19"/>
      <c r="E16" s="20"/>
      <c r="F16" s="181"/>
      <c r="G16" s="181"/>
      <c r="H16" s="21" t="s">
        <v>51</v>
      </c>
      <c r="I16" s="6"/>
      <c r="J16" s="9"/>
      <c r="K16" s="22" t="s">
        <v>41</v>
      </c>
      <c r="L16" s="9"/>
      <c r="M16" s="23"/>
      <c r="N16" s="23"/>
      <c r="O16" s="23"/>
      <c r="P16" s="23"/>
      <c r="Q16" s="175"/>
      <c r="S16" s="24"/>
    </row>
    <row r="17" spans="1:19" ht="15" customHeight="1" thickBot="1" x14ac:dyDescent="0.25">
      <c r="C17" s="15"/>
      <c r="D17" s="19"/>
      <c r="E17" s="20"/>
      <c r="F17" s="181"/>
      <c r="G17" s="181"/>
      <c r="H17" s="23"/>
      <c r="I17" s="6"/>
      <c r="J17" s="6"/>
      <c r="K17" s="8"/>
      <c r="L17" s="6"/>
      <c r="M17" s="6"/>
      <c r="N17" s="23"/>
      <c r="O17" s="23"/>
      <c r="P17" s="23"/>
      <c r="Q17" s="175"/>
      <c r="S17" s="24"/>
    </row>
    <row r="18" spans="1:19" ht="15" customHeight="1" thickBot="1" x14ac:dyDescent="0.25">
      <c r="A18" s="171" t="s">
        <v>52</v>
      </c>
      <c r="B18" s="171" t="s">
        <v>53</v>
      </c>
      <c r="C18" s="15">
        <f>+C15+1</f>
        <v>28</v>
      </c>
      <c r="D18" s="71">
        <f>+VLOOKUP(C18,Aux!F:Z,4,0)</f>
        <v>45480.875</v>
      </c>
      <c r="E18" s="72">
        <f>+VLOOKUP(C18,Aux!F:Z,4,0)</f>
        <v>45480.875</v>
      </c>
      <c r="F18" s="180"/>
      <c r="G18" s="180" t="e" vm="11">
        <f ca="1">IFERROR(VLOOKUP(H18,Aux!$A:$C,3,0),"")</f>
        <v>#VALUE!</v>
      </c>
      <c r="H18" s="7" t="str" cm="1">
        <f t="array" aca="1" ref="H18" ca="1">INDIRECT(RIGHT(A18,1)&amp;"!P"&amp;7+LEFT(A18,1)*2)</f>
        <v>Uruguay</v>
      </c>
      <c r="I18" s="25"/>
      <c r="J18" s="16">
        <v>0</v>
      </c>
      <c r="K18" s="8" t="s">
        <v>41</v>
      </c>
      <c r="L18" s="16">
        <v>0</v>
      </c>
      <c r="M18" s="6"/>
      <c r="N18" s="17" t="str" cm="1">
        <f t="array" aca="1" ref="N18" ca="1">INDIRECT(RIGHT(B18,1)&amp;"!P"&amp;7+LEFT(B18,1)*2)</f>
        <v>Colombia</v>
      </c>
      <c r="O18" s="180" t="e" vm="13">
        <f ca="1">IFERROR(VLOOKUP(N18,Aux!$A:$C,3,0),"")</f>
        <v>#VALUE!</v>
      </c>
      <c r="P18" s="17"/>
      <c r="Q18" s="175" t="str">
        <f>+VLOOKUP(C18,Aux!F:L,7,0)</f>
        <v>State Farm Stadium - GLENDALE, AZ</v>
      </c>
      <c r="S18" s="18" t="str">
        <f ca="1">IF(OR(J18="",L18=""),"",IF(J18&gt;L18,H18,IF(J18&lt;L18,N18,IF(OR(J19="",L19=""),"",IF(J19&gt;L19,H18,N18)))))</f>
        <v>Uruguay</v>
      </c>
    </row>
    <row r="19" spans="1:19" ht="15" customHeight="1" x14ac:dyDescent="0.2">
      <c r="C19" s="15"/>
      <c r="D19" s="19"/>
      <c r="E19" s="20"/>
      <c r="F19" s="181"/>
      <c r="G19" s="181"/>
      <c r="H19" s="21" t="s">
        <v>51</v>
      </c>
      <c r="I19" s="6"/>
      <c r="J19" s="9">
        <v>5</v>
      </c>
      <c r="K19" s="22" t="s">
        <v>41</v>
      </c>
      <c r="L19" s="9">
        <v>3</v>
      </c>
      <c r="M19" s="23"/>
      <c r="N19" s="23"/>
      <c r="O19" s="23"/>
      <c r="P19" s="23"/>
      <c r="Q19" s="182"/>
      <c r="S19" s="24"/>
    </row>
    <row r="20" spans="1:19" ht="15" customHeight="1" x14ac:dyDescent="0.2">
      <c r="C20" s="11"/>
      <c r="D20" s="12"/>
      <c r="E20" s="13"/>
      <c r="F20" s="14"/>
      <c r="G20" s="14"/>
      <c r="H20" s="14"/>
      <c r="I20" s="14"/>
      <c r="J20" s="14"/>
      <c r="K20" s="26"/>
      <c r="L20" s="14"/>
      <c r="M20" s="14"/>
      <c r="N20" s="14"/>
      <c r="O20" s="14"/>
      <c r="P20" s="14"/>
      <c r="Q20" s="11"/>
    </row>
    <row r="22" spans="1:19" ht="15" customHeight="1" thickBot="1" x14ac:dyDescent="0.25">
      <c r="S22" s="259"/>
    </row>
    <row r="23" spans="1:19" ht="15" customHeight="1" x14ac:dyDescent="0.2">
      <c r="S23" s="286" t="s">
        <v>193</v>
      </c>
    </row>
    <row r="24" spans="1:19" ht="15" customHeight="1" thickBot="1" x14ac:dyDescent="0.25">
      <c r="S24" s="287"/>
    </row>
    <row r="25" spans="1:19" ht="15" customHeight="1" x14ac:dyDescent="0.2">
      <c r="S25" s="276" t="s">
        <v>194</v>
      </c>
    </row>
    <row r="26" spans="1:19" ht="15" customHeight="1" thickBot="1" x14ac:dyDescent="0.25">
      <c r="S26" s="277"/>
    </row>
    <row r="27" spans="1:19" ht="15" customHeight="1" x14ac:dyDescent="0.2">
      <c r="S27" s="50"/>
    </row>
  </sheetData>
  <mergeCells count="3">
    <mergeCell ref="H7:N7"/>
    <mergeCell ref="S23:S24"/>
    <mergeCell ref="S25:S26"/>
  </mergeCells>
  <conditionalFormatting sqref="H10">
    <cfRule type="expression" dxfId="101" priority="19">
      <formula>IF(OR($J9="",$J9&lt;&gt;$L9),1,0)</formula>
    </cfRule>
  </conditionalFormatting>
  <conditionalFormatting sqref="H13">
    <cfRule type="expression" dxfId="100" priority="15">
      <formula>IF(OR($J12="",$J12&lt;&gt;$L12),1,0)</formula>
    </cfRule>
  </conditionalFormatting>
  <conditionalFormatting sqref="H16">
    <cfRule type="expression" dxfId="99" priority="11">
      <formula>IF(OR($J15="",$J15&lt;&gt;$L15),1,0)</formula>
    </cfRule>
  </conditionalFormatting>
  <conditionalFormatting sqref="H19">
    <cfRule type="expression" dxfId="98" priority="7">
      <formula>IF(OR($J18="",$J18&lt;&gt;$L18),1,0)</formula>
    </cfRule>
  </conditionalFormatting>
  <conditionalFormatting sqref="J9 J12 J15 J18">
    <cfRule type="expression" dxfId="97" priority="25">
      <formula>#REF!="G"</formula>
    </cfRule>
    <cfRule type="expression" dxfId="96" priority="24">
      <formula>#REF!="E"</formula>
    </cfRule>
    <cfRule type="expression" dxfId="95" priority="23">
      <formula>#REF!="P"</formula>
    </cfRule>
  </conditionalFormatting>
  <conditionalFormatting sqref="J10">
    <cfRule type="expression" dxfId="94" priority="22">
      <formula>IF(AND($J9&lt;&gt;"",$J9=$L9),1,0)</formula>
    </cfRule>
  </conditionalFormatting>
  <conditionalFormatting sqref="J13">
    <cfRule type="expression" dxfId="93" priority="18">
      <formula>IF(AND($J12&lt;&gt;"",$J12=$L12),1,0)</formula>
    </cfRule>
  </conditionalFormatting>
  <conditionalFormatting sqref="J16">
    <cfRule type="expression" dxfId="92" priority="14">
      <formula>IF(AND($J15&lt;&gt;"",$J15=$L15),1,0)</formula>
    </cfRule>
  </conditionalFormatting>
  <conditionalFormatting sqref="J19">
    <cfRule type="expression" dxfId="91" priority="10">
      <formula>IF(AND($J18&lt;&gt;"",$J18=$L18),1,0)</formula>
    </cfRule>
  </conditionalFormatting>
  <conditionalFormatting sqref="J10:L10">
    <cfRule type="expression" dxfId="90" priority="20">
      <formula>IF(OR($J9="",$J9&lt;&gt;$L9),1,0)</formula>
    </cfRule>
  </conditionalFormatting>
  <conditionalFormatting sqref="J13:L13">
    <cfRule type="expression" dxfId="89" priority="16">
      <formula>IF(OR($J12="",$J12&lt;&gt;$L12),1,0)</formula>
    </cfRule>
  </conditionalFormatting>
  <conditionalFormatting sqref="J16:L16">
    <cfRule type="expression" dxfId="88" priority="12">
      <formula>IF(OR($J15="",$J15&lt;&gt;$L15),1,0)</formula>
    </cfRule>
  </conditionalFormatting>
  <conditionalFormatting sqref="J19:L19">
    <cfRule type="expression" dxfId="87" priority="8">
      <formula>IF(OR($J18="",$J18&lt;&gt;$L18),1,0)</formula>
    </cfRule>
  </conditionalFormatting>
  <conditionalFormatting sqref="L9 L12 L15 L18">
    <cfRule type="expression" dxfId="86" priority="28">
      <formula>M9="G"</formula>
    </cfRule>
    <cfRule type="expression" dxfId="85" priority="26">
      <formula>M9="P"</formula>
    </cfRule>
    <cfRule type="expression" dxfId="84" priority="27">
      <formula>M9="E"</formula>
    </cfRule>
  </conditionalFormatting>
  <conditionalFormatting sqref="L10">
    <cfRule type="expression" dxfId="83" priority="21">
      <formula>IF(AND($J9&lt;&gt;"",$J9=$L9),1,0)</formula>
    </cfRule>
  </conditionalFormatting>
  <conditionalFormatting sqref="L13">
    <cfRule type="expression" dxfId="82" priority="17">
      <formula>IF(AND($J12&lt;&gt;"",$J12=$L12),1,0)</formula>
    </cfRule>
  </conditionalFormatting>
  <conditionalFormatting sqref="L16">
    <cfRule type="expression" dxfId="81" priority="13">
      <formula>IF(AND($J15&lt;&gt;"",$J15=$L15),1,0)</formula>
    </cfRule>
  </conditionalFormatting>
  <conditionalFormatting sqref="L19">
    <cfRule type="expression" dxfId="80" priority="9">
      <formula>IF(AND($J18&lt;&gt;"",$J18=$L18),1,0)</formula>
    </cfRule>
  </conditionalFormatting>
  <conditionalFormatting sqref="S9">
    <cfRule type="cellIs" dxfId="79" priority="6" operator="equal">
      <formula>"Suma los penales"</formula>
    </cfRule>
  </conditionalFormatting>
  <conditionalFormatting sqref="S12">
    <cfRule type="cellIs" dxfId="78" priority="5" operator="equal">
      <formula>"Suma los penales"</formula>
    </cfRule>
  </conditionalFormatting>
  <conditionalFormatting sqref="S15">
    <cfRule type="cellIs" dxfId="77" priority="4" operator="equal">
      <formula>"Suma los penales"</formula>
    </cfRule>
  </conditionalFormatting>
  <conditionalFormatting sqref="S18">
    <cfRule type="cellIs" dxfId="76" priority="3" operator="equal">
      <formula>"Suma los penales"</formula>
    </cfRule>
  </conditionalFormatting>
  <conditionalFormatting sqref="S22:S27">
    <cfRule type="expression" dxfId="75" priority="2">
      <formula>AND($L22&lt;&gt;"",$L23="")</formula>
    </cfRule>
    <cfRule type="expression" dxfId="74" priority="1">
      <formula>$L22&lt;&gt;""</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topLeftCell="H1" zoomScaleNormal="100" workbookViewId="0">
      <selection activeCell="N17" sqref="N17"/>
    </sheetView>
  </sheetViews>
  <sheetFormatPr defaultColWidth="14.390625" defaultRowHeight="15" customHeight="1" x14ac:dyDescent="0.2"/>
  <cols>
    <col min="1" max="2" width="4.3046875" style="82" customWidth="1"/>
    <col min="3" max="3" width="3.765625" customWidth="1"/>
    <col min="4" max="4" width="7.6640625" customWidth="1"/>
    <col min="5" max="5" width="6.72265625" customWidth="1"/>
    <col min="6" max="6" width="2.5546875" customWidth="1"/>
    <col min="7" max="7" width="5.6484375" customWidth="1"/>
    <col min="8" max="8" width="19.7734375" customWidth="1"/>
    <col min="9" max="9" width="2.015625" customWidth="1"/>
    <col min="10" max="10" width="6.72265625" customWidth="1"/>
    <col min="11" max="11" width="2.6875" customWidth="1"/>
    <col min="12" max="12" width="6.72265625" customWidth="1"/>
    <col min="13" max="13" width="2.015625" customWidth="1"/>
    <col min="14" max="14" width="19.7734375" customWidth="1"/>
    <col min="15" max="15" width="5.6484375" customWidth="1"/>
    <col min="16" max="16" width="2.5546875" customWidth="1"/>
    <col min="17" max="17" width="37.53125" customWidth="1"/>
    <col min="18" max="18" width="0.8046875" customWidth="1"/>
    <col min="19" max="19" width="19.50390625" customWidth="1"/>
    <col min="20" max="27" width="12.64453125" customWidth="1"/>
  </cols>
  <sheetData>
    <row r="7" spans="3:19" ht="18" customHeight="1" x14ac:dyDescent="0.2">
      <c r="C7" s="73" t="s">
        <v>34</v>
      </c>
      <c r="D7" s="74" t="s">
        <v>35</v>
      </c>
      <c r="E7" s="74" t="s">
        <v>36</v>
      </c>
      <c r="F7" s="179"/>
      <c r="G7" s="179"/>
      <c r="H7" s="288" t="s">
        <v>62</v>
      </c>
      <c r="I7" s="288"/>
      <c r="J7" s="288"/>
      <c r="K7" s="288"/>
      <c r="L7" s="288"/>
      <c r="M7" s="288"/>
      <c r="N7" s="288"/>
      <c r="O7" s="177"/>
      <c r="P7" s="177"/>
      <c r="Q7" s="75" t="s">
        <v>38</v>
      </c>
      <c r="S7" s="76" t="s">
        <v>49</v>
      </c>
    </row>
    <row r="8" spans="3:19" ht="15" customHeight="1" thickBot="1" x14ac:dyDescent="0.25">
      <c r="C8" s="5"/>
      <c r="D8" s="69"/>
      <c r="E8" s="70"/>
      <c r="F8" s="6"/>
      <c r="G8" s="6"/>
      <c r="H8" s="6"/>
      <c r="I8" s="6"/>
      <c r="J8" s="6"/>
      <c r="K8" s="6"/>
      <c r="L8" s="6"/>
      <c r="M8" s="6"/>
      <c r="N8" s="6"/>
      <c r="O8" s="6"/>
      <c r="P8" s="6"/>
      <c r="Q8" s="5"/>
    </row>
    <row r="9" spans="3:19" ht="15" customHeight="1" thickBot="1" x14ac:dyDescent="0.25">
      <c r="C9" s="15">
        <v>29</v>
      </c>
      <c r="D9" s="71">
        <f>+VLOOKUP(C9,Aux!F:Z,4,0)</f>
        <v>45482.833333333336</v>
      </c>
      <c r="E9" s="72">
        <f>+VLOOKUP(C9,Aux!F:Z,4,0)</f>
        <v>45482.833333333336</v>
      </c>
      <c r="F9" s="180"/>
      <c r="G9" s="180" t="e" vm="1">
        <f ca="1">IFERROR(VLOOKUP(H9,Aux!$A:$C,3,0),"")</f>
        <v>#VALUE!</v>
      </c>
      <c r="H9" s="7" t="str">
        <f ca="1">+Cuartos!S9</f>
        <v>Argentina</v>
      </c>
      <c r="I9" s="8"/>
      <c r="J9" s="16">
        <v>2</v>
      </c>
      <c r="K9" s="8" t="s">
        <v>41</v>
      </c>
      <c r="L9" s="16">
        <v>0</v>
      </c>
      <c r="M9" s="6"/>
      <c r="N9" s="17" t="str">
        <f ca="1">+Cuartos!S12</f>
        <v>Ecuador</v>
      </c>
      <c r="O9" s="180" t="e" vm="5">
        <f ca="1">IFERROR(VLOOKUP(N9,Aux!$A:$C,3,0),"")</f>
        <v>#VALUE!</v>
      </c>
      <c r="P9" s="17"/>
      <c r="Q9" s="175" t="str">
        <f>+VLOOKUP(C9,Aux!F:L,7,0)</f>
        <v>MetLife Stadium - EAST RUTHERFORD, NJ</v>
      </c>
      <c r="S9" s="18" t="str">
        <f ca="1">IF(OR(J9="",L9=""),"",IF(J9&gt;L9,H9,IF(J9&lt;L9,N9,IF(OR(J10="",L10=""),"",IF(J10&gt;L10,H9,N9)))))</f>
        <v>Argentina</v>
      </c>
    </row>
    <row r="10" spans="3:19" ht="15" customHeight="1" x14ac:dyDescent="0.2">
      <c r="C10" s="15"/>
      <c r="D10" s="19"/>
      <c r="E10" s="20"/>
      <c r="F10" s="181"/>
      <c r="G10" s="181"/>
      <c r="H10" s="21" t="s">
        <v>51</v>
      </c>
      <c r="I10" s="6"/>
      <c r="J10" s="9"/>
      <c r="K10" s="22" t="s">
        <v>41</v>
      </c>
      <c r="L10" s="9"/>
      <c r="M10" s="23"/>
      <c r="N10" s="23"/>
      <c r="O10" s="23"/>
      <c r="P10" s="23"/>
      <c r="Q10" s="175"/>
      <c r="S10" s="24"/>
    </row>
    <row r="11" spans="3:19" ht="15" customHeight="1" thickBot="1" x14ac:dyDescent="0.25">
      <c r="C11" s="15"/>
      <c r="D11" s="19"/>
      <c r="E11" s="20"/>
      <c r="F11" s="181"/>
      <c r="G11" s="181"/>
      <c r="H11" s="23"/>
      <c r="I11" s="6"/>
      <c r="J11" s="6"/>
      <c r="K11" s="8"/>
      <c r="L11" s="6"/>
      <c r="M11" s="6"/>
      <c r="N11" s="23"/>
      <c r="O11" s="23"/>
      <c r="P11" s="23"/>
      <c r="Q11" s="175"/>
      <c r="S11" s="24"/>
    </row>
    <row r="12" spans="3:19" ht="15" customHeight="1" thickBot="1" x14ac:dyDescent="0.25">
      <c r="C12" s="15">
        <f>+C9+1</f>
        <v>30</v>
      </c>
      <c r="D12" s="71">
        <f>+VLOOKUP(C12,Aux!F:Z,4,0)</f>
        <v>45483.833333333336</v>
      </c>
      <c r="E12" s="72">
        <f>+VLOOKUP(C12,Aux!F:Z,4,0)</f>
        <v>45483.833333333336</v>
      </c>
      <c r="F12" s="180"/>
      <c r="G12" s="180" t="e" vm="11">
        <f ca="1">IFERROR(VLOOKUP(H12,Aux!$A:$C,3,0),"")</f>
        <v>#VALUE!</v>
      </c>
      <c r="H12" s="7" t="str">
        <f ca="1">+Cuartos!S18</f>
        <v>Uruguay</v>
      </c>
      <c r="I12" s="25"/>
      <c r="J12" s="16">
        <v>2</v>
      </c>
      <c r="K12" s="8" t="s">
        <v>41</v>
      </c>
      <c r="L12" s="16">
        <v>1</v>
      </c>
      <c r="M12" s="6"/>
      <c r="N12" s="17" t="str">
        <f ca="1">+Cuartos!S15</f>
        <v>Brasil</v>
      </c>
      <c r="O12" s="180" t="e" vm="15">
        <f ca="1">IFERROR(VLOOKUP(N12,Aux!$A:$C,3,0),"")</f>
        <v>#VALUE!</v>
      </c>
      <c r="P12" s="17"/>
      <c r="Q12" s="175" t="str">
        <f>+VLOOKUP(C12,Aux!F:L,7,0)</f>
        <v>Bank of America Stadium - CHARLOTTE, NC</v>
      </c>
      <c r="S12" s="18" t="str">
        <f ca="1">IF(OR(J12="",L12=""),"",IF(J12&gt;L12,H12,IF(J12&lt;L12,N12,IF(OR(J13="",L13=""),"",IF(J13&gt;L13,H12,N12)))))</f>
        <v>Uruguay</v>
      </c>
    </row>
    <row r="13" spans="3:19" ht="15" customHeight="1" x14ac:dyDescent="0.2">
      <c r="C13" s="15"/>
      <c r="D13" s="19"/>
      <c r="E13" s="20"/>
      <c r="F13" s="181"/>
      <c r="G13" s="181"/>
      <c r="H13" s="21" t="s">
        <v>51</v>
      </c>
      <c r="I13" s="6"/>
      <c r="J13" s="9"/>
      <c r="K13" s="22" t="s">
        <v>41</v>
      </c>
      <c r="L13" s="9"/>
      <c r="M13" s="23"/>
      <c r="N13" s="23"/>
      <c r="O13" s="23"/>
      <c r="P13" s="23"/>
      <c r="Q13" s="10"/>
      <c r="S13" s="24"/>
    </row>
    <row r="14" spans="3:19" ht="15" customHeight="1" x14ac:dyDescent="0.2">
      <c r="C14" s="11"/>
      <c r="D14" s="12"/>
      <c r="E14" s="13"/>
      <c r="F14" s="14"/>
      <c r="G14" s="14"/>
      <c r="H14" s="14"/>
      <c r="I14" s="14"/>
      <c r="J14" s="14"/>
      <c r="K14" s="26"/>
      <c r="L14" s="14"/>
      <c r="M14" s="14"/>
      <c r="N14" s="14"/>
      <c r="O14" s="14"/>
      <c r="P14" s="14"/>
      <c r="Q14" s="11"/>
    </row>
    <row r="16" spans="3:19" ht="15" customHeight="1" thickBot="1" x14ac:dyDescent="0.25">
      <c r="S16" s="259"/>
    </row>
    <row r="17" spans="19:19" ht="15" customHeight="1" x14ac:dyDescent="0.2">
      <c r="S17" s="286" t="s">
        <v>193</v>
      </c>
    </row>
    <row r="18" spans="19:19" ht="15" customHeight="1" thickBot="1" x14ac:dyDescent="0.25">
      <c r="S18" s="287"/>
    </row>
    <row r="19" spans="19:19" ht="15" customHeight="1" x14ac:dyDescent="0.2">
      <c r="S19" s="276" t="s">
        <v>194</v>
      </c>
    </row>
    <row r="20" spans="19:19" ht="15" customHeight="1" thickBot="1" x14ac:dyDescent="0.25">
      <c r="S20" s="277"/>
    </row>
    <row r="21" spans="19:19" ht="15" customHeight="1" x14ac:dyDescent="0.2">
      <c r="S21" s="50"/>
    </row>
  </sheetData>
  <mergeCells count="3">
    <mergeCell ref="H7:N7"/>
    <mergeCell ref="S17:S18"/>
    <mergeCell ref="S19:S20"/>
  </mergeCells>
  <conditionalFormatting sqref="H10">
    <cfRule type="expression" dxfId="73" priority="9">
      <formula>IF(OR($J9="",$J9&lt;&gt;$L9),1,0)</formula>
    </cfRule>
  </conditionalFormatting>
  <conditionalFormatting sqref="H13">
    <cfRule type="expression" dxfId="72" priority="5">
      <formula>IF(OR($J12="",$J12&lt;&gt;$L12),1,0)</formula>
    </cfRule>
  </conditionalFormatting>
  <conditionalFormatting sqref="J9 J12">
    <cfRule type="expression" dxfId="71" priority="13">
      <formula>#REF!="P"</formula>
    </cfRule>
    <cfRule type="expression" dxfId="70" priority="14">
      <formula>#REF!="E"</formula>
    </cfRule>
    <cfRule type="expression" dxfId="69" priority="15">
      <formula>#REF!="G"</formula>
    </cfRule>
  </conditionalFormatting>
  <conditionalFormatting sqref="J10">
    <cfRule type="expression" dxfId="68" priority="12">
      <formula>IF(AND($J9&lt;&gt;"",$J9=$L9),1,0)</formula>
    </cfRule>
  </conditionalFormatting>
  <conditionalFormatting sqref="J13">
    <cfRule type="expression" dxfId="67" priority="8">
      <formula>IF(AND($J12&lt;&gt;"",$J12=$L12),1,0)</formula>
    </cfRule>
  </conditionalFormatting>
  <conditionalFormatting sqref="J10:L10">
    <cfRule type="expression" dxfId="66" priority="10">
      <formula>IF(OR($J9="",$J9&lt;&gt;$L9),1,0)</formula>
    </cfRule>
  </conditionalFormatting>
  <conditionalFormatting sqref="J13:L13">
    <cfRule type="expression" dxfId="65" priority="6">
      <formula>IF(OR($J12="",$J12&lt;&gt;$L12),1,0)</formula>
    </cfRule>
  </conditionalFormatting>
  <conditionalFormatting sqref="L9 L12">
    <cfRule type="expression" dxfId="64" priority="16">
      <formula>M9="P"</formula>
    </cfRule>
    <cfRule type="expression" dxfId="63" priority="17">
      <formula>M9="E"</formula>
    </cfRule>
    <cfRule type="expression" dxfId="62" priority="18">
      <formula>M9="G"</formula>
    </cfRule>
  </conditionalFormatting>
  <conditionalFormatting sqref="L10">
    <cfRule type="expression" dxfId="61" priority="11">
      <formula>IF(AND($J9&lt;&gt;"",$J9=$L9),1,0)</formula>
    </cfRule>
  </conditionalFormatting>
  <conditionalFormatting sqref="L13">
    <cfRule type="expression" dxfId="60" priority="7">
      <formula>IF(AND($J12&lt;&gt;"",$J12=$L12),1,0)</formula>
    </cfRule>
  </conditionalFormatting>
  <conditionalFormatting sqref="S9">
    <cfRule type="cellIs" dxfId="59" priority="4" operator="equal">
      <formula>"Suma los penales"</formula>
    </cfRule>
  </conditionalFormatting>
  <conditionalFormatting sqref="S12">
    <cfRule type="cellIs" dxfId="58" priority="3" operator="equal">
      <formula>"Suma los penales"</formula>
    </cfRule>
  </conditionalFormatting>
  <conditionalFormatting sqref="S16:S21">
    <cfRule type="expression" dxfId="57" priority="1">
      <formula>$L16&lt;&gt;""</formula>
    </cfRule>
    <cfRule type="expression" dxfId="56"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topLeftCell="D1" zoomScaleNormal="100" workbookViewId="0">
      <selection activeCell="L15" sqref="L15"/>
    </sheetView>
  </sheetViews>
  <sheetFormatPr defaultColWidth="14.390625" defaultRowHeight="15" customHeight="1" x14ac:dyDescent="0.2"/>
  <cols>
    <col min="1" max="2" width="4.3046875" style="82" customWidth="1"/>
    <col min="3" max="3" width="3.765625" customWidth="1"/>
    <col min="4" max="4" width="7.6640625" customWidth="1"/>
    <col min="5" max="5" width="6.72265625" customWidth="1"/>
    <col min="6" max="6" width="2.5546875" customWidth="1"/>
    <col min="7" max="7" width="5.6484375" customWidth="1"/>
    <col min="8" max="8" width="19.7734375" customWidth="1"/>
    <col min="9" max="9" width="2.015625" customWidth="1"/>
    <col min="10" max="10" width="6.72265625" customWidth="1"/>
    <col min="11" max="11" width="2.6875" customWidth="1"/>
    <col min="12" max="12" width="6.72265625" customWidth="1"/>
    <col min="13" max="13" width="2.015625" customWidth="1"/>
    <col min="14" max="14" width="19.7734375" customWidth="1"/>
    <col min="15" max="15" width="5.6484375" customWidth="1"/>
    <col min="16" max="16" width="2.5546875" customWidth="1"/>
    <col min="17" max="17" width="37.53125" customWidth="1"/>
    <col min="18" max="18" width="0.8046875" customWidth="1"/>
    <col min="19" max="19" width="19.50390625" customWidth="1"/>
    <col min="20" max="27" width="12.64453125" customWidth="1"/>
  </cols>
  <sheetData>
    <row r="7" spans="3:17" ht="18" customHeight="1" x14ac:dyDescent="0.2">
      <c r="C7" s="73" t="s">
        <v>34</v>
      </c>
      <c r="D7" s="74" t="s">
        <v>35</v>
      </c>
      <c r="E7" s="74" t="s">
        <v>36</v>
      </c>
      <c r="F7" s="179"/>
      <c r="G7" s="179"/>
      <c r="H7" s="288" t="s">
        <v>166</v>
      </c>
      <c r="I7" s="288"/>
      <c r="J7" s="288"/>
      <c r="K7" s="288"/>
      <c r="L7" s="288"/>
      <c r="M7" s="288"/>
      <c r="N7" s="288"/>
      <c r="O7" s="177"/>
      <c r="P7" s="177"/>
      <c r="Q7" s="75" t="s">
        <v>38</v>
      </c>
    </row>
    <row r="8" spans="3:17" ht="15" customHeight="1" x14ac:dyDescent="0.2">
      <c r="C8" s="5"/>
      <c r="D8" s="69"/>
      <c r="E8" s="70"/>
      <c r="F8" s="6"/>
      <c r="G8" s="6"/>
      <c r="H8" s="6"/>
      <c r="I8" s="6"/>
      <c r="J8" s="6"/>
      <c r="K8" s="6"/>
      <c r="L8" s="6"/>
      <c r="M8" s="6"/>
      <c r="N8" s="6"/>
      <c r="O8" s="6"/>
      <c r="P8" s="6"/>
      <c r="Q8" s="5"/>
    </row>
    <row r="9" spans="3:17" ht="15" customHeight="1" x14ac:dyDescent="0.2">
      <c r="C9" s="15">
        <v>31</v>
      </c>
      <c r="D9" s="71">
        <f>+VLOOKUP(C9,Aux!F:Z,4,0)</f>
        <v>45486.833333333336</v>
      </c>
      <c r="E9" s="72">
        <f>+VLOOKUP(C9,Aux!F:Z,4,0)</f>
        <v>45486.833333333336</v>
      </c>
      <c r="F9" s="180"/>
      <c r="G9" s="180" t="e" vm="5">
        <f ca="1">IFERROR(VLOOKUP(H9,Aux!$A:$C,3,0),"")</f>
        <v>#VALUE!</v>
      </c>
      <c r="H9" s="7" t="str">
        <f ca="1">IF(OR(Semis!J9="",Semis!L9=""),"",IF(Semis!J9&gt;Semis!L9,Semis!N9,IF(Semis!J9&lt;Semis!L9,Semis!H9,IF(OR(Semis!J10="",Semis!L10=""),"",IF(Semis!J10&gt;Semis!L10,Semis!N9,Semis!H9)))))</f>
        <v>Ecuador</v>
      </c>
      <c r="I9" s="8"/>
      <c r="J9" s="16">
        <v>1</v>
      </c>
      <c r="K9" s="8" t="s">
        <v>41</v>
      </c>
      <c r="L9" s="16">
        <v>3</v>
      </c>
      <c r="M9" s="6"/>
      <c r="N9" s="17" t="str">
        <f ca="1">IF(OR(Semis!J12="",Semis!L12=""),"",IF(Semis!J12&gt;Semis!L12,Semis!N12,IF(Semis!J12&lt;Semis!L12,Semis!H12,IF(OR(Semis!J13="",Semis!L13=""),"",IF(Semis!J13&gt;Semis!L13,Semis!N12,Semis!H12)))))</f>
        <v>Brasil</v>
      </c>
      <c r="O9" s="180" t="e" vm="15">
        <f ca="1">IFERROR(VLOOKUP(N9,Aux!$A:$C,3,0),"")</f>
        <v>#VALUE!</v>
      </c>
      <c r="P9" s="17"/>
      <c r="Q9" s="175" t="str">
        <f>+VLOOKUP(C9,Aux!F:L,7,0)</f>
        <v>Bank of America Stadium - CHARLOTTE, NC</v>
      </c>
    </row>
    <row r="10" spans="3:17" ht="15" customHeight="1" x14ac:dyDescent="0.2">
      <c r="C10" s="15"/>
      <c r="D10" s="19"/>
      <c r="E10" s="20"/>
      <c r="F10" s="181"/>
      <c r="G10" s="181"/>
      <c r="H10" s="21" t="s">
        <v>51</v>
      </c>
      <c r="I10" s="6"/>
      <c r="J10" s="9"/>
      <c r="K10" s="22" t="s">
        <v>41</v>
      </c>
      <c r="L10" s="9"/>
      <c r="M10" s="23"/>
      <c r="N10" s="23"/>
      <c r="O10" s="23"/>
      <c r="P10" s="23"/>
      <c r="Q10" s="10"/>
    </row>
    <row r="11" spans="3:17" ht="15" customHeight="1" x14ac:dyDescent="0.2">
      <c r="C11" s="11"/>
      <c r="D11" s="12"/>
      <c r="E11" s="13"/>
      <c r="F11" s="14"/>
      <c r="G11" s="14"/>
      <c r="H11" s="14"/>
      <c r="I11" s="14"/>
      <c r="J11" s="14"/>
      <c r="K11" s="26"/>
      <c r="L11" s="14"/>
      <c r="M11" s="14"/>
      <c r="N11" s="14"/>
      <c r="O11" s="14"/>
      <c r="P11" s="14"/>
      <c r="Q11" s="11"/>
    </row>
    <row r="13" spans="3:17" ht="18" customHeight="1" x14ac:dyDescent="0.2">
      <c r="C13" s="73" t="s">
        <v>34</v>
      </c>
      <c r="D13" s="74" t="s">
        <v>35</v>
      </c>
      <c r="E13" s="74" t="s">
        <v>36</v>
      </c>
      <c r="F13" s="179"/>
      <c r="G13" s="179"/>
      <c r="H13" s="288" t="s">
        <v>63</v>
      </c>
      <c r="I13" s="288"/>
      <c r="J13" s="288"/>
      <c r="K13" s="288"/>
      <c r="L13" s="288"/>
      <c r="M13" s="288"/>
      <c r="N13" s="288"/>
      <c r="O13" s="177"/>
      <c r="P13" s="177"/>
      <c r="Q13" s="75" t="s">
        <v>6</v>
      </c>
    </row>
    <row r="14" spans="3:17" ht="15" customHeight="1" x14ac:dyDescent="0.2">
      <c r="C14" s="5"/>
      <c r="D14" s="69"/>
      <c r="E14" s="70"/>
      <c r="F14" s="6"/>
      <c r="G14" s="6"/>
      <c r="H14" s="6"/>
      <c r="I14" s="6"/>
      <c r="J14" s="6"/>
      <c r="K14" s="6"/>
      <c r="L14" s="6"/>
      <c r="M14" s="6"/>
      <c r="N14" s="6"/>
      <c r="O14" s="6"/>
      <c r="P14" s="6"/>
      <c r="Q14" s="5"/>
    </row>
    <row r="15" spans="3:17" ht="15" customHeight="1" x14ac:dyDescent="0.2">
      <c r="C15" s="15">
        <v>32</v>
      </c>
      <c r="D15" s="71">
        <f>+VLOOKUP(C15,Aux!F:Z,4,0)</f>
        <v>45487.833333333336</v>
      </c>
      <c r="E15" s="72">
        <f>+VLOOKUP(C15,Aux!F:Z,4,0)</f>
        <v>45487.833333333336</v>
      </c>
      <c r="F15" s="180"/>
      <c r="G15" s="180" t="e" vm="1">
        <f ca="1">IFERROR(VLOOKUP(H15,Aux!$A:$C,3,0),"")</f>
        <v>#VALUE!</v>
      </c>
      <c r="H15" s="7" t="str">
        <f ca="1">+Semis!S9</f>
        <v>Argentina</v>
      </c>
      <c r="I15" s="8"/>
      <c r="J15" s="16">
        <v>1</v>
      </c>
      <c r="K15" s="8" t="s">
        <v>41</v>
      </c>
      <c r="L15" s="16">
        <v>0</v>
      </c>
      <c r="M15" s="6"/>
      <c r="N15" s="17" t="str">
        <f ca="1">+Semis!S12</f>
        <v>Uruguay</v>
      </c>
      <c r="O15" s="180" t="e" vm="11">
        <f ca="1">IFERROR(VLOOKUP(N15,Aux!$A:$C,3,0),"")</f>
        <v>#VALUE!</v>
      </c>
      <c r="P15" s="17"/>
      <c r="Q15" s="175" t="str">
        <f>+VLOOKUP(C15,Aux!F:L,7,0)</f>
        <v>Hard Rock Stadium - MIAMI, FL</v>
      </c>
    </row>
    <row r="16" spans="3:17" ht="15" customHeight="1" x14ac:dyDescent="0.2">
      <c r="C16" s="15"/>
      <c r="D16" s="19"/>
      <c r="E16" s="20"/>
      <c r="F16" s="181"/>
      <c r="G16" s="181"/>
      <c r="H16" s="21" t="s">
        <v>51</v>
      </c>
      <c r="I16" s="6"/>
      <c r="J16" s="9"/>
      <c r="K16" s="22" t="s">
        <v>41</v>
      </c>
      <c r="L16" s="9"/>
      <c r="M16" s="23"/>
      <c r="N16" s="23"/>
      <c r="O16" s="23"/>
      <c r="P16" s="23"/>
      <c r="Q16" s="10"/>
    </row>
    <row r="17" spans="3:19" ht="15" customHeight="1" x14ac:dyDescent="0.2">
      <c r="C17" s="11"/>
      <c r="D17" s="12"/>
      <c r="E17" s="13"/>
      <c r="F17" s="14"/>
      <c r="G17" s="14"/>
      <c r="H17" s="14"/>
      <c r="I17" s="14"/>
      <c r="J17" s="14"/>
      <c r="K17" s="26"/>
      <c r="L17" s="14"/>
      <c r="M17" s="14"/>
      <c r="N17" s="14"/>
      <c r="O17" s="14"/>
      <c r="P17" s="14"/>
      <c r="Q17" s="11"/>
    </row>
    <row r="19" spans="3:19" ht="15" customHeight="1" thickBot="1" x14ac:dyDescent="0.25">
      <c r="H19" s="290" t="s">
        <v>164</v>
      </c>
      <c r="I19" s="290"/>
      <c r="J19" s="290"/>
      <c r="K19" s="290"/>
      <c r="L19" s="290"/>
      <c r="M19" s="290"/>
      <c r="N19" s="290"/>
      <c r="S19" s="259"/>
    </row>
    <row r="20" spans="3:19" ht="15" customHeight="1" x14ac:dyDescent="0.2">
      <c r="H20" s="290"/>
      <c r="I20" s="290"/>
      <c r="J20" s="290"/>
      <c r="K20" s="290"/>
      <c r="L20" s="290"/>
      <c r="M20" s="290"/>
      <c r="N20" s="290"/>
      <c r="S20" s="286" t="s">
        <v>193</v>
      </c>
    </row>
    <row r="21" spans="3:19" ht="15" customHeight="1" thickBot="1" x14ac:dyDescent="0.25">
      <c r="S21" s="287"/>
    </row>
    <row r="22" spans="3:19" ht="15" customHeight="1" x14ac:dyDescent="0.2">
      <c r="H22" s="291" t="str">
        <f ca="1">IF(OR(J15="",L15=""),"",IF(J15&gt;L15,H15,IF(J15&lt;L15,N15,IF(OR(J16="",L16=""),"",IF(J16&gt;L16,H15,N15)))))</f>
        <v>Argentina</v>
      </c>
      <c r="I22" s="291"/>
      <c r="J22" s="291"/>
      <c r="K22" s="291"/>
      <c r="L22" s="291"/>
      <c r="M22" s="291"/>
      <c r="N22" s="291"/>
      <c r="S22" s="276" t="s">
        <v>194</v>
      </c>
    </row>
    <row r="23" spans="3:19" s="82" customFormat="1" ht="15.75" customHeight="1" thickBot="1" x14ac:dyDescent="0.25">
      <c r="C23"/>
      <c r="D23"/>
      <c r="E23"/>
      <c r="F23"/>
      <c r="G23"/>
      <c r="H23" s="291"/>
      <c r="I23" s="291"/>
      <c r="J23" s="291"/>
      <c r="K23" s="291"/>
      <c r="L23" s="291"/>
      <c r="M23" s="291"/>
      <c r="N23" s="291"/>
      <c r="O23" s="178"/>
      <c r="P23" s="178"/>
      <c r="Q23"/>
      <c r="S23" s="277"/>
    </row>
    <row r="24" spans="3:19" s="82" customFormat="1" ht="15.75" customHeight="1" x14ac:dyDescent="0.2">
      <c r="C24"/>
      <c r="D24"/>
      <c r="E24"/>
      <c r="F24"/>
      <c r="G24"/>
      <c r="H24" s="178"/>
      <c r="I24" s="178"/>
      <c r="J24" s="178"/>
      <c r="K24" s="178"/>
      <c r="L24" s="178"/>
      <c r="M24" s="178"/>
      <c r="N24" s="178"/>
      <c r="O24" s="178"/>
      <c r="P24" s="178"/>
      <c r="Q24"/>
      <c r="S24" s="50"/>
    </row>
    <row r="25" spans="3:19" ht="15" customHeight="1" x14ac:dyDescent="0.2">
      <c r="H25" s="289" t="e" vm="1">
        <f ca="1">IFERROR(VLOOKUP(H22,Aux!$A:$C,3,0),"")</f>
        <v>#VALUE!</v>
      </c>
      <c r="I25" s="289"/>
      <c r="J25" s="289"/>
      <c r="K25" s="289"/>
      <c r="L25" s="289"/>
      <c r="M25" s="289"/>
      <c r="N25" s="289"/>
    </row>
    <row r="26" spans="3:19" ht="15" customHeight="1" x14ac:dyDescent="0.2">
      <c r="H26" s="289"/>
      <c r="I26" s="289"/>
      <c r="J26" s="289"/>
      <c r="K26" s="289"/>
      <c r="L26" s="289"/>
      <c r="M26" s="289"/>
      <c r="N26" s="289"/>
    </row>
    <row r="27" spans="3:19" ht="15" customHeight="1" x14ac:dyDescent="0.2">
      <c r="H27" s="289"/>
      <c r="I27" s="289"/>
      <c r="J27" s="289"/>
      <c r="K27" s="289"/>
      <c r="L27" s="289"/>
      <c r="M27" s="289"/>
      <c r="N27" s="289"/>
    </row>
    <row r="28" spans="3:19" ht="15" customHeight="1" x14ac:dyDescent="0.2">
      <c r="H28" s="289"/>
      <c r="I28" s="289"/>
      <c r="J28" s="289"/>
      <c r="K28" s="289"/>
      <c r="L28" s="289"/>
      <c r="M28" s="289"/>
      <c r="N28" s="289"/>
    </row>
  </sheetData>
  <mergeCells count="7">
    <mergeCell ref="H25:N28"/>
    <mergeCell ref="H13:N13"/>
    <mergeCell ref="S20:S21"/>
    <mergeCell ref="S22:S23"/>
    <mergeCell ref="H7:N7"/>
    <mergeCell ref="H19:N20"/>
    <mergeCell ref="H22:N23"/>
  </mergeCells>
  <conditionalFormatting sqref="H10">
    <cfRule type="expression" dxfId="55" priority="3">
      <formula>IF(OR($J9="",$J9&lt;&gt;$L9),1,0)</formula>
    </cfRule>
  </conditionalFormatting>
  <conditionalFormatting sqref="H16">
    <cfRule type="expression" dxfId="54" priority="14">
      <formula>IF(OR($J15="",$J15&lt;&gt;$L15),1,0)</formula>
    </cfRule>
  </conditionalFormatting>
  <conditionalFormatting sqref="H19 O25:P25">
    <cfRule type="expression" dxfId="53" priority="13">
      <formula>IF(OR($J$15="",$L$15=""),1,0)</formula>
    </cfRule>
  </conditionalFormatting>
  <conditionalFormatting sqref="J9">
    <cfRule type="expression" dxfId="52" priority="7">
      <formula>#REF!="P"</formula>
    </cfRule>
    <cfRule type="expression" dxfId="51" priority="8">
      <formula>#REF!="E"</formula>
    </cfRule>
    <cfRule type="expression" dxfId="50" priority="9">
      <formula>#REF!="G"</formula>
    </cfRule>
  </conditionalFormatting>
  <conditionalFormatting sqref="J10">
    <cfRule type="expression" dxfId="49" priority="6">
      <formula>IF(AND($J9&lt;&gt;"",$J9=$L9),1,0)</formula>
    </cfRule>
  </conditionalFormatting>
  <conditionalFormatting sqref="J15">
    <cfRule type="expression" dxfId="48" priority="18">
      <formula>#REF!="P"</formula>
    </cfRule>
    <cfRule type="expression" dxfId="47" priority="19">
      <formula>#REF!="E"</formula>
    </cfRule>
    <cfRule type="expression" dxfId="46" priority="20">
      <formula>#REF!="G"</formula>
    </cfRule>
  </conditionalFormatting>
  <conditionalFormatting sqref="J16">
    <cfRule type="expression" dxfId="45" priority="17">
      <formula>IF(AND($J15&lt;&gt;"",$J15=$L15),1,0)</formula>
    </cfRule>
  </conditionalFormatting>
  <conditionalFormatting sqref="J10:L10">
    <cfRule type="expression" dxfId="44" priority="4">
      <formula>IF(OR($J9="",$J9&lt;&gt;$L9),1,0)</formula>
    </cfRule>
  </conditionalFormatting>
  <conditionalFormatting sqref="J16:L16">
    <cfRule type="expression" dxfId="43" priority="15">
      <formula>IF(OR($J15="",$J15&lt;&gt;$L15),1,0)</formula>
    </cfRule>
  </conditionalFormatting>
  <conditionalFormatting sqref="L9">
    <cfRule type="expression" dxfId="42" priority="10">
      <formula>M9="P"</formula>
    </cfRule>
    <cfRule type="expression" dxfId="41" priority="11">
      <formula>M9="E"</formula>
    </cfRule>
    <cfRule type="expression" dxfId="40" priority="12">
      <formula>M9="G"</formula>
    </cfRule>
  </conditionalFormatting>
  <conditionalFormatting sqref="L10">
    <cfRule type="expression" dxfId="39" priority="5">
      <formula>IF(AND($J9&lt;&gt;"",$J9=$L9),1,0)</formula>
    </cfRule>
  </conditionalFormatting>
  <conditionalFormatting sqref="L15">
    <cfRule type="expression" dxfId="38" priority="21">
      <formula>M15="P"</formula>
    </cfRule>
    <cfRule type="expression" dxfId="37" priority="22">
      <formula>M15="E"</formula>
    </cfRule>
    <cfRule type="expression" dxfId="36" priority="23">
      <formula>M15="G"</formula>
    </cfRule>
  </conditionalFormatting>
  <conditionalFormatting sqref="L16">
    <cfRule type="expression" dxfId="35" priority="16">
      <formula>IF(AND($J15&lt;&gt;"",$J15=$L15),1,0)</formula>
    </cfRule>
  </conditionalFormatting>
  <conditionalFormatting sqref="S19:S24">
    <cfRule type="expression" dxfId="34" priority="1">
      <formula>$L19&lt;&gt;""</formula>
    </cfRule>
    <cfRule type="expression" dxfId="33"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defaultColWidth="10.76171875" defaultRowHeight="15" x14ac:dyDescent="0.2"/>
  <cols>
    <col min="1" max="1" width="24.6171875" style="2" customWidth="1"/>
    <col min="3" max="3" width="14.9296875" customWidth="1"/>
    <col min="6" max="6" width="6.3203125" customWidth="1"/>
    <col min="7" max="7" width="11.56640625" customWidth="1"/>
    <col min="8" max="8" width="20.3125" customWidth="1"/>
    <col min="9" max="9" width="18.4296875" customWidth="1"/>
    <col min="12" max="12" width="37.80078125" bestFit="1" customWidth="1"/>
    <col min="13" max="13" width="10.22265625" style="68" customWidth="1"/>
    <col min="14" max="15" width="10.76171875" style="68"/>
  </cols>
  <sheetData>
    <row r="1" spans="1:27" x14ac:dyDescent="0.2">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1</v>
      </c>
      <c r="O2" s="68">
        <f ca="1">IF(VLOOKUP(F2,INDIRECT(M2&amp;"!B:M"),9,0)="","",VLOOKUP(F2,INDIRECT(M2&amp;"!B:M"),9,0))</f>
        <v>1</v>
      </c>
      <c r="R2" s="1" t="s">
        <v>13</v>
      </c>
      <c r="S2" s="2" t="s">
        <v>18</v>
      </c>
      <c r="T2" s="2" t="s">
        <v>108</v>
      </c>
      <c r="W2" t="s">
        <v>179</v>
      </c>
      <c r="X2">
        <f>+Normas!C7</f>
        <v>0</v>
      </c>
    </row>
    <row r="3" spans="1:27" ht="25.15" customHeight="1" x14ac:dyDescent="0.2">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2</v>
      </c>
      <c r="O3" s="68">
        <f t="shared" ref="O3:O25" ca="1" si="3">IF(VLOOKUP(F3,INDIRECT(M3&amp;"!B:M"),9,0)="","",VLOOKUP(F3,INDIRECT(M3&amp;"!B:M"),9,0))</f>
        <v>2</v>
      </c>
      <c r="R3" s="1" t="s">
        <v>13</v>
      </c>
      <c r="S3" s="2" t="s">
        <v>19</v>
      </c>
      <c r="T3" s="2" t="s">
        <v>110</v>
      </c>
      <c r="W3" t="s">
        <v>180</v>
      </c>
      <c r="X3">
        <f>+Normas!C6</f>
        <v>5</v>
      </c>
      <c r="AA3" s="67"/>
    </row>
    <row r="4" spans="1:27" ht="25.15" customHeight="1" x14ac:dyDescent="0.2">
      <c r="A4" s="3" t="s">
        <v>127</v>
      </c>
      <c r="B4" s="67" t="s">
        <v>160</v>
      </c>
      <c r="C4" s="1" t="e" vm="19">
        <f t="shared" si="0"/>
        <v>#VALUE!</v>
      </c>
      <c r="F4">
        <v>3</v>
      </c>
      <c r="G4" s="68">
        <v>-7</v>
      </c>
      <c r="H4" s="172">
        <v>45465.625</v>
      </c>
      <c r="I4" s="174">
        <f t="shared" si="1"/>
        <v>45465.75</v>
      </c>
      <c r="J4" s="171" t="s">
        <v>113</v>
      </c>
      <c r="K4" s="171" t="s">
        <v>114</v>
      </c>
      <c r="L4" s="171" t="s">
        <v>112</v>
      </c>
      <c r="M4" s="1" t="s">
        <v>12</v>
      </c>
      <c r="N4" s="68">
        <f t="shared" ca="1" si="2"/>
        <v>1</v>
      </c>
      <c r="O4" s="68">
        <f t="shared" ca="1" si="3"/>
        <v>1</v>
      </c>
      <c r="R4" s="1" t="s">
        <v>13</v>
      </c>
      <c r="S4" s="2" t="s">
        <v>20</v>
      </c>
      <c r="T4" s="2" t="s">
        <v>111</v>
      </c>
      <c r="W4" t="s">
        <v>181</v>
      </c>
      <c r="X4">
        <f>+Normas!C8</f>
        <v>5</v>
      </c>
    </row>
    <row r="5" spans="1:27" ht="25.15" customHeight="1" x14ac:dyDescent="0.2">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f t="shared" ca="1" si="2"/>
        <v>3</v>
      </c>
      <c r="O5" s="68">
        <f t="shared" ca="1" si="3"/>
        <v>1</v>
      </c>
      <c r="R5" s="1" t="s">
        <v>13</v>
      </c>
      <c r="S5" s="2" t="s">
        <v>21</v>
      </c>
      <c r="T5" s="2" t="s">
        <v>134</v>
      </c>
      <c r="W5" t="s">
        <v>182</v>
      </c>
      <c r="X5">
        <f>+Normas!C10</f>
        <v>0</v>
      </c>
    </row>
    <row r="6" spans="1:27" ht="25.15" customHeight="1" x14ac:dyDescent="0.2">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f t="shared" ca="1" si="2"/>
        <v>2</v>
      </c>
      <c r="O6" s="68">
        <f t="shared" ca="1" si="3"/>
        <v>0</v>
      </c>
      <c r="R6" s="1" t="s">
        <v>12</v>
      </c>
      <c r="S6" s="2" t="s">
        <v>22</v>
      </c>
      <c r="T6" s="2" t="s">
        <v>116</v>
      </c>
      <c r="W6" t="s">
        <v>183</v>
      </c>
      <c r="X6">
        <f>+Normas!C9</f>
        <v>5</v>
      </c>
    </row>
    <row r="7" spans="1:27" ht="25.15" customHeight="1" x14ac:dyDescent="0.2">
      <c r="A7" s="3" t="s">
        <v>128</v>
      </c>
      <c r="B7" s="67" t="s">
        <v>161</v>
      </c>
      <c r="C7" s="1" t="e" vm="22">
        <f t="shared" si="0"/>
        <v>#VALUE!</v>
      </c>
      <c r="F7">
        <v>6</v>
      </c>
      <c r="G7" s="68">
        <v>-4</v>
      </c>
      <c r="H7" s="172">
        <v>45466.875</v>
      </c>
      <c r="I7" s="174">
        <f t="shared" si="1"/>
        <v>45466.875</v>
      </c>
      <c r="J7" s="171" t="s">
        <v>123</v>
      </c>
      <c r="K7" s="171" t="s">
        <v>125</v>
      </c>
      <c r="L7" s="171" t="s">
        <v>118</v>
      </c>
      <c r="M7" s="1" t="s">
        <v>15</v>
      </c>
      <c r="N7" s="68">
        <f t="shared" ca="1" si="2"/>
        <v>4</v>
      </c>
      <c r="O7" s="68">
        <f t="shared" ca="1" si="3"/>
        <v>0</v>
      </c>
      <c r="R7" s="1" t="s">
        <v>12</v>
      </c>
      <c r="S7" s="2" t="s">
        <v>23</v>
      </c>
      <c r="T7" s="2" t="s">
        <v>113</v>
      </c>
      <c r="W7" t="s">
        <v>184</v>
      </c>
      <c r="X7">
        <f>+Normas!C11</f>
        <v>5</v>
      </c>
    </row>
    <row r="8" spans="1:27" ht="25.15" customHeight="1" x14ac:dyDescent="0.2">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f t="shared" ca="1" si="2"/>
        <v>1</v>
      </c>
      <c r="O8" s="68">
        <f t="shared" ca="1" si="3"/>
        <v>0</v>
      </c>
      <c r="R8" s="1" t="s">
        <v>12</v>
      </c>
      <c r="S8" s="2" t="s">
        <v>24</v>
      </c>
      <c r="T8" s="2" t="s">
        <v>114</v>
      </c>
      <c r="W8" t="s">
        <v>185</v>
      </c>
      <c r="X8">
        <f>+Normas!C13</f>
        <v>0</v>
      </c>
    </row>
    <row r="9" spans="1:27" ht="25.15" customHeight="1" x14ac:dyDescent="0.2">
      <c r="A9" s="3" t="s">
        <v>113</v>
      </c>
      <c r="B9" s="67" t="s">
        <v>153</v>
      </c>
      <c r="C9" s="1" t="e" vm="24">
        <f t="shared" si="0"/>
        <v>#VALUE!</v>
      </c>
      <c r="F9">
        <v>8</v>
      </c>
      <c r="G9" s="68">
        <v>-7</v>
      </c>
      <c r="H9" s="172">
        <v>45467.75</v>
      </c>
      <c r="I9" s="174">
        <f t="shared" si="1"/>
        <v>45467.875</v>
      </c>
      <c r="J9" s="171" t="s">
        <v>127</v>
      </c>
      <c r="K9" s="171" t="s">
        <v>135</v>
      </c>
      <c r="L9" s="171" t="s">
        <v>119</v>
      </c>
      <c r="M9" s="1" t="s">
        <v>17</v>
      </c>
      <c r="N9" s="68">
        <f t="shared" ca="1" si="2"/>
        <v>2</v>
      </c>
      <c r="O9" s="68">
        <f t="shared" ca="1" si="3"/>
        <v>0</v>
      </c>
      <c r="R9" s="1" t="s">
        <v>12</v>
      </c>
      <c r="S9" s="2" t="s">
        <v>25</v>
      </c>
      <c r="T9" s="2" t="s">
        <v>117</v>
      </c>
      <c r="W9" t="s">
        <v>186</v>
      </c>
      <c r="X9">
        <f>+Normas!C12</f>
        <v>5</v>
      </c>
    </row>
    <row r="10" spans="1:27" ht="25.15" customHeight="1" x14ac:dyDescent="0.2">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f t="shared" ca="1" si="2"/>
        <v>1</v>
      </c>
      <c r="O10" s="68">
        <f t="shared" ca="1" si="3"/>
        <v>3</v>
      </c>
      <c r="R10" s="1" t="s">
        <v>15</v>
      </c>
      <c r="S10" s="2" t="s">
        <v>26</v>
      </c>
      <c r="T10" s="2" t="s">
        <v>122</v>
      </c>
      <c r="W10" t="s">
        <v>187</v>
      </c>
      <c r="X10">
        <f>+Normas!C14</f>
        <v>5</v>
      </c>
    </row>
    <row r="11" spans="1:27" ht="25.15" customHeight="1" x14ac:dyDescent="0.2">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f t="shared" ca="1" si="2"/>
        <v>1</v>
      </c>
      <c r="O11" s="68">
        <f t="shared" ca="1" si="3"/>
        <v>2</v>
      </c>
      <c r="R11" s="1" t="s">
        <v>15</v>
      </c>
      <c r="S11" s="2" t="s">
        <v>27</v>
      </c>
      <c r="T11" s="2" t="s">
        <v>123</v>
      </c>
      <c r="W11" t="s">
        <v>188</v>
      </c>
      <c r="X11">
        <f>+Normas!C16</f>
        <v>0</v>
      </c>
    </row>
    <row r="12" spans="1:27" ht="25.15" customHeight="1" x14ac:dyDescent="0.2">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f t="shared" ca="1" si="2"/>
        <v>1</v>
      </c>
      <c r="O12" s="68">
        <f t="shared" ca="1" si="3"/>
        <v>0</v>
      </c>
      <c r="R12" s="1" t="s">
        <v>15</v>
      </c>
      <c r="S12" s="2" t="s">
        <v>28</v>
      </c>
      <c r="T12" s="2" t="s">
        <v>125</v>
      </c>
      <c r="W12" t="s">
        <v>189</v>
      </c>
      <c r="X12">
        <f>+Normas!C15</f>
        <v>5</v>
      </c>
    </row>
    <row r="13" spans="1:27" ht="25.15" customHeight="1" x14ac:dyDescent="0.2">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f t="shared" ca="1" si="2"/>
        <v>2</v>
      </c>
      <c r="O13" s="68">
        <f t="shared" ca="1" si="3"/>
        <v>1</v>
      </c>
      <c r="R13" s="1" t="s">
        <v>15</v>
      </c>
      <c r="S13" s="2" t="s">
        <v>29</v>
      </c>
      <c r="T13" s="2" t="s">
        <v>126</v>
      </c>
      <c r="W13" t="s">
        <v>190</v>
      </c>
      <c r="X13">
        <f>+Normas!C17</f>
        <v>5</v>
      </c>
    </row>
    <row r="14" spans="1:27" ht="25.15" customHeight="1" x14ac:dyDescent="0.2">
      <c r="A14" s="3" t="s">
        <v>130</v>
      </c>
      <c r="B14" s="67" t="s">
        <v>162</v>
      </c>
      <c r="C14" s="1" t="e" vm="29">
        <f t="shared" si="0"/>
        <v>#VALUE!</v>
      </c>
      <c r="F14">
        <v>13</v>
      </c>
      <c r="G14" s="68">
        <v>-4</v>
      </c>
      <c r="H14" s="172">
        <v>45470.75</v>
      </c>
      <c r="I14" s="174">
        <f t="shared" si="1"/>
        <v>45470.75</v>
      </c>
      <c r="J14" s="171" t="s">
        <v>125</v>
      </c>
      <c r="K14" s="171" t="s">
        <v>122</v>
      </c>
      <c r="L14" s="171" t="s">
        <v>106</v>
      </c>
      <c r="M14" s="1" t="s">
        <v>15</v>
      </c>
      <c r="N14" s="68">
        <f t="shared" ca="1" si="2"/>
        <v>1</v>
      </c>
      <c r="O14" s="68">
        <f t="shared" ca="1" si="3"/>
        <v>2</v>
      </c>
      <c r="R14" s="1" t="s">
        <v>17</v>
      </c>
      <c r="S14" s="2" t="s">
        <v>30</v>
      </c>
      <c r="T14" s="2" t="s">
        <v>127</v>
      </c>
      <c r="W14" t="s">
        <v>170</v>
      </c>
      <c r="X14">
        <f>+Normas!C18</f>
        <v>15</v>
      </c>
    </row>
    <row r="15" spans="1:27" ht="25.15" customHeight="1" x14ac:dyDescent="0.2">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f t="shared" ca="1" si="2"/>
        <v>4</v>
      </c>
      <c r="O15" s="68">
        <f t="shared" ca="1" si="3"/>
        <v>2</v>
      </c>
      <c r="R15" s="1" t="s">
        <v>17</v>
      </c>
      <c r="S15" s="2" t="s">
        <v>31</v>
      </c>
      <c r="T15" s="2" t="s">
        <v>128</v>
      </c>
      <c r="W15" t="s">
        <v>171</v>
      </c>
      <c r="X15">
        <f>+Normas!C19</f>
        <v>20</v>
      </c>
    </row>
    <row r="16" spans="1:27" ht="25.15" customHeight="1" x14ac:dyDescent="0.2">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f t="shared" ca="1" si="2"/>
        <v>3</v>
      </c>
      <c r="O16" s="68">
        <f t="shared" ca="1" si="3"/>
        <v>1</v>
      </c>
      <c r="R16" s="1" t="s">
        <v>17</v>
      </c>
      <c r="S16" s="2" t="s">
        <v>32</v>
      </c>
      <c r="T16" s="2" t="s">
        <v>130</v>
      </c>
      <c r="W16" t="s">
        <v>172</v>
      </c>
      <c r="X16">
        <f>+Normas!C20</f>
        <v>25</v>
      </c>
    </row>
    <row r="17" spans="1:24" ht="25.15" customHeight="1" x14ac:dyDescent="0.2">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f t="shared" ca="1" si="2"/>
        <v>2</v>
      </c>
      <c r="O17" s="68">
        <f t="shared" ca="1" si="3"/>
        <v>2</v>
      </c>
      <c r="R17" s="1" t="s">
        <v>17</v>
      </c>
      <c r="S17" s="2" t="s">
        <v>33</v>
      </c>
      <c r="T17" s="2" t="s">
        <v>135</v>
      </c>
      <c r="W17" t="s">
        <v>173</v>
      </c>
      <c r="X17">
        <f>+Normas!C21</f>
        <v>30</v>
      </c>
    </row>
    <row r="18" spans="1:24" ht="25.15" customHeight="1" x14ac:dyDescent="0.2">
      <c r="A18" s="3"/>
      <c r="B18" s="67"/>
      <c r="C18" s="1"/>
      <c r="F18">
        <v>17</v>
      </c>
      <c r="G18" s="68">
        <v>-4</v>
      </c>
      <c r="H18" s="172">
        <v>45472.833333333336</v>
      </c>
      <c r="I18" s="174">
        <f t="shared" si="1"/>
        <v>45472.833333333336</v>
      </c>
      <c r="J18" s="171" t="s">
        <v>108</v>
      </c>
      <c r="K18" s="171" t="s">
        <v>110</v>
      </c>
      <c r="L18" s="171" t="s">
        <v>118</v>
      </c>
      <c r="M18" s="1" t="s">
        <v>13</v>
      </c>
      <c r="N18" s="68">
        <f t="shared" ca="1" si="2"/>
        <v>3</v>
      </c>
      <c r="O18" s="68">
        <f t="shared" ca="1" si="3"/>
        <v>0</v>
      </c>
      <c r="R18" s="1"/>
      <c r="S18" s="2"/>
      <c r="T18" s="2"/>
      <c r="W18" t="s">
        <v>94</v>
      </c>
      <c r="X18">
        <f>+Normas!C22</f>
        <v>50</v>
      </c>
    </row>
    <row r="19" spans="1:24" ht="25.15" customHeight="1" x14ac:dyDescent="0.2">
      <c r="A19" s="3"/>
      <c r="B19" s="67"/>
      <c r="C19" s="1"/>
      <c r="F19">
        <v>18</v>
      </c>
      <c r="G19" s="68">
        <v>-4</v>
      </c>
      <c r="H19" s="172">
        <v>45472.833333333336</v>
      </c>
      <c r="I19" s="174">
        <f t="shared" si="1"/>
        <v>45472.833333333336</v>
      </c>
      <c r="J19" s="171" t="s">
        <v>134</v>
      </c>
      <c r="K19" s="171" t="s">
        <v>111</v>
      </c>
      <c r="L19" s="171" t="s">
        <v>131</v>
      </c>
      <c r="M19" s="1" t="s">
        <v>13</v>
      </c>
      <c r="N19" s="68">
        <f t="shared" ca="1" si="2"/>
        <v>0</v>
      </c>
      <c r="O19" s="68">
        <f t="shared" ca="1" si="3"/>
        <v>2</v>
      </c>
      <c r="R19" s="1"/>
      <c r="S19" s="2"/>
      <c r="T19" s="2"/>
    </row>
    <row r="20" spans="1:24" ht="25.15" customHeight="1" x14ac:dyDescent="0.2">
      <c r="A20" s="3"/>
      <c r="B20" s="67"/>
      <c r="C20" s="1"/>
      <c r="F20">
        <v>19</v>
      </c>
      <c r="G20" s="68">
        <v>-7</v>
      </c>
      <c r="H20" s="172">
        <v>45473.708333333336</v>
      </c>
      <c r="I20" s="174">
        <f t="shared" si="1"/>
        <v>45473.833333333336</v>
      </c>
      <c r="J20" s="171" t="s">
        <v>116</v>
      </c>
      <c r="K20" s="171" t="s">
        <v>113</v>
      </c>
      <c r="L20" s="171" t="s">
        <v>129</v>
      </c>
      <c r="M20" s="1" t="s">
        <v>12</v>
      </c>
      <c r="N20" s="68">
        <f t="shared" ca="1" si="2"/>
        <v>2</v>
      </c>
      <c r="O20" s="68">
        <f t="shared" ca="1" si="3"/>
        <v>3</v>
      </c>
      <c r="R20" s="1"/>
      <c r="S20" s="2"/>
      <c r="T20" s="2"/>
    </row>
    <row r="21" spans="1:24" ht="25.15" customHeight="1" x14ac:dyDescent="0.2">
      <c r="A21" s="3"/>
      <c r="B21" s="67"/>
      <c r="C21" s="1"/>
      <c r="F21">
        <v>20</v>
      </c>
      <c r="G21" s="68">
        <v>-5</v>
      </c>
      <c r="H21" s="172">
        <v>45473.791666666664</v>
      </c>
      <c r="I21" s="174">
        <f t="shared" si="1"/>
        <v>45473.833333333336</v>
      </c>
      <c r="J21" s="171" t="s">
        <v>117</v>
      </c>
      <c r="K21" s="171" t="s">
        <v>114</v>
      </c>
      <c r="L21" s="171" t="s">
        <v>132</v>
      </c>
      <c r="M21" s="1" t="s">
        <v>12</v>
      </c>
      <c r="N21" s="68">
        <f t="shared" ca="1" si="2"/>
        <v>1</v>
      </c>
      <c r="O21" s="68">
        <f t="shared" ca="1" si="3"/>
        <v>2</v>
      </c>
      <c r="R21" s="1"/>
      <c r="S21" s="2"/>
    </row>
    <row r="22" spans="1:24" ht="25.15" customHeight="1" x14ac:dyDescent="0.2">
      <c r="A22" s="3"/>
      <c r="B22" s="67"/>
      <c r="C22" s="1"/>
      <c r="F22">
        <v>21</v>
      </c>
      <c r="G22" s="68">
        <v>-5</v>
      </c>
      <c r="H22" s="172">
        <v>45474.833333333336</v>
      </c>
      <c r="I22" s="174">
        <f t="shared" si="1"/>
        <v>45474.875000000007</v>
      </c>
      <c r="J22" s="171" t="s">
        <v>122</v>
      </c>
      <c r="K22" s="171" t="s">
        <v>123</v>
      </c>
      <c r="L22" s="171" t="s">
        <v>133</v>
      </c>
      <c r="M22" s="68" t="s">
        <v>15</v>
      </c>
      <c r="N22" s="68">
        <f t="shared" ca="1" si="2"/>
        <v>0</v>
      </c>
      <c r="O22" s="68">
        <f t="shared" ca="1" si="3"/>
        <v>1</v>
      </c>
      <c r="R22" s="1"/>
      <c r="S22" s="2"/>
      <c r="T22" s="2"/>
    </row>
    <row r="23" spans="1:24" ht="25.15" customHeight="1" x14ac:dyDescent="0.2">
      <c r="A23" s="3"/>
      <c r="B23" s="67"/>
      <c r="C23" s="1"/>
      <c r="F23">
        <v>22</v>
      </c>
      <c r="G23" s="68">
        <v>-4</v>
      </c>
      <c r="H23" s="172">
        <v>45474.875</v>
      </c>
      <c r="I23" s="174">
        <f t="shared" si="1"/>
        <v>45474.875</v>
      </c>
      <c r="J23" s="171" t="s">
        <v>126</v>
      </c>
      <c r="K23" s="171" t="s">
        <v>125</v>
      </c>
      <c r="L23" s="171" t="s">
        <v>131</v>
      </c>
      <c r="M23" s="68" t="s">
        <v>15</v>
      </c>
      <c r="N23" s="68">
        <f t="shared" ca="1" si="2"/>
        <v>2</v>
      </c>
      <c r="O23" s="68">
        <f t="shared" ca="1" si="3"/>
        <v>1</v>
      </c>
      <c r="R23" s="1"/>
      <c r="S23" s="2"/>
    </row>
    <row r="24" spans="1:24" ht="25.15" customHeight="1" x14ac:dyDescent="0.2">
      <c r="A24" s="3"/>
      <c r="B24" s="67"/>
      <c r="C24" s="1"/>
      <c r="F24">
        <v>23</v>
      </c>
      <c r="G24" s="68">
        <v>-7</v>
      </c>
      <c r="H24" s="172">
        <v>45475.75</v>
      </c>
      <c r="I24" s="174">
        <f t="shared" si="1"/>
        <v>45475.875</v>
      </c>
      <c r="J24" s="171" t="s">
        <v>127</v>
      </c>
      <c r="K24" s="171" t="s">
        <v>128</v>
      </c>
      <c r="L24" s="171" t="s">
        <v>115</v>
      </c>
      <c r="M24" s="68" t="s">
        <v>17</v>
      </c>
      <c r="N24" s="68">
        <f t="shared" ca="1" si="2"/>
        <v>3</v>
      </c>
      <c r="O24" s="68">
        <f t="shared" ca="1" si="3"/>
        <v>2</v>
      </c>
      <c r="R24" s="1"/>
      <c r="S24" s="2"/>
      <c r="T24" s="2"/>
    </row>
    <row r="25" spans="1:24" ht="25.15" customHeight="1" x14ac:dyDescent="0.2">
      <c r="A25" s="3"/>
      <c r="B25" s="67"/>
      <c r="C25" s="1"/>
      <c r="F25">
        <v>24</v>
      </c>
      <c r="G25" s="68">
        <v>-5</v>
      </c>
      <c r="H25" s="172">
        <v>45475.833333333336</v>
      </c>
      <c r="I25" s="174">
        <f t="shared" si="1"/>
        <v>45475.875000000007</v>
      </c>
      <c r="J25" s="171" t="s">
        <v>135</v>
      </c>
      <c r="K25" s="171" t="s">
        <v>130</v>
      </c>
      <c r="L25" s="171" t="s">
        <v>132</v>
      </c>
      <c r="M25" s="68" t="s">
        <v>17</v>
      </c>
      <c r="N25" s="68">
        <f t="shared" ca="1" si="2"/>
        <v>0</v>
      </c>
      <c r="O25" s="68">
        <f t="shared" ca="1" si="3"/>
        <v>0</v>
      </c>
      <c r="R25" s="1"/>
      <c r="S25" s="2"/>
    </row>
    <row r="26" spans="1:24" ht="25.15" customHeight="1" x14ac:dyDescent="0.2">
      <c r="B26" s="67"/>
      <c r="C26" s="1"/>
      <c r="F26">
        <v>25</v>
      </c>
      <c r="G26" s="68">
        <v>-5</v>
      </c>
      <c r="H26" s="172">
        <v>45477.833333333336</v>
      </c>
      <c r="I26" s="174">
        <f t="shared" si="1"/>
        <v>45477.875000000007</v>
      </c>
      <c r="J26" s="171" t="s">
        <v>50</v>
      </c>
      <c r="K26" s="171" t="s">
        <v>10</v>
      </c>
      <c r="L26" s="171" t="s">
        <v>109</v>
      </c>
      <c r="M26" s="68" t="s">
        <v>60</v>
      </c>
      <c r="N26" s="68">
        <f ca="1">IF(VLOOKUP(F26,INDIRECT(M26&amp;"!C:M"),8,0)="","",VLOOKUP(F26,INDIRECT(M26&amp;"!C:M"),8,0))</f>
        <v>2</v>
      </c>
      <c r="O26" s="68">
        <f ca="1">IF(VLOOKUP(F26,INDIRECT(M26&amp;"!C:M"),10,0)="","",VLOOKUP(F26,INDIRECT(M26&amp;"!C:M"),10,0))</f>
        <v>1</v>
      </c>
      <c r="R26" s="1"/>
      <c r="S26" s="2"/>
    </row>
    <row r="27" spans="1:24" ht="25.15" customHeight="1" x14ac:dyDescent="0.2">
      <c r="A27" s="3"/>
      <c r="F27">
        <v>26</v>
      </c>
      <c r="G27" s="68">
        <v>-5</v>
      </c>
      <c r="H27" s="172">
        <v>45478.833333333336</v>
      </c>
      <c r="I27" s="174">
        <f t="shared" si="1"/>
        <v>45478.875000000007</v>
      </c>
      <c r="J27" s="171" t="s">
        <v>54</v>
      </c>
      <c r="K27" s="171" t="s">
        <v>55</v>
      </c>
      <c r="L27" s="171" t="s">
        <v>107</v>
      </c>
      <c r="M27" s="68" t="s">
        <v>60</v>
      </c>
      <c r="N27" s="68">
        <f t="shared" ref="N27:N33" ca="1" si="4">IF(VLOOKUP(F27,INDIRECT(M27&amp;"!C:M"),8,0)="","",VLOOKUP(F27,INDIRECT(M27&amp;"!C:M"),8,0))</f>
        <v>1</v>
      </c>
      <c r="O27" s="68">
        <f t="shared" ref="O27:O33" ca="1" si="5">IF(VLOOKUP(F27,INDIRECT(M27&amp;"!C:M"),10,0)="","",VLOOKUP(F27,INDIRECT(M27&amp;"!C:M"),10,0))</f>
        <v>0</v>
      </c>
      <c r="R27" s="1"/>
      <c r="S27" s="2"/>
    </row>
    <row r="28" spans="1:24" ht="25.15" customHeight="1" x14ac:dyDescent="0.2">
      <c r="F28">
        <v>27</v>
      </c>
      <c r="G28" s="68">
        <v>-7</v>
      </c>
      <c r="H28" s="172">
        <v>45480.625</v>
      </c>
      <c r="I28" s="174">
        <f t="shared" si="1"/>
        <v>45480.75</v>
      </c>
      <c r="J28" s="171" t="s">
        <v>56</v>
      </c>
      <c r="K28" s="171" t="s">
        <v>14</v>
      </c>
      <c r="L28" s="171" t="s">
        <v>124</v>
      </c>
      <c r="M28" s="68" t="s">
        <v>60</v>
      </c>
      <c r="N28" s="68">
        <f t="shared" ca="1" si="4"/>
        <v>3</v>
      </c>
      <c r="O28" s="68">
        <f t="shared" ca="1" si="5"/>
        <v>0</v>
      </c>
      <c r="R28" s="1"/>
      <c r="S28" s="2"/>
    </row>
    <row r="29" spans="1:24" ht="25.15" customHeight="1" x14ac:dyDescent="0.2">
      <c r="F29">
        <v>28</v>
      </c>
      <c r="G29" s="68">
        <v>-7</v>
      </c>
      <c r="H29" s="172">
        <v>45480.75</v>
      </c>
      <c r="I29" s="174">
        <f t="shared" si="1"/>
        <v>45480.875</v>
      </c>
      <c r="J29" s="171" t="s">
        <v>52</v>
      </c>
      <c r="K29" s="171" t="s">
        <v>53</v>
      </c>
      <c r="L29" s="171" t="s">
        <v>129</v>
      </c>
      <c r="M29" s="68" t="s">
        <v>60</v>
      </c>
      <c r="N29" s="68">
        <f t="shared" ca="1" si="4"/>
        <v>0</v>
      </c>
      <c r="O29" s="68">
        <f t="shared" ca="1" si="5"/>
        <v>0</v>
      </c>
      <c r="R29" s="1"/>
      <c r="S29" s="2"/>
    </row>
    <row r="30" spans="1:24" ht="25.15" customHeight="1" x14ac:dyDescent="0.2">
      <c r="F30">
        <v>29</v>
      </c>
      <c r="G30" s="68">
        <v>-4</v>
      </c>
      <c r="H30" s="172">
        <v>45482.833333333336</v>
      </c>
      <c r="I30" s="174">
        <f t="shared" si="1"/>
        <v>45482.833333333336</v>
      </c>
      <c r="J30" s="171" t="s">
        <v>136</v>
      </c>
      <c r="K30" s="171" t="s">
        <v>137</v>
      </c>
      <c r="L30" s="171" t="s">
        <v>120</v>
      </c>
      <c r="M30" s="68" t="s">
        <v>64</v>
      </c>
      <c r="N30" s="68">
        <f t="shared" ca="1" si="4"/>
        <v>2</v>
      </c>
      <c r="O30" s="68">
        <f t="shared" ca="1" si="5"/>
        <v>0</v>
      </c>
      <c r="R30" s="1"/>
      <c r="S30" s="2"/>
    </row>
    <row r="31" spans="1:24" ht="25.15" customHeight="1" x14ac:dyDescent="0.2">
      <c r="F31">
        <v>30</v>
      </c>
      <c r="G31" s="68">
        <v>-4</v>
      </c>
      <c r="H31" s="172">
        <v>45483.833333333336</v>
      </c>
      <c r="I31" s="174">
        <f t="shared" si="1"/>
        <v>45483.833333333336</v>
      </c>
      <c r="J31" s="171" t="s">
        <v>138</v>
      </c>
      <c r="K31" s="171" t="s">
        <v>139</v>
      </c>
      <c r="L31" s="171" t="s">
        <v>165</v>
      </c>
      <c r="M31" s="68" t="s">
        <v>64</v>
      </c>
      <c r="N31" s="68">
        <f t="shared" ca="1" si="4"/>
        <v>2</v>
      </c>
      <c r="O31" s="68">
        <f t="shared" ca="1" si="5"/>
        <v>1</v>
      </c>
      <c r="R31" s="1"/>
      <c r="S31" s="2"/>
    </row>
    <row r="32" spans="1:24" ht="25.15" customHeight="1" x14ac:dyDescent="0.2">
      <c r="F32">
        <v>31</v>
      </c>
      <c r="G32" s="68">
        <v>-4</v>
      </c>
      <c r="H32" s="172">
        <v>45486.833333333336</v>
      </c>
      <c r="I32" s="174">
        <f t="shared" si="1"/>
        <v>45486.833333333336</v>
      </c>
      <c r="J32" s="171" t="s">
        <v>140</v>
      </c>
      <c r="K32" s="171" t="s">
        <v>141</v>
      </c>
      <c r="L32" s="171" t="s">
        <v>165</v>
      </c>
      <c r="M32" s="68" t="s">
        <v>11</v>
      </c>
      <c r="N32" s="68">
        <f t="shared" ca="1" si="4"/>
        <v>1</v>
      </c>
      <c r="O32" s="68">
        <f t="shared" ca="1" si="5"/>
        <v>3</v>
      </c>
      <c r="R32" s="1"/>
      <c r="S32" s="2"/>
    </row>
    <row r="33" spans="6:15" ht="25.15" customHeight="1" x14ac:dyDescent="0.2">
      <c r="F33">
        <v>32</v>
      </c>
      <c r="G33" s="68">
        <v>-4</v>
      </c>
      <c r="H33" s="172">
        <v>45487.833333333336</v>
      </c>
      <c r="I33" s="174">
        <f t="shared" si="1"/>
        <v>45487.833333333336</v>
      </c>
      <c r="J33" s="171" t="s">
        <v>142</v>
      </c>
      <c r="K33" s="171" t="s">
        <v>143</v>
      </c>
      <c r="L33" s="171" t="s">
        <v>118</v>
      </c>
      <c r="M33" s="68" t="s">
        <v>11</v>
      </c>
      <c r="N33" s="68">
        <f t="shared" ca="1" si="4"/>
        <v>1</v>
      </c>
      <c r="O33" s="68">
        <f t="shared" ca="1" si="5"/>
        <v>0</v>
      </c>
    </row>
  </sheetData>
  <autoFilter ref="E1:O33" xr:uid="{F39B011E-B077-4AB3-A1A0-17DAD78EA483}"/>
  <sortState xmlns:xlrd2="http://schemas.microsoft.com/office/spreadsheetml/2017/richdata2" ref="A2:C17">
    <sortCondition ref="A17"/>
  </sortState>
  <conditionalFormatting sqref="N2:O33">
    <cfRule type="expression" dxfId="32" priority="1">
      <formula>#REF!="P"</formula>
    </cfRule>
    <cfRule type="expression" dxfId="31" priority="2">
      <formula>#REF!="E"</formula>
    </cfRule>
    <cfRule type="expression" dxfId="30" priority="3">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zoomScaleNormal="100" workbookViewId="0">
      <selection activeCell="N31" sqref="N31"/>
    </sheetView>
  </sheetViews>
  <sheetFormatPr defaultColWidth="10.76171875" defaultRowHeight="15" x14ac:dyDescent="0.2"/>
  <cols>
    <col min="1" max="1" width="4.5703125" customWidth="1"/>
    <col min="2" max="2" width="1.8828125" customWidth="1"/>
    <col min="3" max="3" width="4.9765625" customWidth="1"/>
    <col min="4" max="4" width="22.8671875" customWidth="1"/>
    <col min="5" max="14" width="8.875" customWidth="1"/>
    <col min="15" max="15" width="1.8828125" customWidth="1"/>
    <col min="16" max="16" width="10.76171875" style="82"/>
    <col min="17" max="17" width="10.76171875" style="119"/>
    <col min="18" max="18" width="12.5078125" style="120" customWidth="1"/>
    <col min="19" max="23" width="7.93359375" style="120" customWidth="1"/>
    <col min="24" max="25" width="10.76171875" style="121"/>
    <col min="26" max="26" width="10.76171875" style="122"/>
    <col min="27" max="27" width="11.43359375" style="122" customWidth="1"/>
    <col min="28" max="31" width="10.76171875" style="121"/>
  </cols>
  <sheetData>
    <row r="1" spans="3:28" x14ac:dyDescent="0.2">
      <c r="Q1" s="286" t="s">
        <v>193</v>
      </c>
    </row>
    <row r="2" spans="3:28" ht="14.65" customHeight="1" thickBot="1" x14ac:dyDescent="0.25">
      <c r="Q2" s="287"/>
    </row>
    <row r="3" spans="3:28" ht="56.65" customHeight="1" x14ac:dyDescent="0.2">
      <c r="C3" s="143"/>
      <c r="D3" s="144"/>
      <c r="E3" s="292" t="s">
        <v>177</v>
      </c>
      <c r="F3" s="292"/>
      <c r="G3" s="292"/>
      <c r="H3" s="292"/>
      <c r="I3" s="292"/>
      <c r="J3" s="292"/>
      <c r="K3" s="292"/>
      <c r="L3" s="144"/>
      <c r="M3" s="144"/>
      <c r="N3" s="145"/>
      <c r="P3" s="196"/>
      <c r="Q3" s="260" t="s">
        <v>194</v>
      </c>
      <c r="R3" s="261"/>
    </row>
    <row r="4" spans="3:28" ht="27.4" customHeight="1" thickBot="1" x14ac:dyDescent="0.25">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
      <c r="C5" s="150">
        <v>1</v>
      </c>
      <c r="D5" s="151">
        <f>+VLOOKUP($C5,$Q:$AB,COLUMNS($C$4:D4),0)</f>
        <v>0</v>
      </c>
      <c r="E5" s="197" t="str">
        <f>+IF($D5=0,"",VLOOKUP($C5,$Q:$AB,COLUMNS($C$4:E4),0))</f>
        <v/>
      </c>
      <c r="F5" s="198" t="str">
        <f>+IF($D5=0,"",VLOOKUP($C5,$Q:$AB,COLUMNS($C$4:F4),0))</f>
        <v/>
      </c>
      <c r="G5" s="198" t="str">
        <f>+IF($D5=0,"",VLOOKUP($C5,$Q:$AB,COLUMNS($C$4:G4),0))</f>
        <v/>
      </c>
      <c r="H5" s="198" t="str">
        <f>+IF($D5=0,"",VLOOKUP($C5,$Q:$AB,COLUMNS($C$4:H4),0))</f>
        <v/>
      </c>
      <c r="I5" s="199" t="str">
        <f>+IF($D5=0,"",VLOOKUP($C5,$Q:$AB,COLUMNS($C$4:I4),0))</f>
        <v/>
      </c>
      <c r="J5" s="127" t="str">
        <f>+IF($D5=0,"",VLOOKUP($C5,$Q:$AB,COLUMNS($C$4:J4),0))</f>
        <v/>
      </c>
      <c r="K5" s="127" t="str">
        <f>+IF($D5=0,"",VLOOKUP($C5,$Q:$AB,COLUMNS($C$4:K4),0))</f>
        <v/>
      </c>
      <c r="L5" s="127" t="str">
        <f>+IF($D5=0,"",VLOOKUP($C5,$Q:$AB,COLUMNS($C$4:L4),0))</f>
        <v/>
      </c>
      <c r="M5" s="128" t="str">
        <f>+IF($D5=0,"",VLOOKUP($C5,$Q:$AB,COLUMNS($C$4:M4),0))</f>
        <v/>
      </c>
      <c r="N5" s="129" t="str">
        <f>+IF($D5=0,"",VLOOKUP($C5,$Q:$AB,COLUMNS($C$4:N4),0))</f>
        <v/>
      </c>
      <c r="P5" s="196" t="str">
        <f>IFERROR(M5-ROW()/10000,"")</f>
        <v/>
      </c>
      <c r="Q5" s="119">
        <f t="shared" ref="Q5:Q26" si="0">+_xlfn.RANK.EQ(AB5,$AB$5:$AB$26)</f>
        <v>22</v>
      </c>
      <c r="R5" s="126">
        <f>Resultado!B7</f>
        <v>0</v>
      </c>
      <c r="S5" s="120">
        <f>+SUMIFS(Resultado!7:7,Resultado!$1:$1,ClasificaciónPorra!S$4)</f>
        <v>0</v>
      </c>
      <c r="T5" s="120">
        <f>+SUMIFS(Resultado!7:7,Resultado!$1:$1,ClasificaciónPorra!T$4)</f>
        <v>0</v>
      </c>
      <c r="U5" s="120">
        <f>+SUMIFS(Resultado!7:7,Resultado!$1:$1,ClasificaciónPorra!U$4)</f>
        <v>0</v>
      </c>
      <c r="V5" s="120">
        <f>+SUMIFS(Resultado!7:7,Resultado!$1:$1,ClasificaciónPorra!V$4)</f>
        <v>0</v>
      </c>
      <c r="W5" s="120">
        <f t="shared" ref="W5:W26" si="1">+SUM(S5:V5)</f>
        <v>0</v>
      </c>
      <c r="X5" s="120">
        <f>+SUMIFS(Resultado!7:7,Resultado!$1:$1,ClasificaciónPorra!X$4)</f>
        <v>0</v>
      </c>
      <c r="Y5" s="120">
        <f>+SUMIFS(Resultado!7:7,Resultado!$1:$1,ClasificaciónPorra!Y$4)</f>
        <v>0</v>
      </c>
      <c r="Z5" s="120">
        <f>+SUMIFS(Resultado!7:7,Resultado!$1:$1,ClasificaciónPorra!Z$4)</f>
        <v>0</v>
      </c>
      <c r="AA5" s="122">
        <f t="shared" ref="AA5:AA26" si="2">+SUM(X5:Z5)</f>
        <v>0</v>
      </c>
      <c r="AB5" s="121">
        <f t="shared" ref="AB5:AB26" si="3">+IF(R5=0,0+ROW()/10000,AA5+W5+ROW()/1000)</f>
        <v>5.0000000000000001E-4</v>
      </c>
    </row>
    <row r="6" spans="3:28" ht="13.5" customHeight="1" x14ac:dyDescent="0.2">
      <c r="C6" s="150">
        <f t="shared" ref="C6:C26" si="4">+C5+1</f>
        <v>2</v>
      </c>
      <c r="D6" s="151">
        <f>+VLOOKUP($C6,$Q:$AB,COLUMNS($C$4:D5),0)</f>
        <v>0</v>
      </c>
      <c r="E6" s="197" t="str">
        <f>+IF($D6=0,"",VLOOKUP($C6,$Q:$AB,COLUMNS($C$4:E5),0))</f>
        <v/>
      </c>
      <c r="F6" s="198" t="str">
        <f>+IF($D6=0,"",VLOOKUP($C6,$Q:$AB,COLUMNS($C$4:F5),0))</f>
        <v/>
      </c>
      <c r="G6" s="198" t="str">
        <f>+IF($D6=0,"",VLOOKUP($C6,$Q:$AB,COLUMNS($C$4:G5),0))</f>
        <v/>
      </c>
      <c r="H6" s="198" t="str">
        <f>+IF($D6=0,"",VLOOKUP($C6,$Q:$AB,COLUMNS($C$4:H5),0))</f>
        <v/>
      </c>
      <c r="I6" s="200" t="str">
        <f>+IF($D6=0,"",VLOOKUP($C6,$Q:$AB,COLUMNS($C$4:I5),0))</f>
        <v/>
      </c>
      <c r="J6" s="127" t="str">
        <f>+IF($D6=0,"",VLOOKUP($C6,$Q:$AB,COLUMNS($C$4:J5),0))</f>
        <v/>
      </c>
      <c r="K6" s="127" t="str">
        <f>+IF($D6=0,"",VLOOKUP($C6,$Q:$AB,COLUMNS($C$4:K5),0))</f>
        <v/>
      </c>
      <c r="L6" s="127" t="str">
        <f>+IF($D6=0,"",VLOOKUP($C6,$Q:$AB,COLUMNS($C$4:L5),0))</f>
        <v/>
      </c>
      <c r="M6" s="128" t="str">
        <f>+IF($D6=0,"",VLOOKUP($C6,$Q:$AB,COLUMNS($C$4:M5),0))</f>
        <v/>
      </c>
      <c r="N6" s="129" t="str">
        <f>+IF($D6=0,"",VLOOKUP($C6,$Q:$AB,COLUMNS($C$4:N5),0))</f>
        <v/>
      </c>
      <c r="P6" s="196" t="str">
        <f t="shared" ref="P6:P26" si="5">IFERROR(M6-ROW()/10000,"")</f>
        <v/>
      </c>
      <c r="Q6" s="119">
        <f t="shared" si="0"/>
        <v>21</v>
      </c>
      <c r="R6" s="126">
        <f>Resultado!B8</f>
        <v>0</v>
      </c>
      <c r="S6" s="120">
        <f>+SUMIFS(Resultado!8:8,Resultado!$1:$1,ClasificaciónPorra!S$4)</f>
        <v>0</v>
      </c>
      <c r="T6" s="120">
        <f>+SUMIFS(Resultado!8:8,Resultado!$1:$1,ClasificaciónPorra!T$4)</f>
        <v>0</v>
      </c>
      <c r="U6" s="120">
        <f>+SUMIFS(Resultado!8:8,Resultado!$1:$1,ClasificaciónPorra!U$4)</f>
        <v>0</v>
      </c>
      <c r="V6" s="120">
        <f>+SUMIFS(Resultado!8:8,Resultado!$1:$1,ClasificaciónPorra!V$4)</f>
        <v>0</v>
      </c>
      <c r="W6" s="120">
        <f t="shared" si="1"/>
        <v>0</v>
      </c>
      <c r="X6" s="120">
        <f>+SUMIFS(Resultado!8:8,Resultado!$1:$1,ClasificaciónPorra!X$4)</f>
        <v>0</v>
      </c>
      <c r="Y6" s="120">
        <f>+SUMIFS(Resultado!8:8,Resultado!$1:$1,ClasificaciónPorra!Y$4)</f>
        <v>0</v>
      </c>
      <c r="Z6" s="120">
        <f>+SUMIFS(Resultado!8:8,Resultado!$1:$1,ClasificaciónPorra!Z$4)</f>
        <v>0</v>
      </c>
      <c r="AA6" s="122">
        <f t="shared" si="2"/>
        <v>0</v>
      </c>
      <c r="AB6" s="121">
        <f t="shared" si="3"/>
        <v>5.9999999999999995E-4</v>
      </c>
    </row>
    <row r="7" spans="3:28" x14ac:dyDescent="0.2">
      <c r="C7" s="150">
        <f t="shared" si="4"/>
        <v>3</v>
      </c>
      <c r="D7" s="151">
        <f>+VLOOKUP($C7,$Q:$AB,COLUMNS($C$4:D6),0)</f>
        <v>0</v>
      </c>
      <c r="E7" s="197" t="str">
        <f>+IF($D7=0,"",VLOOKUP($C7,$Q:$AB,COLUMNS($C$4:E6),0))</f>
        <v/>
      </c>
      <c r="F7" s="198" t="str">
        <f>+IF($D7=0,"",VLOOKUP($C7,$Q:$AB,COLUMNS($C$4:F6),0))</f>
        <v/>
      </c>
      <c r="G7" s="198" t="str">
        <f>+IF($D7=0,"",VLOOKUP($C7,$Q:$AB,COLUMNS($C$4:G6),0))</f>
        <v/>
      </c>
      <c r="H7" s="198" t="str">
        <f>+IF($D7=0,"",VLOOKUP($C7,$Q:$AB,COLUMNS($C$4:H6),0))</f>
        <v/>
      </c>
      <c r="I7" s="200" t="str">
        <f>+IF($D7=0,"",VLOOKUP($C7,$Q:$AB,COLUMNS($C$4:I6),0))</f>
        <v/>
      </c>
      <c r="J7" s="127" t="str">
        <f>+IF($D7=0,"",VLOOKUP($C7,$Q:$AB,COLUMNS($C$4:J6),0))</f>
        <v/>
      </c>
      <c r="K7" s="127" t="str">
        <f>+IF($D7=0,"",VLOOKUP($C7,$Q:$AB,COLUMNS($C$4:K6),0))</f>
        <v/>
      </c>
      <c r="L7" s="127" t="str">
        <f>+IF($D7=0,"",VLOOKUP($C7,$Q:$AB,COLUMNS($C$4:L6),0))</f>
        <v/>
      </c>
      <c r="M7" s="128" t="str">
        <f>+IF($D7=0,"",VLOOKUP($C7,$Q:$AB,COLUMNS($C$4:M6),0))</f>
        <v/>
      </c>
      <c r="N7" s="129" t="str">
        <f>+IF($D7=0,"",VLOOKUP($C7,$Q:$AB,COLUMNS($C$4:N6),0))</f>
        <v/>
      </c>
      <c r="P7" s="196" t="str">
        <f t="shared" si="5"/>
        <v/>
      </c>
      <c r="Q7" s="119">
        <f t="shared" si="0"/>
        <v>20</v>
      </c>
      <c r="R7" s="126">
        <f>Resultado!B9</f>
        <v>0</v>
      </c>
      <c r="S7" s="120">
        <f>+SUMIFS(Resultado!9:9,Resultado!$1:$1,ClasificaciónPorra!S$4)</f>
        <v>0</v>
      </c>
      <c r="T7" s="120">
        <f>+SUMIFS(Resultado!9:9,Resultado!$1:$1,ClasificaciónPorra!T$4)</f>
        <v>0</v>
      </c>
      <c r="U7" s="120">
        <f>+SUMIFS(Resultado!9:9,Resultado!$1:$1,ClasificaciónPorra!U$4)</f>
        <v>0</v>
      </c>
      <c r="V7" s="120">
        <f>+SUMIFS(Resultado!9:9,Resultado!$1:$1,ClasificaciónPorra!V$4)</f>
        <v>0</v>
      </c>
      <c r="W7" s="120">
        <f t="shared" si="1"/>
        <v>0</v>
      </c>
      <c r="X7" s="120">
        <f>+SUMIFS(Resultado!9:9,Resultado!$1:$1,ClasificaciónPorra!X$4)</f>
        <v>0</v>
      </c>
      <c r="Y7" s="120">
        <f>+SUMIFS(Resultado!9:9,Resultado!$1:$1,ClasificaciónPorra!Y$4)</f>
        <v>0</v>
      </c>
      <c r="Z7" s="120">
        <f>+SUMIFS(Resultado!9:9,Resultado!$1:$1,ClasificaciónPorra!Z$4)</f>
        <v>0</v>
      </c>
      <c r="AA7" s="122">
        <f t="shared" si="2"/>
        <v>0</v>
      </c>
      <c r="AB7" s="121">
        <f t="shared" si="3"/>
        <v>6.9999999999999999E-4</v>
      </c>
    </row>
    <row r="8" spans="3:28" x14ac:dyDescent="0.2">
      <c r="C8" s="150">
        <f t="shared" si="4"/>
        <v>4</v>
      </c>
      <c r="D8" s="152">
        <f>+VLOOKUP($C8,$Q:$AB,COLUMNS($C$4:D7),0)</f>
        <v>0</v>
      </c>
      <c r="E8" s="201" t="str">
        <f>+IF($D8=0,"",VLOOKUP($C8,$Q:$AB,COLUMNS($C$4:E7),0))</f>
        <v/>
      </c>
      <c r="F8" s="202" t="str">
        <f>+IF($D8=0,"",VLOOKUP($C8,$Q:$AB,COLUMNS($C$4:F7),0))</f>
        <v/>
      </c>
      <c r="G8" s="202" t="str">
        <f>+IF($D8=0,"",VLOOKUP($C8,$Q:$AB,COLUMNS($C$4:G7),0))</f>
        <v/>
      </c>
      <c r="H8" s="202" t="str">
        <f>+IF($D8=0,"",VLOOKUP($C8,$Q:$AB,COLUMNS($C$4:H7),0))</f>
        <v/>
      </c>
      <c r="I8" s="203" t="str">
        <f>+IF($D8=0,"",VLOOKUP($C8,$Q:$AB,COLUMNS($C$4:I7),0))</f>
        <v/>
      </c>
      <c r="J8" s="130" t="str">
        <f>+IF($D8=0,"",VLOOKUP($C8,$Q:$AB,COLUMNS($C$4:J7),0))</f>
        <v/>
      </c>
      <c r="K8" s="130" t="str">
        <f>+IF($D8=0,"",VLOOKUP($C8,$Q:$AB,COLUMNS($C$4:K7),0))</f>
        <v/>
      </c>
      <c r="L8" s="130" t="str">
        <f>+IF($D8=0,"",VLOOKUP($C8,$Q:$AB,COLUMNS($C$4:L7),0))</f>
        <v/>
      </c>
      <c r="M8" s="131" t="str">
        <f>+IF($D8=0,"",VLOOKUP($C8,$Q:$AB,COLUMNS($C$4:M7),0))</f>
        <v/>
      </c>
      <c r="N8" s="132" t="str">
        <f>+IF($D8=0,"",VLOOKUP($C8,$Q:$AB,COLUMNS($C$4:N7),0))</f>
        <v/>
      </c>
      <c r="P8" s="196" t="str">
        <f t="shared" si="5"/>
        <v/>
      </c>
      <c r="Q8" s="119">
        <f t="shared" si="0"/>
        <v>19</v>
      </c>
      <c r="R8" s="126">
        <f>Resultado!B10</f>
        <v>0</v>
      </c>
      <c r="S8" s="120">
        <f>+SUMIFS(Resultado!10:10,Resultado!$1:$1,ClasificaciónPorra!S$4)</f>
        <v>0</v>
      </c>
      <c r="T8" s="120">
        <f>+SUMIFS(Resultado!10:10,Resultado!$1:$1,ClasificaciónPorra!T$4)</f>
        <v>0</v>
      </c>
      <c r="U8" s="120">
        <f>+SUMIFS(Resultado!10:10,Resultado!$1:$1,ClasificaciónPorra!U$4)</f>
        <v>0</v>
      </c>
      <c r="V8" s="120">
        <f>+SUMIFS(Resultado!10:10,Resultado!$1:$1,ClasificaciónPorra!V$4)</f>
        <v>0</v>
      </c>
      <c r="W8" s="120">
        <f t="shared" si="1"/>
        <v>0</v>
      </c>
      <c r="X8" s="120">
        <f>+SUMIFS(Resultado!10:10,Resultado!$1:$1,ClasificaciónPorra!X$4)</f>
        <v>0</v>
      </c>
      <c r="Y8" s="120">
        <f>+SUMIFS(Resultado!10:10,Resultado!$1:$1,ClasificaciónPorra!Y$4)</f>
        <v>0</v>
      </c>
      <c r="Z8" s="120">
        <f>+SUMIFS(Resultado!10:10,Resultado!$1:$1,ClasificaciónPorra!Z$4)</f>
        <v>0</v>
      </c>
      <c r="AA8" s="122">
        <f t="shared" si="2"/>
        <v>0</v>
      </c>
      <c r="AB8" s="121">
        <f t="shared" si="3"/>
        <v>8.0000000000000004E-4</v>
      </c>
    </row>
    <row r="9" spans="3:28" x14ac:dyDescent="0.2">
      <c r="C9" s="150">
        <f t="shared" si="4"/>
        <v>5</v>
      </c>
      <c r="D9" s="153">
        <f>+VLOOKUP($C9,$Q:$AB,COLUMNS($C$4:D8),0)</f>
        <v>0</v>
      </c>
      <c r="E9" s="204" t="str">
        <f>+IF($D9=0,"",VLOOKUP($C9,$Q:$AB,COLUMNS($C$4:E8),0))</f>
        <v/>
      </c>
      <c r="F9" s="205" t="str">
        <f>+IF($D9=0,"",VLOOKUP($C9,$Q:$AB,COLUMNS($C$4:F8),0))</f>
        <v/>
      </c>
      <c r="G9" s="205" t="str">
        <f>+IF($D9=0,"",VLOOKUP($C9,$Q:$AB,COLUMNS($C$4:G8),0))</f>
        <v/>
      </c>
      <c r="H9" s="205" t="str">
        <f>+IF($D9=0,"",VLOOKUP($C9,$Q:$AB,COLUMNS($C$4:H8),0))</f>
        <v/>
      </c>
      <c r="I9" s="206" t="str">
        <f>+IF($D9=0,"",VLOOKUP($C9,$Q:$AB,COLUMNS($C$4:I8),0))</f>
        <v/>
      </c>
      <c r="J9" s="133" t="str">
        <f>+IF($D9=0,"",VLOOKUP($C9,$Q:$AB,COLUMNS($C$4:J8),0))</f>
        <v/>
      </c>
      <c r="K9" s="133" t="str">
        <f>+IF($D9=0,"",VLOOKUP($C9,$Q:$AB,COLUMNS($C$4:K8),0))</f>
        <v/>
      </c>
      <c r="L9" s="133" t="str">
        <f>+IF($D9=0,"",VLOOKUP($C9,$Q:$AB,COLUMNS($C$4:L8),0))</f>
        <v/>
      </c>
      <c r="M9" s="134" t="str">
        <f>+IF($D9=0,"",VLOOKUP($C9,$Q:$AB,COLUMNS($C$4:M8),0))</f>
        <v/>
      </c>
      <c r="N9" s="135" t="str">
        <f>+IF($D9=0,"",VLOOKUP($C9,$Q:$AB,COLUMNS($C$4:N8),0))</f>
        <v/>
      </c>
      <c r="P9" s="196" t="str">
        <f t="shared" si="5"/>
        <v/>
      </c>
      <c r="Q9" s="119">
        <f t="shared" si="0"/>
        <v>18</v>
      </c>
      <c r="R9" s="126">
        <f>Resultado!B11</f>
        <v>0</v>
      </c>
      <c r="S9" s="120">
        <f>+SUMIFS(Resultado!11:11,Resultado!$1:$1,ClasificaciónPorra!S$4)</f>
        <v>0</v>
      </c>
      <c r="T9" s="120">
        <f>+SUMIFS(Resultado!11:11,Resultado!$1:$1,ClasificaciónPorra!T$4)</f>
        <v>0</v>
      </c>
      <c r="U9" s="120">
        <f>+SUMIFS(Resultado!11:11,Resultado!$1:$1,ClasificaciónPorra!U$4)</f>
        <v>0</v>
      </c>
      <c r="V9" s="120">
        <f>+SUMIFS(Resultado!11:11,Resultado!$1:$1,ClasificaciónPorra!V$4)</f>
        <v>0</v>
      </c>
      <c r="W9" s="120">
        <f t="shared" si="1"/>
        <v>0</v>
      </c>
      <c r="X9" s="120">
        <f>+SUMIFS(Resultado!11:11,Resultado!$1:$1,ClasificaciónPorra!X$4)</f>
        <v>0</v>
      </c>
      <c r="Y9" s="120">
        <f>+SUMIFS(Resultado!11:11,Resultado!$1:$1,ClasificaciónPorra!Y$4)</f>
        <v>0</v>
      </c>
      <c r="Z9" s="120">
        <f>+SUMIFS(Resultado!11:11,Resultado!$1:$1,ClasificaciónPorra!Z$4)</f>
        <v>0</v>
      </c>
      <c r="AA9" s="122">
        <f t="shared" si="2"/>
        <v>0</v>
      </c>
      <c r="AB9" s="121">
        <f t="shared" si="3"/>
        <v>8.9999999999999998E-4</v>
      </c>
    </row>
    <row r="10" spans="3:28" x14ac:dyDescent="0.2">
      <c r="C10" s="150">
        <f t="shared" si="4"/>
        <v>6</v>
      </c>
      <c r="D10" s="151">
        <f>+VLOOKUP($C10,$Q:$AB,COLUMNS($C$4:D9),0)</f>
        <v>0</v>
      </c>
      <c r="E10" s="197" t="str">
        <f>+IF($D10=0,"",VLOOKUP($C10,$Q:$AB,COLUMNS($C$4:E9),0))</f>
        <v/>
      </c>
      <c r="F10" s="198" t="str">
        <f>+IF($D10=0,"",VLOOKUP($C10,$Q:$AB,COLUMNS($C$4:F9),0))</f>
        <v/>
      </c>
      <c r="G10" s="198" t="str">
        <f>+IF($D10=0,"",VLOOKUP($C10,$Q:$AB,COLUMNS($C$4:G9),0))</f>
        <v/>
      </c>
      <c r="H10" s="198" t="str">
        <f>+IF($D10=0,"",VLOOKUP($C10,$Q:$AB,COLUMNS($C$4:H9),0))</f>
        <v/>
      </c>
      <c r="I10" s="200" t="str">
        <f>+IF($D10=0,"",VLOOKUP($C10,$Q:$AB,COLUMNS($C$4:I9),0))</f>
        <v/>
      </c>
      <c r="J10" s="127" t="str">
        <f>+IF($D10=0,"",VLOOKUP($C10,$Q:$AB,COLUMNS($C$4:J9),0))</f>
        <v/>
      </c>
      <c r="K10" s="127" t="str">
        <f>+IF($D10=0,"",VLOOKUP($C10,$Q:$AB,COLUMNS($C$4:K9),0))</f>
        <v/>
      </c>
      <c r="L10" s="127" t="str">
        <f>+IF($D10=0,"",VLOOKUP($C10,$Q:$AB,COLUMNS($C$4:L9),0))</f>
        <v/>
      </c>
      <c r="M10" s="128" t="str">
        <f>+IF($D10=0,"",VLOOKUP($C10,$Q:$AB,COLUMNS($C$4:M9),0))</f>
        <v/>
      </c>
      <c r="N10" s="129" t="str">
        <f>+IF($D10=0,"",VLOOKUP($C10,$Q:$AB,COLUMNS($C$4:N9),0))</f>
        <v/>
      </c>
      <c r="P10" s="196" t="str">
        <f t="shared" si="5"/>
        <v/>
      </c>
      <c r="Q10" s="119">
        <f t="shared" si="0"/>
        <v>17</v>
      </c>
      <c r="R10" s="126">
        <f>Resultado!B12</f>
        <v>0</v>
      </c>
      <c r="S10" s="120">
        <f>+SUMIFS(Resultado!12:12,Resultado!$1:$1,ClasificaciónPorra!S$4)</f>
        <v>0</v>
      </c>
      <c r="T10" s="120">
        <f>+SUMIFS(Resultado!12:12,Resultado!$1:$1,ClasificaciónPorra!T$4)</f>
        <v>0</v>
      </c>
      <c r="U10" s="120">
        <f>+SUMIFS(Resultado!12:12,Resultado!$1:$1,ClasificaciónPorra!U$4)</f>
        <v>0</v>
      </c>
      <c r="V10" s="120">
        <f>+SUMIFS(Resultado!12:12,Resultado!$1:$1,ClasificaciónPorra!V$4)</f>
        <v>0</v>
      </c>
      <c r="W10" s="120">
        <f t="shared" si="1"/>
        <v>0</v>
      </c>
      <c r="X10" s="120">
        <f>+SUMIFS(Resultado!12:12,Resultado!$1:$1,ClasificaciónPorra!X$4)</f>
        <v>0</v>
      </c>
      <c r="Y10" s="120">
        <f>+SUMIFS(Resultado!12:12,Resultado!$1:$1,ClasificaciónPorra!Y$4)</f>
        <v>0</v>
      </c>
      <c r="Z10" s="120">
        <f>+SUMIFS(Resultado!12:12,Resultado!$1:$1,ClasificaciónPorra!Z$4)</f>
        <v>0</v>
      </c>
      <c r="AA10" s="122">
        <f t="shared" si="2"/>
        <v>0</v>
      </c>
      <c r="AB10" s="121">
        <f t="shared" si="3"/>
        <v>1E-3</v>
      </c>
    </row>
    <row r="11" spans="3:28" x14ac:dyDescent="0.2">
      <c r="C11" s="150">
        <f t="shared" si="4"/>
        <v>7</v>
      </c>
      <c r="D11" s="151">
        <f>+VLOOKUP($C11,$Q:$AB,COLUMNS($C$4:D10),0)</f>
        <v>0</v>
      </c>
      <c r="E11" s="197" t="str">
        <f>+IF($D11=0,"",VLOOKUP($C11,$Q:$AB,COLUMNS($C$4:E10),0))</f>
        <v/>
      </c>
      <c r="F11" s="198" t="str">
        <f>+IF($D11=0,"",VLOOKUP($C11,$Q:$AB,COLUMNS($C$4:F10),0))</f>
        <v/>
      </c>
      <c r="G11" s="198" t="str">
        <f>+IF($D11=0,"",VLOOKUP($C11,$Q:$AB,COLUMNS($C$4:G10),0))</f>
        <v/>
      </c>
      <c r="H11" s="198" t="str">
        <f>+IF($D11=0,"",VLOOKUP($C11,$Q:$AB,COLUMNS($C$4:H10),0))</f>
        <v/>
      </c>
      <c r="I11" s="200" t="str">
        <f>+IF($D11=0,"",VLOOKUP($C11,$Q:$AB,COLUMNS($C$4:I10),0))</f>
        <v/>
      </c>
      <c r="J11" s="127" t="str">
        <f>+IF($D11=0,"",VLOOKUP($C11,$Q:$AB,COLUMNS($C$4:J10),0))</f>
        <v/>
      </c>
      <c r="K11" s="127" t="str">
        <f>+IF($D11=0,"",VLOOKUP($C11,$Q:$AB,COLUMNS($C$4:K10),0))</f>
        <v/>
      </c>
      <c r="L11" s="127" t="str">
        <f>+IF($D11=0,"",VLOOKUP($C11,$Q:$AB,COLUMNS($C$4:L10),0))</f>
        <v/>
      </c>
      <c r="M11" s="128" t="str">
        <f>+IF($D11=0,"",VLOOKUP($C11,$Q:$AB,COLUMNS($C$4:M10),0))</f>
        <v/>
      </c>
      <c r="N11" s="129" t="str">
        <f>+IF($D11=0,"",VLOOKUP($C11,$Q:$AB,COLUMNS($C$4:N10),0))</f>
        <v/>
      </c>
      <c r="P11" s="196" t="str">
        <f t="shared" si="5"/>
        <v/>
      </c>
      <c r="Q11" s="119">
        <f t="shared" si="0"/>
        <v>16</v>
      </c>
      <c r="R11" s="126">
        <f>Resultado!B13</f>
        <v>0</v>
      </c>
      <c r="S11" s="120">
        <f>+SUMIFS(Resultado!13:13,Resultado!$1:$1,ClasificaciónPorra!S$4)</f>
        <v>0</v>
      </c>
      <c r="T11" s="120">
        <f>+SUMIFS(Resultado!13:13,Resultado!$1:$1,ClasificaciónPorra!T$4)</f>
        <v>0</v>
      </c>
      <c r="U11" s="120">
        <f>+SUMIFS(Resultado!13:13,Resultado!$1:$1,ClasificaciónPorra!U$4)</f>
        <v>0</v>
      </c>
      <c r="V11" s="120">
        <f>+SUMIFS(Resultado!13:13,Resultado!$1:$1,ClasificaciónPorra!V$4)</f>
        <v>0</v>
      </c>
      <c r="W11" s="120">
        <f t="shared" si="1"/>
        <v>0</v>
      </c>
      <c r="X11" s="120">
        <f>+SUMIFS(Resultado!13:13,Resultado!$1:$1,ClasificaciónPorra!X$4)</f>
        <v>0</v>
      </c>
      <c r="Y11" s="120">
        <f>+SUMIFS(Resultado!13:13,Resultado!$1:$1,ClasificaciónPorra!Y$4)</f>
        <v>0</v>
      </c>
      <c r="Z11" s="120">
        <f>+SUMIFS(Resultado!13:13,Resultado!$1:$1,ClasificaciónPorra!Z$4)</f>
        <v>0</v>
      </c>
      <c r="AA11" s="122">
        <f t="shared" si="2"/>
        <v>0</v>
      </c>
      <c r="AB11" s="121">
        <f t="shared" si="3"/>
        <v>1.1000000000000001E-3</v>
      </c>
    </row>
    <row r="12" spans="3:28" x14ac:dyDescent="0.2">
      <c r="C12" s="150">
        <f t="shared" si="4"/>
        <v>8</v>
      </c>
      <c r="D12" s="151">
        <f>+VLOOKUP($C12,$Q:$AB,COLUMNS($C$4:D11),0)</f>
        <v>0</v>
      </c>
      <c r="E12" s="197" t="str">
        <f>+IF($D12=0,"",VLOOKUP($C12,$Q:$AB,COLUMNS($C$4:E11),0))</f>
        <v/>
      </c>
      <c r="F12" s="198" t="str">
        <f>+IF($D12=0,"",VLOOKUP($C12,$Q:$AB,COLUMNS($C$4:F11),0))</f>
        <v/>
      </c>
      <c r="G12" s="198" t="str">
        <f>+IF($D12=0,"",VLOOKUP($C12,$Q:$AB,COLUMNS($C$4:G11),0))</f>
        <v/>
      </c>
      <c r="H12" s="198" t="str">
        <f>+IF($D12=0,"",VLOOKUP($C12,$Q:$AB,COLUMNS($C$4:H11),0))</f>
        <v/>
      </c>
      <c r="I12" s="200" t="str">
        <f>+IF($D12=0,"",VLOOKUP($C12,$Q:$AB,COLUMNS($C$4:I11),0))</f>
        <v/>
      </c>
      <c r="J12" s="127" t="str">
        <f>+IF($D12=0,"",VLOOKUP($C12,$Q:$AB,COLUMNS($C$4:J11),0))</f>
        <v/>
      </c>
      <c r="K12" s="127" t="str">
        <f>+IF($D12=0,"",VLOOKUP($C12,$Q:$AB,COLUMNS($C$4:K11),0))</f>
        <v/>
      </c>
      <c r="L12" s="127" t="str">
        <f>+IF($D12=0,"",VLOOKUP($C12,$Q:$AB,COLUMNS($C$4:L11),0))</f>
        <v/>
      </c>
      <c r="M12" s="128" t="str">
        <f>+IF($D12=0,"",VLOOKUP($C12,$Q:$AB,COLUMNS($C$4:M11),0))</f>
        <v/>
      </c>
      <c r="N12" s="129" t="str">
        <f>+IF($D12=0,"",VLOOKUP($C12,$Q:$AB,COLUMNS($C$4:N11),0))</f>
        <v/>
      </c>
      <c r="P12" s="196" t="str">
        <f t="shared" si="5"/>
        <v/>
      </c>
      <c r="Q12" s="119">
        <f t="shared" si="0"/>
        <v>15</v>
      </c>
      <c r="R12" s="126">
        <f>Resultado!B14</f>
        <v>0</v>
      </c>
      <c r="S12" s="120">
        <f>+SUMIFS(Resultado!14:14,Resultado!$1:$1,ClasificaciónPorra!S$4)</f>
        <v>0</v>
      </c>
      <c r="T12" s="120">
        <f>+SUMIFS(Resultado!14:14,Resultado!$1:$1,ClasificaciónPorra!T$4)</f>
        <v>0</v>
      </c>
      <c r="U12" s="120">
        <f>+SUMIFS(Resultado!14:14,Resultado!$1:$1,ClasificaciónPorra!U$4)</f>
        <v>0</v>
      </c>
      <c r="V12" s="120">
        <f>+SUMIFS(Resultado!14:14,Resultado!$1:$1,ClasificaciónPorra!V$4)</f>
        <v>0</v>
      </c>
      <c r="W12" s="120">
        <f t="shared" si="1"/>
        <v>0</v>
      </c>
      <c r="X12" s="120">
        <f>+SUMIFS(Resultado!14:14,Resultado!$1:$1,ClasificaciónPorra!X$4)</f>
        <v>0</v>
      </c>
      <c r="Y12" s="120">
        <f>+SUMIFS(Resultado!14:14,Resultado!$1:$1,ClasificaciónPorra!Y$4)</f>
        <v>0</v>
      </c>
      <c r="Z12" s="120">
        <f>+SUMIFS(Resultado!14:14,Resultado!$1:$1,ClasificaciónPorra!Z$4)</f>
        <v>0</v>
      </c>
      <c r="AA12" s="122">
        <f t="shared" si="2"/>
        <v>0</v>
      </c>
      <c r="AB12" s="121">
        <f t="shared" si="3"/>
        <v>1.1999999999999999E-3</v>
      </c>
    </row>
    <row r="13" spans="3:28" x14ac:dyDescent="0.2">
      <c r="C13" s="150">
        <f t="shared" si="4"/>
        <v>9</v>
      </c>
      <c r="D13" s="152">
        <f>+VLOOKUP($C13,$Q:$AB,COLUMNS($C$4:D12),0)</f>
        <v>0</v>
      </c>
      <c r="E13" s="201" t="str">
        <f>+IF($D13=0,"",VLOOKUP($C13,$Q:$AB,COLUMNS($C$4:E12),0))</f>
        <v/>
      </c>
      <c r="F13" s="202" t="str">
        <f>+IF($D13=0,"",VLOOKUP($C13,$Q:$AB,COLUMNS($C$4:F12),0))</f>
        <v/>
      </c>
      <c r="G13" s="202" t="str">
        <f>+IF($D13=0,"",VLOOKUP($C13,$Q:$AB,COLUMNS($C$4:G12),0))</f>
        <v/>
      </c>
      <c r="H13" s="202" t="str">
        <f>+IF($D13=0,"",VLOOKUP($C13,$Q:$AB,COLUMNS($C$4:H12),0))</f>
        <v/>
      </c>
      <c r="I13" s="203" t="str">
        <f>+IF($D13=0,"",VLOOKUP($C13,$Q:$AB,COLUMNS($C$4:I12),0))</f>
        <v/>
      </c>
      <c r="J13" s="130" t="str">
        <f>+IF($D13=0,"",VLOOKUP($C13,$Q:$AB,COLUMNS($C$4:J12),0))</f>
        <v/>
      </c>
      <c r="K13" s="130" t="str">
        <f>+IF($D13=0,"",VLOOKUP($C13,$Q:$AB,COLUMNS($C$4:K12),0))</f>
        <v/>
      </c>
      <c r="L13" s="130" t="str">
        <f>+IF($D13=0,"",VLOOKUP($C13,$Q:$AB,COLUMNS($C$4:L12),0))</f>
        <v/>
      </c>
      <c r="M13" s="131" t="str">
        <f>+IF($D13=0,"",VLOOKUP($C13,$Q:$AB,COLUMNS($C$4:M12),0))</f>
        <v/>
      </c>
      <c r="N13" s="132" t="str">
        <f>+IF($D13=0,"",VLOOKUP($C13,$Q:$AB,COLUMNS($C$4:N12),0))</f>
        <v/>
      </c>
      <c r="P13" s="196" t="str">
        <f t="shared" si="5"/>
        <v/>
      </c>
      <c r="Q13" s="119">
        <f t="shared" si="0"/>
        <v>14</v>
      </c>
      <c r="R13" s="126">
        <f>Resultado!B15</f>
        <v>0</v>
      </c>
      <c r="S13" s="120">
        <f>+SUMIFS(Resultado!15:15,Resultado!$1:$1,ClasificaciónPorra!S$4)</f>
        <v>0</v>
      </c>
      <c r="T13" s="120">
        <f>+SUMIFS(Resultado!15:15,Resultado!$1:$1,ClasificaciónPorra!T$4)</f>
        <v>0</v>
      </c>
      <c r="U13" s="120">
        <f>+SUMIFS(Resultado!15:15,Resultado!$1:$1,ClasificaciónPorra!U$4)</f>
        <v>0</v>
      </c>
      <c r="V13" s="120">
        <f>+SUMIFS(Resultado!15:15,Resultado!$1:$1,ClasificaciónPorra!V$4)</f>
        <v>0</v>
      </c>
      <c r="W13" s="120">
        <f t="shared" si="1"/>
        <v>0</v>
      </c>
      <c r="X13" s="120">
        <f>+SUMIFS(Resultado!15:15,Resultado!$1:$1,ClasificaciónPorra!X$4)</f>
        <v>0</v>
      </c>
      <c r="Y13" s="120">
        <f>+SUMIFS(Resultado!15:15,Resultado!$1:$1,ClasificaciónPorra!Y$4)</f>
        <v>0</v>
      </c>
      <c r="Z13" s="120">
        <f>+SUMIFS(Resultado!15:15,Resultado!$1:$1,ClasificaciónPorra!Z$4)</f>
        <v>0</v>
      </c>
      <c r="AA13" s="122">
        <f t="shared" si="2"/>
        <v>0</v>
      </c>
      <c r="AB13" s="121">
        <f t="shared" si="3"/>
        <v>1.2999999999999999E-3</v>
      </c>
    </row>
    <row r="14" spans="3:28" x14ac:dyDescent="0.2">
      <c r="C14" s="150">
        <f t="shared" si="4"/>
        <v>10</v>
      </c>
      <c r="D14" s="153">
        <f>+VLOOKUP($C14,$Q:$AB,COLUMNS($C$4:D13),0)</f>
        <v>0</v>
      </c>
      <c r="E14" s="204" t="str">
        <f>+IF($D14=0,"",VLOOKUP($C14,$Q:$AB,COLUMNS($C$4:E13),0))</f>
        <v/>
      </c>
      <c r="F14" s="205" t="str">
        <f>+IF($D14=0,"",VLOOKUP($C14,$Q:$AB,COLUMNS($C$4:F13),0))</f>
        <v/>
      </c>
      <c r="G14" s="205" t="str">
        <f>+IF($D14=0,"",VLOOKUP($C14,$Q:$AB,COLUMNS($C$4:G13),0))</f>
        <v/>
      </c>
      <c r="H14" s="205" t="str">
        <f>+IF($D14=0,"",VLOOKUP($C14,$Q:$AB,COLUMNS($C$4:H13),0))</f>
        <v/>
      </c>
      <c r="I14" s="206" t="str">
        <f>+IF($D14=0,"",VLOOKUP($C14,$Q:$AB,COLUMNS($C$4:I13),0))</f>
        <v/>
      </c>
      <c r="J14" s="133" t="str">
        <f>+IF($D14=0,"",VLOOKUP($C14,$Q:$AB,COLUMNS($C$4:J13),0))</f>
        <v/>
      </c>
      <c r="K14" s="133" t="str">
        <f>+IF($D14=0,"",VLOOKUP($C14,$Q:$AB,COLUMNS($C$4:K13),0))</f>
        <v/>
      </c>
      <c r="L14" s="133" t="str">
        <f>+IF($D14=0,"",VLOOKUP($C14,$Q:$AB,COLUMNS($C$4:L13),0))</f>
        <v/>
      </c>
      <c r="M14" s="134" t="str">
        <f>+IF($D14=0,"",VLOOKUP($C14,$Q:$AB,COLUMNS($C$4:M13),0))</f>
        <v/>
      </c>
      <c r="N14" s="135" t="str">
        <f>+IF($D14=0,"",VLOOKUP($C14,$Q:$AB,COLUMNS($C$4:N13),0))</f>
        <v/>
      </c>
      <c r="P14" s="196" t="str">
        <f t="shared" si="5"/>
        <v/>
      </c>
      <c r="Q14" s="119">
        <f t="shared" si="0"/>
        <v>13</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
      <c r="C15" s="150">
        <f t="shared" si="4"/>
        <v>11</v>
      </c>
      <c r="D15" s="151">
        <f>+VLOOKUP($C15,$Q:$AB,COLUMNS($C$4:D14),0)</f>
        <v>0</v>
      </c>
      <c r="E15" s="197" t="str">
        <f>+IF($D15=0,"",VLOOKUP($C15,$Q:$AB,COLUMNS($C$4:E14),0))</f>
        <v/>
      </c>
      <c r="F15" s="198" t="str">
        <f>+IF($D15=0,"",VLOOKUP($C15,$Q:$AB,COLUMNS($C$4:F14),0))</f>
        <v/>
      </c>
      <c r="G15" s="198" t="str">
        <f>+IF($D15=0,"",VLOOKUP($C15,$Q:$AB,COLUMNS($C$4:G14),0))</f>
        <v/>
      </c>
      <c r="H15" s="198" t="str">
        <f>+IF($D15=0,"",VLOOKUP($C15,$Q:$AB,COLUMNS($C$4:H14),0))</f>
        <v/>
      </c>
      <c r="I15" s="200" t="str">
        <f>+IF($D15=0,"",VLOOKUP($C15,$Q:$AB,COLUMNS($C$4:I14),0))</f>
        <v/>
      </c>
      <c r="J15" s="127" t="str">
        <f>+IF($D15=0,"",VLOOKUP($C15,$Q:$AB,COLUMNS($C$4:J14),0))</f>
        <v/>
      </c>
      <c r="K15" s="127" t="str">
        <f>+IF($D15=0,"",VLOOKUP($C15,$Q:$AB,COLUMNS($C$4:K14),0))</f>
        <v/>
      </c>
      <c r="L15" s="127" t="str">
        <f>+IF($D15=0,"",VLOOKUP($C15,$Q:$AB,COLUMNS($C$4:L14),0))</f>
        <v/>
      </c>
      <c r="M15" s="128" t="str">
        <f>+IF($D15=0,"",VLOOKUP($C15,$Q:$AB,COLUMNS($C$4:M14),0))</f>
        <v/>
      </c>
      <c r="N15" s="129" t="str">
        <f>+IF($D15=0,"",VLOOKUP($C15,$Q:$AB,COLUMNS($C$4:N14),0))</f>
        <v/>
      </c>
      <c r="P15" s="196" t="str">
        <f t="shared" si="5"/>
        <v/>
      </c>
      <c r="Q15" s="119">
        <f t="shared" si="0"/>
        <v>12</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
      <c r="C16" s="150">
        <f t="shared" si="4"/>
        <v>12</v>
      </c>
      <c r="D16" s="151">
        <f>+VLOOKUP($C16,$Q:$AB,COLUMNS($C$4:D15),0)</f>
        <v>0</v>
      </c>
      <c r="E16" s="197" t="str">
        <f>+IF($D16=0,"",VLOOKUP($C16,$Q:$AB,COLUMNS($C$4:E15),0))</f>
        <v/>
      </c>
      <c r="F16" s="198" t="str">
        <f>+IF($D16=0,"",VLOOKUP($C16,$Q:$AB,COLUMNS($C$4:F15),0))</f>
        <v/>
      </c>
      <c r="G16" s="198" t="str">
        <f>+IF($D16=0,"",VLOOKUP($C16,$Q:$AB,COLUMNS($C$4:G15),0))</f>
        <v/>
      </c>
      <c r="H16" s="198" t="str">
        <f>+IF($D16=0,"",VLOOKUP($C16,$Q:$AB,COLUMNS($C$4:H15),0))</f>
        <v/>
      </c>
      <c r="I16" s="200" t="str">
        <f>+IF($D16=0,"",VLOOKUP($C16,$Q:$AB,COLUMNS($C$4:I15),0))</f>
        <v/>
      </c>
      <c r="J16" s="127" t="str">
        <f>+IF($D16=0,"",VLOOKUP($C16,$Q:$AB,COLUMNS($C$4:J15),0))</f>
        <v/>
      </c>
      <c r="K16" s="127" t="str">
        <f>+IF($D16=0,"",VLOOKUP($C16,$Q:$AB,COLUMNS($C$4:K15),0))</f>
        <v/>
      </c>
      <c r="L16" s="127" t="str">
        <f>+IF($D16=0,"",VLOOKUP($C16,$Q:$AB,COLUMNS($C$4:L15),0))</f>
        <v/>
      </c>
      <c r="M16" s="128" t="str">
        <f>+IF($D16=0,"",VLOOKUP($C16,$Q:$AB,COLUMNS($C$4:M15),0))</f>
        <v/>
      </c>
      <c r="N16" s="129" t="str">
        <f>+IF($D16=0,"",VLOOKUP($C16,$Q:$AB,COLUMNS($C$4:N15),0))</f>
        <v/>
      </c>
      <c r="O16"/>
      <c r="P16" s="196" t="str">
        <f t="shared" si="5"/>
        <v/>
      </c>
      <c r="Q16" s="119">
        <f t="shared" si="0"/>
        <v>11</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
      <c r="C17" s="150">
        <f t="shared" si="4"/>
        <v>13</v>
      </c>
      <c r="D17" s="151">
        <f>+VLOOKUP($C17,$Q:$AB,COLUMNS($C$4:D16),0)</f>
        <v>0</v>
      </c>
      <c r="E17" s="197" t="str">
        <f>+IF($D17=0,"",VLOOKUP($C17,$Q:$AB,COLUMNS($C$4:E16),0))</f>
        <v/>
      </c>
      <c r="F17" s="198" t="str">
        <f>+IF($D17=0,"",VLOOKUP($C17,$Q:$AB,COLUMNS($C$4:F16),0))</f>
        <v/>
      </c>
      <c r="G17" s="198" t="str">
        <f>+IF($D17=0,"",VLOOKUP($C17,$Q:$AB,COLUMNS($C$4:G16),0))</f>
        <v/>
      </c>
      <c r="H17" s="198" t="str">
        <f>+IF($D17=0,"",VLOOKUP($C17,$Q:$AB,COLUMNS($C$4:H16),0))</f>
        <v/>
      </c>
      <c r="I17" s="200" t="str">
        <f>+IF($D17=0,"",VLOOKUP($C17,$Q:$AB,COLUMNS($C$4:I16),0))</f>
        <v/>
      </c>
      <c r="J17" s="127" t="str">
        <f>+IF($D17=0,"",VLOOKUP($C17,$Q:$AB,COLUMNS($C$4:J16),0))</f>
        <v/>
      </c>
      <c r="K17" s="127" t="str">
        <f>+IF($D17=0,"",VLOOKUP($C17,$Q:$AB,COLUMNS($C$4:K16),0))</f>
        <v/>
      </c>
      <c r="L17" s="127" t="str">
        <f>+IF($D17=0,"",VLOOKUP($C17,$Q:$AB,COLUMNS($C$4:L16),0))</f>
        <v/>
      </c>
      <c r="M17" s="128" t="str">
        <f>+IF($D17=0,"",VLOOKUP($C17,$Q:$AB,COLUMNS($C$4:M16),0))</f>
        <v/>
      </c>
      <c r="N17" s="129" t="str">
        <f>+IF($D17=0,"",VLOOKUP($C17,$Q:$AB,COLUMNS($C$4:N16),0))</f>
        <v/>
      </c>
      <c r="O17"/>
      <c r="P17" s="196" t="str">
        <f t="shared" si="5"/>
        <v/>
      </c>
      <c r="Q17" s="119">
        <f t="shared" si="0"/>
        <v>10</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
      <c r="C18" s="150">
        <f t="shared" si="4"/>
        <v>14</v>
      </c>
      <c r="D18" s="152">
        <f>+VLOOKUP($C18,$Q:$AB,COLUMNS($C$4:D17),0)</f>
        <v>0</v>
      </c>
      <c r="E18" s="201" t="str">
        <f>+IF($D18=0,"",VLOOKUP($C18,$Q:$AB,COLUMNS($C$4:E17),0))</f>
        <v/>
      </c>
      <c r="F18" s="202" t="str">
        <f>+IF($D18=0,"",VLOOKUP($C18,$Q:$AB,COLUMNS($C$4:F17),0))</f>
        <v/>
      </c>
      <c r="G18" s="202" t="str">
        <f>+IF($D18=0,"",VLOOKUP($C18,$Q:$AB,COLUMNS($C$4:G17),0))</f>
        <v/>
      </c>
      <c r="H18" s="202" t="str">
        <f>+IF($D18=0,"",VLOOKUP($C18,$Q:$AB,COLUMNS($C$4:H17),0))</f>
        <v/>
      </c>
      <c r="I18" s="203" t="str">
        <f>+IF($D18=0,"",VLOOKUP($C18,$Q:$AB,COLUMNS($C$4:I17),0))</f>
        <v/>
      </c>
      <c r="J18" s="130" t="str">
        <f>+IF($D18=0,"",VLOOKUP($C18,$Q:$AB,COLUMNS($C$4:J17),0))</f>
        <v/>
      </c>
      <c r="K18" s="130" t="str">
        <f>+IF($D18=0,"",VLOOKUP($C18,$Q:$AB,COLUMNS($C$4:K17),0))</f>
        <v/>
      </c>
      <c r="L18" s="130" t="str">
        <f>+IF($D18=0,"",VLOOKUP($C18,$Q:$AB,COLUMNS($C$4:L17),0))</f>
        <v/>
      </c>
      <c r="M18" s="131" t="str">
        <f>+IF($D18=0,"",VLOOKUP($C18,$Q:$AB,COLUMNS($C$4:M17),0))</f>
        <v/>
      </c>
      <c r="N18" s="132" t="str">
        <f>+IF($D18=0,"",VLOOKUP($C18,$Q:$AB,COLUMNS($C$4:N17),0))</f>
        <v/>
      </c>
      <c r="O18"/>
      <c r="P18" s="196" t="str">
        <f t="shared" si="5"/>
        <v/>
      </c>
      <c r="Q18" s="119">
        <f t="shared" si="0"/>
        <v>9</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
      <c r="C19" s="150">
        <f t="shared" si="4"/>
        <v>15</v>
      </c>
      <c r="D19" s="153">
        <f>+VLOOKUP($C19,$Q:$AB,COLUMNS($C$4:D18),0)</f>
        <v>0</v>
      </c>
      <c r="E19" s="204" t="str">
        <f>+IF($D19=0,"",VLOOKUP($C19,$Q:$AB,COLUMNS($C$4:E18),0))</f>
        <v/>
      </c>
      <c r="F19" s="205" t="str">
        <f>+IF($D19=0,"",VLOOKUP($C19,$Q:$AB,COLUMNS($C$4:F18),0))</f>
        <v/>
      </c>
      <c r="G19" s="205" t="str">
        <f>+IF($D19=0,"",VLOOKUP($C19,$Q:$AB,COLUMNS($C$4:G18),0))</f>
        <v/>
      </c>
      <c r="H19" s="205" t="str">
        <f>+IF($D19=0,"",VLOOKUP($C19,$Q:$AB,COLUMNS($C$4:H18),0))</f>
        <v/>
      </c>
      <c r="I19" s="206" t="str">
        <f>+IF($D19=0,"",VLOOKUP($C19,$Q:$AB,COLUMNS($C$4:I18),0))</f>
        <v/>
      </c>
      <c r="J19" s="133" t="str">
        <f>+IF($D19=0,"",VLOOKUP($C19,$Q:$AB,COLUMNS($C$4:J18),0))</f>
        <v/>
      </c>
      <c r="K19" s="133" t="str">
        <f>+IF($D19=0,"",VLOOKUP($C19,$Q:$AB,COLUMNS($C$4:K18),0))</f>
        <v/>
      </c>
      <c r="L19" s="133" t="str">
        <f>+IF($D19=0,"",VLOOKUP($C19,$Q:$AB,COLUMNS($C$4:L18),0))</f>
        <v/>
      </c>
      <c r="M19" s="134" t="str">
        <f>+IF($D19=0,"",VLOOKUP($C19,$Q:$AB,COLUMNS($C$4:M18),0))</f>
        <v/>
      </c>
      <c r="N19" s="135" t="str">
        <f>+IF($D19=0,"",VLOOKUP($C19,$Q:$AB,COLUMNS($C$4:N18),0))</f>
        <v/>
      </c>
      <c r="O19"/>
      <c r="P19" s="196" t="str">
        <f t="shared" si="5"/>
        <v/>
      </c>
      <c r="Q19" s="119">
        <f t="shared" si="0"/>
        <v>8</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
      <c r="C20" s="150">
        <f t="shared" si="4"/>
        <v>16</v>
      </c>
      <c r="D20" s="151">
        <f>+VLOOKUP($C20,$Q:$AB,COLUMNS($C$4:D19),0)</f>
        <v>0</v>
      </c>
      <c r="E20" s="197" t="str">
        <f>+IF($D20=0,"",VLOOKUP($C20,$Q:$AB,COLUMNS($C$4:E19),0))</f>
        <v/>
      </c>
      <c r="F20" s="198" t="str">
        <f>+IF($D20=0,"",VLOOKUP($C20,$Q:$AB,COLUMNS($C$4:F19),0))</f>
        <v/>
      </c>
      <c r="G20" s="198" t="str">
        <f>+IF($D20=0,"",VLOOKUP($C20,$Q:$AB,COLUMNS($C$4:G19),0))</f>
        <v/>
      </c>
      <c r="H20" s="198" t="str">
        <f>+IF($D20=0,"",VLOOKUP($C20,$Q:$AB,COLUMNS($C$4:H19),0))</f>
        <v/>
      </c>
      <c r="I20" s="200" t="str">
        <f>+IF($D20=0,"",VLOOKUP($C20,$Q:$AB,COLUMNS($C$4:I19),0))</f>
        <v/>
      </c>
      <c r="J20" s="127" t="str">
        <f>+IF($D20=0,"",VLOOKUP($C20,$Q:$AB,COLUMNS($C$4:J19),0))</f>
        <v/>
      </c>
      <c r="K20" s="127" t="str">
        <f>+IF($D20=0,"",VLOOKUP($C20,$Q:$AB,COLUMNS($C$4:K19),0))</f>
        <v/>
      </c>
      <c r="L20" s="127" t="str">
        <f>+IF($D20=0,"",VLOOKUP($C20,$Q:$AB,COLUMNS($C$4:L19),0))</f>
        <v/>
      </c>
      <c r="M20" s="128" t="str">
        <f>+IF($D20=0,"",VLOOKUP($C20,$Q:$AB,COLUMNS($C$4:M19),0))</f>
        <v/>
      </c>
      <c r="N20" s="129" t="str">
        <f>+IF($D20=0,"",VLOOKUP($C20,$Q:$AB,COLUMNS($C$4:N19),0))</f>
        <v/>
      </c>
      <c r="O20"/>
      <c r="P20" s="196" t="str">
        <f t="shared" si="5"/>
        <v/>
      </c>
      <c r="Q20" s="119">
        <f t="shared" si="0"/>
        <v>7</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
      <c r="C21" s="150">
        <f t="shared" si="4"/>
        <v>17</v>
      </c>
      <c r="D21" s="151">
        <f>+VLOOKUP($C21,$Q:$AB,COLUMNS($C$4:D20),0)</f>
        <v>0</v>
      </c>
      <c r="E21" s="197" t="str">
        <f>+IF($D21=0,"",VLOOKUP($C21,$Q:$AB,COLUMNS($C$4:E20),0))</f>
        <v/>
      </c>
      <c r="F21" s="198" t="str">
        <f>+IF($D21=0,"",VLOOKUP($C21,$Q:$AB,COLUMNS($C$4:F20),0))</f>
        <v/>
      </c>
      <c r="G21" s="198" t="str">
        <f>+IF($D21=0,"",VLOOKUP($C21,$Q:$AB,COLUMNS($C$4:G20),0))</f>
        <v/>
      </c>
      <c r="H21" s="198" t="str">
        <f>+IF($D21=0,"",VLOOKUP($C21,$Q:$AB,COLUMNS($C$4:H20),0))</f>
        <v/>
      </c>
      <c r="I21" s="200" t="str">
        <f>+IF($D21=0,"",VLOOKUP($C21,$Q:$AB,COLUMNS($C$4:I20),0))</f>
        <v/>
      </c>
      <c r="J21" s="127" t="str">
        <f>+IF($D21=0,"",VLOOKUP($C21,$Q:$AB,COLUMNS($C$4:J20),0))</f>
        <v/>
      </c>
      <c r="K21" s="127" t="str">
        <f>+IF($D21=0,"",VLOOKUP($C21,$Q:$AB,COLUMNS($C$4:K20),0))</f>
        <v/>
      </c>
      <c r="L21" s="127" t="str">
        <f>+IF($D21=0,"",VLOOKUP($C21,$Q:$AB,COLUMNS($C$4:L20),0))</f>
        <v/>
      </c>
      <c r="M21" s="128" t="str">
        <f>+IF($D21=0,"",VLOOKUP($C21,$Q:$AB,COLUMNS($C$4:M20),0))</f>
        <v/>
      </c>
      <c r="N21" s="129" t="str">
        <f>+IF($D21=0,"",VLOOKUP($C21,$Q:$AB,COLUMNS($C$4:N20),0))</f>
        <v/>
      </c>
      <c r="O21"/>
      <c r="P21" s="196" t="str">
        <f t="shared" si="5"/>
        <v/>
      </c>
      <c r="Q21" s="119">
        <f t="shared" si="0"/>
        <v>6</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
      <c r="C22" s="150">
        <f t="shared" si="4"/>
        <v>18</v>
      </c>
      <c r="D22" s="151">
        <f>+VLOOKUP($C22,$Q:$AB,COLUMNS($C$4:D21),0)</f>
        <v>0</v>
      </c>
      <c r="E22" s="197" t="str">
        <f>+IF($D22=0,"",VLOOKUP($C22,$Q:$AB,COLUMNS($C$4:E21),0))</f>
        <v/>
      </c>
      <c r="F22" s="198" t="str">
        <f>+IF($D22=0,"",VLOOKUP($C22,$Q:$AB,COLUMNS($C$4:F21),0))</f>
        <v/>
      </c>
      <c r="G22" s="198" t="str">
        <f>+IF($D22=0,"",VLOOKUP($C22,$Q:$AB,COLUMNS($C$4:G21),0))</f>
        <v/>
      </c>
      <c r="H22" s="198" t="str">
        <f>+IF($D22=0,"",VLOOKUP($C22,$Q:$AB,COLUMNS($C$4:H21),0))</f>
        <v/>
      </c>
      <c r="I22" s="200" t="str">
        <f>+IF($D22=0,"",VLOOKUP($C22,$Q:$AB,COLUMNS($C$4:I21),0))</f>
        <v/>
      </c>
      <c r="J22" s="127" t="str">
        <f>+IF($D22=0,"",VLOOKUP($C22,$Q:$AB,COLUMNS($C$4:J21),0))</f>
        <v/>
      </c>
      <c r="K22" s="127" t="str">
        <f>+IF($D22=0,"",VLOOKUP($C22,$Q:$AB,COLUMNS($C$4:K21),0))</f>
        <v/>
      </c>
      <c r="L22" s="127" t="str">
        <f>+IF($D22=0,"",VLOOKUP($C22,$Q:$AB,COLUMNS($C$4:L21),0))</f>
        <v/>
      </c>
      <c r="M22" s="128" t="str">
        <f>+IF($D22=0,"",VLOOKUP($C22,$Q:$AB,COLUMNS($C$4:M21),0))</f>
        <v/>
      </c>
      <c r="N22" s="129" t="str">
        <f>+IF($D22=0,"",VLOOKUP($C22,$Q:$AB,COLUMNS($C$4:N21),0))</f>
        <v/>
      </c>
      <c r="O22"/>
      <c r="P22" s="196" t="str">
        <f t="shared" si="5"/>
        <v/>
      </c>
      <c r="Q22" s="119">
        <f t="shared" si="0"/>
        <v>5</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
      <c r="C23" s="150">
        <f t="shared" si="4"/>
        <v>19</v>
      </c>
      <c r="D23" s="152">
        <f>+VLOOKUP($C23,$Q:$AB,COLUMNS($C$4:D22),0)</f>
        <v>0</v>
      </c>
      <c r="E23" s="201" t="str">
        <f>+IF($D23=0,"",VLOOKUP($C23,$Q:$AB,COLUMNS($C$4:E22),0))</f>
        <v/>
      </c>
      <c r="F23" s="202" t="str">
        <f>+IF($D23=0,"",VLOOKUP($C23,$Q:$AB,COLUMNS($C$4:F22),0))</f>
        <v/>
      </c>
      <c r="G23" s="202" t="str">
        <f>+IF($D23=0,"",VLOOKUP($C23,$Q:$AB,COLUMNS($C$4:G22),0))</f>
        <v/>
      </c>
      <c r="H23" s="202" t="str">
        <f>+IF($D23=0,"",VLOOKUP($C23,$Q:$AB,COLUMNS($C$4:H22),0))</f>
        <v/>
      </c>
      <c r="I23" s="203" t="str">
        <f>+IF($D23=0,"",VLOOKUP($C23,$Q:$AB,COLUMNS($C$4:I22),0))</f>
        <v/>
      </c>
      <c r="J23" s="130" t="str">
        <f>+IF($D23=0,"",VLOOKUP($C23,$Q:$AB,COLUMNS($C$4:J22),0))</f>
        <v/>
      </c>
      <c r="K23" s="130" t="str">
        <f>+IF($D23=0,"",VLOOKUP($C23,$Q:$AB,COLUMNS($C$4:K22),0))</f>
        <v/>
      </c>
      <c r="L23" s="130" t="str">
        <f>+IF($D23=0,"",VLOOKUP($C23,$Q:$AB,COLUMNS($C$4:L22),0))</f>
        <v/>
      </c>
      <c r="M23" s="131" t="str">
        <f>+IF($D23=0,"",VLOOKUP($C23,$Q:$AB,COLUMNS($C$4:M22),0))</f>
        <v/>
      </c>
      <c r="N23" s="132" t="str">
        <f>+IF($D23=0,"",VLOOKUP($C23,$Q:$AB,COLUMNS($C$4:N22),0))</f>
        <v/>
      </c>
      <c r="O23"/>
      <c r="P23" s="196" t="str">
        <f t="shared" si="5"/>
        <v/>
      </c>
      <c r="Q23" s="119">
        <f t="shared" si="0"/>
        <v>4</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
      <c r="C24" s="150">
        <f t="shared" si="4"/>
        <v>20</v>
      </c>
      <c r="D24" s="151">
        <f>+VLOOKUP($C24,$Q:$AB,COLUMNS($C$4:D23),0)</f>
        <v>0</v>
      </c>
      <c r="E24" s="197" t="str">
        <f>+IF($D24=0,"",VLOOKUP($C24,$Q:$AB,COLUMNS($C$4:E23),0))</f>
        <v/>
      </c>
      <c r="F24" s="198" t="str">
        <f>+IF($D24=0,"",VLOOKUP($C24,$Q:$AB,COLUMNS($C$4:F23),0))</f>
        <v/>
      </c>
      <c r="G24" s="198" t="str">
        <f>+IF($D24=0,"",VLOOKUP($C24,$Q:$AB,COLUMNS($C$4:G23),0))</f>
        <v/>
      </c>
      <c r="H24" s="198" t="str">
        <f>+IF($D24=0,"",VLOOKUP($C24,$Q:$AB,COLUMNS($C$4:H23),0))</f>
        <v/>
      </c>
      <c r="I24" s="200" t="str">
        <f>+IF($D24=0,"",VLOOKUP($C24,$Q:$AB,COLUMNS($C$4:I23),0))</f>
        <v/>
      </c>
      <c r="J24" s="127" t="str">
        <f>+IF($D24=0,"",VLOOKUP($C24,$Q:$AB,COLUMNS($C$4:J23),0))</f>
        <v/>
      </c>
      <c r="K24" s="127" t="str">
        <f>+IF($D24=0,"",VLOOKUP($C24,$Q:$AB,COLUMNS($C$4:K23),0))</f>
        <v/>
      </c>
      <c r="L24" s="127" t="str">
        <f>+IF($D24=0,"",VLOOKUP($C24,$Q:$AB,COLUMNS($C$4:L23),0))</f>
        <v/>
      </c>
      <c r="M24" s="128" t="str">
        <f>+IF($D24=0,"",VLOOKUP($C24,$Q:$AB,COLUMNS($C$4:M23),0))</f>
        <v/>
      </c>
      <c r="N24" s="129" t="str">
        <f>+IF($D24=0,"",VLOOKUP($C24,$Q:$AB,COLUMNS($C$4:N23),0))</f>
        <v/>
      </c>
      <c r="O24"/>
      <c r="P24" s="196" t="str">
        <f t="shared" si="5"/>
        <v/>
      </c>
      <c r="Q24" s="119">
        <f t="shared" si="0"/>
        <v>3</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25">
      <c r="C25" s="150">
        <f t="shared" si="4"/>
        <v>21</v>
      </c>
      <c r="D25" s="151">
        <f>+VLOOKUP($C25,$Q:$AB,COLUMNS($C$4:D24),0)</f>
        <v>0</v>
      </c>
      <c r="E25" s="197" t="str">
        <f>+IF($D25=0,"",VLOOKUP($C25,$Q:$AB,COLUMNS($C$4:E24),0))</f>
        <v/>
      </c>
      <c r="F25" s="198" t="str">
        <f>+IF($D25=0,"",VLOOKUP($C25,$Q:$AB,COLUMNS($C$4:F24),0))</f>
        <v/>
      </c>
      <c r="G25" s="198" t="str">
        <f>+IF($D25=0,"",VLOOKUP($C25,$Q:$AB,COLUMNS($C$4:G24),0))</f>
        <v/>
      </c>
      <c r="H25" s="198" t="str">
        <f>+IF($D25=0,"",VLOOKUP($C25,$Q:$AB,COLUMNS($C$4:H24),0))</f>
        <v/>
      </c>
      <c r="I25" s="200" t="str">
        <f>+IF($D25=0,"",VLOOKUP($C25,$Q:$AB,COLUMNS($C$4:I24),0))</f>
        <v/>
      </c>
      <c r="J25" s="127" t="str">
        <f>+IF($D25=0,"",VLOOKUP($C25,$Q:$AB,COLUMNS($C$4:J24),0))</f>
        <v/>
      </c>
      <c r="K25" s="127" t="str">
        <f>+IF($D25=0,"",VLOOKUP($C25,$Q:$AB,COLUMNS($C$4:K24),0))</f>
        <v/>
      </c>
      <c r="L25" s="127" t="str">
        <f>+IF($D25=0,"",VLOOKUP($C25,$Q:$AB,COLUMNS($C$4:L24),0))</f>
        <v/>
      </c>
      <c r="M25" s="128" t="str">
        <f>+IF($D25=0,"",VLOOKUP($C25,$Q:$AB,COLUMNS($C$4:M24),0))</f>
        <v/>
      </c>
      <c r="N25" s="129" t="str">
        <f>+IF($D25=0,"",VLOOKUP($C25,$Q:$AB,COLUMNS($C$4:N24),0))</f>
        <v/>
      </c>
      <c r="O25"/>
      <c r="P25" s="196" t="str">
        <f t="shared" si="5"/>
        <v/>
      </c>
      <c r="Q25" s="119">
        <f t="shared" si="0"/>
        <v>2</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25">
      <c r="C26" s="136">
        <f t="shared" si="4"/>
        <v>22</v>
      </c>
      <c r="D26" s="137">
        <f>+VLOOKUP($C26,$Q:$AB,COLUMNS($C$4:D25),0)</f>
        <v>0</v>
      </c>
      <c r="E26" s="136" t="str">
        <f>+IF($D26=0,"",VLOOKUP($C26,$Q:$AB,COLUMNS($C$4:E25),0))</f>
        <v/>
      </c>
      <c r="F26" s="138" t="str">
        <f>+IF($D26=0,"",VLOOKUP($C26,$Q:$AB,COLUMNS($C$4:F25),0))</f>
        <v/>
      </c>
      <c r="G26" s="138" t="str">
        <f>+IF($D26=0,"",VLOOKUP($C26,$Q:$AB,COLUMNS($C$4:G25),0))</f>
        <v/>
      </c>
      <c r="H26" s="138" t="str">
        <f>+IF($D26=0,"",VLOOKUP($C26,$Q:$AB,COLUMNS($C$4:H25),0))</f>
        <v/>
      </c>
      <c r="I26" s="139" t="str">
        <f>+IF($D26=0,"",VLOOKUP($C26,$Q:$AB,COLUMNS($C$4:I25),0))</f>
        <v/>
      </c>
      <c r="J26" s="138" t="str">
        <f>+IF($D26=0,"",VLOOKUP($C26,$Q:$AB,COLUMNS($C$4:J25),0))</f>
        <v/>
      </c>
      <c r="K26" s="138" t="str">
        <f>+IF($D26=0,"",VLOOKUP($C26,$Q:$AB,COLUMNS($C$4:K25),0))</f>
        <v/>
      </c>
      <c r="L26" s="138" t="str">
        <f>+IF($D26=0,"",VLOOKUP($C26,$Q:$AB,COLUMNS($C$4:L25),0))</f>
        <v/>
      </c>
      <c r="M26" s="139" t="str">
        <f>+IF($D26=0,"",VLOOKUP($C26,$Q:$AB,COLUMNS($C$4:M25),0))</f>
        <v/>
      </c>
      <c r="N26" s="140" t="str">
        <f>+IF($D26=0,"",VLOOKUP($C26,$Q:$AB,COLUMNS($C$4:N25),0))</f>
        <v/>
      </c>
      <c r="O26"/>
      <c r="P26" s="196" t="str">
        <f t="shared" si="5"/>
        <v/>
      </c>
      <c r="Q26" s="119">
        <f t="shared" si="0"/>
        <v>1</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
      <c r="Q29"/>
    </row>
    <row r="30" spans="3:28" x14ac:dyDescent="0.2">
      <c r="Q30"/>
    </row>
    <row r="31" spans="3:28" x14ac:dyDescent="0.2">
      <c r="Q31"/>
    </row>
    <row r="32" spans="3:28" ht="14.25" customHeight="1" x14ac:dyDescent="0.2">
      <c r="Q32"/>
    </row>
    <row r="33" spans="17:18" x14ac:dyDescent="0.2">
      <c r="Q33"/>
      <c r="R33" s="82"/>
    </row>
    <row r="34" spans="17:18" x14ac:dyDescent="0.2">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I16" sqref="I16"/>
    </sheetView>
  </sheetViews>
  <sheetFormatPr defaultColWidth="10.76171875" defaultRowHeight="15" x14ac:dyDescent="0.2"/>
  <cols>
    <col min="1" max="1" width="4.5703125" customWidth="1"/>
    <col min="2" max="2" width="2.5546875" customWidth="1"/>
    <col min="3" max="3" width="15.6015625" customWidth="1"/>
    <col min="4" max="4" width="10.625" customWidth="1"/>
    <col min="5" max="5" width="7.53125" customWidth="1"/>
    <col min="6" max="7" width="10.625" customWidth="1"/>
    <col min="8" max="8" width="7.53125" customWidth="1"/>
    <col min="9" max="10" width="10.625" customWidth="1"/>
    <col min="11" max="11" width="7.53125" customWidth="1"/>
    <col min="12" max="13" width="10.625" customWidth="1"/>
    <col min="14" max="14" width="7.53125" customWidth="1"/>
    <col min="15" max="15" width="10.625" customWidth="1"/>
    <col min="16" max="16" width="2.5546875" customWidth="1"/>
    <col min="18" max="18" width="2.5546875" customWidth="1"/>
    <col min="19" max="19" width="11.703125" customWidth="1"/>
    <col min="20" max="27" width="14.52734375" customWidth="1"/>
    <col min="28" max="28" width="2.5546875" customWidth="1"/>
    <col min="30" max="30" width="18.83203125" style="207" bestFit="1" customWidth="1"/>
    <col min="31" max="31" width="10.76171875" style="207"/>
  </cols>
  <sheetData>
    <row r="1" spans="1:31" ht="15" customHeight="1" x14ac:dyDescent="0.2">
      <c r="A1" s="173">
        <v>1</v>
      </c>
      <c r="C1" s="207"/>
      <c r="D1" s="207">
        <f>+A1</f>
        <v>1</v>
      </c>
      <c r="E1" s="207"/>
      <c r="F1" s="207"/>
      <c r="G1" s="207">
        <f>+D1+1</f>
        <v>2</v>
      </c>
      <c r="H1" s="207"/>
      <c r="I1" s="207"/>
      <c r="J1" s="207">
        <f t="shared" ref="J1" si="0">+G1+1</f>
        <v>3</v>
      </c>
      <c r="K1" s="207"/>
      <c r="L1" s="207"/>
      <c r="M1" s="207">
        <f t="shared" ref="M1" si="1">+J1+1</f>
        <v>4</v>
      </c>
      <c r="S1" s="176" t="s">
        <v>60</v>
      </c>
      <c r="T1" s="208"/>
      <c r="U1" s="208"/>
      <c r="V1" s="208"/>
      <c r="W1" s="208"/>
      <c r="X1" s="208"/>
      <c r="Y1" s="208"/>
      <c r="Z1" s="208"/>
      <c r="AA1" s="208"/>
      <c r="AD1" s="207" t="s">
        <v>174</v>
      </c>
      <c r="AE1" s="207">
        <v>4</v>
      </c>
    </row>
    <row r="2" spans="1:31" ht="15" customHeight="1" thickBot="1" x14ac:dyDescent="0.25">
      <c r="C2" s="207"/>
      <c r="D2" s="207"/>
      <c r="E2" s="207"/>
      <c r="F2" s="207"/>
      <c r="G2" s="207"/>
      <c r="H2" s="207"/>
      <c r="I2" s="207"/>
      <c r="J2" s="207"/>
      <c r="K2" s="207"/>
      <c r="L2" s="207"/>
      <c r="M2" s="207"/>
      <c r="AD2" s="207" t="s">
        <v>60</v>
      </c>
      <c r="AE2" s="207">
        <v>8</v>
      </c>
    </row>
    <row r="3" spans="1:31" ht="15" customHeight="1" thickBot="1" x14ac:dyDescent="0.25">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
      <c r="B4" s="214"/>
      <c r="C4" s="293" t="s">
        <v>191</v>
      </c>
      <c r="D4" s="294"/>
      <c r="E4" s="294"/>
      <c r="F4" s="294"/>
      <c r="G4" s="294"/>
      <c r="H4" s="294"/>
      <c r="I4" s="294"/>
      <c r="J4" s="294"/>
      <c r="K4" s="294"/>
      <c r="L4" s="294"/>
      <c r="M4" s="294"/>
      <c r="N4" s="294"/>
      <c r="O4" s="295"/>
      <c r="P4" s="123"/>
      <c r="R4" s="214"/>
      <c r="S4" s="296" t="s">
        <v>175</v>
      </c>
      <c r="T4" s="297"/>
      <c r="U4" s="297"/>
      <c r="V4" s="297"/>
      <c r="W4" s="297"/>
      <c r="X4" s="297"/>
      <c r="Y4" s="297"/>
      <c r="Z4" s="297"/>
      <c r="AA4" s="298"/>
      <c r="AB4" s="123"/>
      <c r="AD4" s="207" t="s">
        <v>11</v>
      </c>
      <c r="AE4" s="207">
        <v>3</v>
      </c>
    </row>
    <row r="5" spans="1:31" ht="20.100000000000001" customHeight="1" x14ac:dyDescent="0.2">
      <c r="B5" s="214"/>
      <c r="C5" s="146"/>
      <c r="D5" s="299" t="str">
        <f>"Grupo "&amp;VLOOKUP(D1,Aux!$F:$O,8,0)</f>
        <v>Grupo A</v>
      </c>
      <c r="E5" s="300"/>
      <c r="F5" s="301"/>
      <c r="G5" s="299" t="str">
        <f>"Grupo "&amp;VLOOKUP(G1,Aux!$F:$O,8,0)</f>
        <v>Grupo A</v>
      </c>
      <c r="H5" s="300"/>
      <c r="I5" s="301"/>
      <c r="J5" s="299" t="str">
        <f>"Grupo "&amp;VLOOKUP(J1,Aux!$F:$O,8,0)</f>
        <v>Grupo B</v>
      </c>
      <c r="K5" s="300"/>
      <c r="L5" s="301"/>
      <c r="M5" s="299" t="str">
        <f>"Grupo "&amp;VLOOKUP(M1,Aux!$F:$O,8,0)</f>
        <v>Grupo B</v>
      </c>
      <c r="N5" s="300"/>
      <c r="O5" s="301"/>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
      <c r="B6" s="214"/>
      <c r="C6" s="146"/>
      <c r="D6" s="302" t="str">
        <f>VLOOKUP(D1,Aux!$F:$O,5,0)</f>
        <v>Argentina</v>
      </c>
      <c r="E6" s="217">
        <f>VLOOKUP(D1,Aux!$F:$O,3,0)</f>
        <v>45463.833333333336</v>
      </c>
      <c r="F6" s="302" t="str">
        <f>VLOOKUP(D1,Aux!$F:$O,6,0)</f>
        <v>Canadá</v>
      </c>
      <c r="G6" s="302" t="str">
        <f>VLOOKUP(G1,Aux!$F:$O,5,0)</f>
        <v>Perú</v>
      </c>
      <c r="H6" s="217">
        <f>VLOOKUP(G1,Aux!$F:$O,3,0)</f>
        <v>45464.791666666664</v>
      </c>
      <c r="I6" s="302" t="str">
        <f>VLOOKUP(G1,Aux!$F:$O,6,0)</f>
        <v>Chile</v>
      </c>
      <c r="J6" s="302" t="str">
        <f>VLOOKUP(J1,Aux!$F:$O,5,0)</f>
        <v>Ecuador</v>
      </c>
      <c r="K6" s="217">
        <f>VLOOKUP(J1,Aux!$F:$O,3,0)</f>
        <v>45465.625</v>
      </c>
      <c r="L6" s="302" t="str">
        <f>VLOOKUP(J1,Aux!$F:$O,6,0)</f>
        <v>Venezuela</v>
      </c>
      <c r="M6" s="302" t="str">
        <f>VLOOKUP(M1,Aux!$F:$O,5,0)</f>
        <v>México</v>
      </c>
      <c r="N6" s="217">
        <f>VLOOKUP(M1,Aux!$F:$O,3,0)</f>
        <v>45465.833333333336</v>
      </c>
      <c r="O6" s="302" t="str">
        <f>VLOOKUP(M1,Aux!$F:$O,6,0)</f>
        <v>Jamaica</v>
      </c>
      <c r="P6" s="123"/>
      <c r="R6" s="214"/>
      <c r="S6" s="218" t="str">
        <f>IF(ClasificaciónPorra!D5=0,"",ClasificaciónPorra!D5)</f>
        <v/>
      </c>
      <c r="T6" s="171" t="str" cm="1">
        <f t="array" ref="T6">IF(OR(T$5="",$S6=""),"",IFERROR(INDEX(TotalApuestas!$A$1:$GL$50000,MATCH(Seguimiento!$S6,TotalApuestas!$B$1:$B$50000,0),MATCH("Equipos"&amp;Seguimiento!$S$1,Resultado!$4:$4,0)+COLUMNS($T$1:T$1)-1),0))</f>
        <v/>
      </c>
      <c r="U6" s="171" t="str" cm="1">
        <f t="array" ref="U6">IF(OR(U$5="",$S6=""),"",IFERROR(INDEX(TotalApuestas!$A$1:$GL$50000,MATCH(Seguimiento!$S6,TotalApuestas!$B$1:$B$50000,0),MATCH("Equipos"&amp;Seguimiento!$S$1,Resultado!$4:$4,0)+COLUMNS($T$1:U$1)-1),0))</f>
        <v/>
      </c>
      <c r="V6" s="171" t="str" cm="1">
        <f t="array" ref="V6">IF(OR(V$5="",$S6=""),"",IFERROR(INDEX(TotalApuestas!$A$1:$GL$50000,MATCH(Seguimiento!$S6,TotalApuestas!$B$1:$B$50000,0),MATCH("Equipos"&amp;Seguimiento!$S$1,Resultado!$4:$4,0)+COLUMNS($T$1:V$1)-1),0))</f>
        <v/>
      </c>
      <c r="W6" s="171" t="str" cm="1">
        <f t="array" ref="W6">IF(OR(W$5="",$S6=""),"",IFERROR(INDEX(TotalApuestas!$A$1:$GL$50000,MATCH(Seguimiento!$S6,TotalApuestas!$B$1:$B$50000,0),MATCH("Equipos"&amp;Seguimiento!$S$1,Resultado!$4:$4,0)+COLUMNS($T$1:W$1)-1),0))</f>
        <v/>
      </c>
      <c r="X6" s="171" t="str" cm="1">
        <f t="array" ref="X6">IF(OR(X$5="",$S6=""),"",IFERROR(INDEX(TotalApuestas!$A$1:$GL$50000,MATCH(Seguimiento!$S6,TotalApuestas!$B$1:$B$50000,0),MATCH("Equipos"&amp;Seguimiento!$S$1,Resultado!$4:$4,0)+COLUMNS($T$1:X$1)-1),0))</f>
        <v/>
      </c>
      <c r="Y6" s="171" t="str" cm="1">
        <f t="array" ref="Y6">IF(OR(Y$5="",$S6=""),"",IFERROR(INDEX(TotalApuestas!$A$1:$GL$50000,MATCH(Seguimiento!$S6,TotalApuestas!$B$1:$B$50000,0),MATCH("Equipos"&amp;Seguimiento!$S$1,Resultado!$4:$4,0)+COLUMNS($T$1:Y$1)-1),0))</f>
        <v/>
      </c>
      <c r="Z6" s="171" t="str" cm="1">
        <f t="array" ref="Z6">IF(OR(Z$5="",$S6=""),"",IFERROR(INDEX(TotalApuestas!$A$1:$GL$50000,MATCH(Seguimiento!$S6,TotalApuestas!$B$1:$B$50000,0),MATCH("Equipos"&amp;Seguimiento!$S$1,Resultado!$4:$4,0)+COLUMNS($T$1:Z$1)-1),0))</f>
        <v/>
      </c>
      <c r="AA6" s="219" t="str" cm="1">
        <f t="array" ref="AA6">IF(OR(AA$5="",$S6=""),"",IFERROR(INDEX(TotalApuestas!$A$1:$GL$50000,MATCH(Seguimiento!$S6,TotalApuestas!$B$1:$B$50000,0),MATCH("Equipos"&amp;Seguimiento!$S$1,Resultado!$4:$4,0)+COLUMNS($T$1:AA$1)-1),0))</f>
        <v/>
      </c>
      <c r="AB6" s="123"/>
      <c r="AD6"/>
      <c r="AE6"/>
    </row>
    <row r="7" spans="1:31" ht="20.100000000000001" customHeight="1" x14ac:dyDescent="0.2">
      <c r="B7" s="214"/>
      <c r="C7" s="146"/>
      <c r="D7" s="302"/>
      <c r="E7" s="220">
        <f>+E6</f>
        <v>45463.833333333336</v>
      </c>
      <c r="F7" s="302"/>
      <c r="G7" s="302"/>
      <c r="H7" s="220">
        <f>+H6</f>
        <v>45464.791666666664</v>
      </c>
      <c r="I7" s="302"/>
      <c r="J7" s="302"/>
      <c r="K7" s="220">
        <f>+K6</f>
        <v>45465.625</v>
      </c>
      <c r="L7" s="302"/>
      <c r="M7" s="302"/>
      <c r="N7" s="220">
        <f>+N6</f>
        <v>45465.833333333336</v>
      </c>
      <c r="O7" s="302"/>
      <c r="P7" s="123"/>
      <c r="R7" s="214"/>
      <c r="S7" s="218" t="str">
        <f>IF(ClasificaciónPorra!D6=0,"",ClasificaciónPorra!D6)</f>
        <v/>
      </c>
      <c r="T7" s="171" t="str" cm="1">
        <f t="array" ref="T7">IF(OR(T$5="",$S7=""),"",IFERROR(INDEX(TotalApuestas!$A$1:$GL$50000,MATCH(Seguimiento!$S7,TotalApuestas!$B$1:$B$50000,0),MATCH("Equipos"&amp;Seguimiento!$S$1,Resultado!$4:$4,0)+COLUMNS($T$1:T$1)-1),0))</f>
        <v/>
      </c>
      <c r="U7" s="171" t="str" cm="1">
        <f t="array" ref="U7">IF(OR(U$5="",$S7=""),"",IFERROR(INDEX(TotalApuestas!$A$1:$GL$50000,MATCH(Seguimiento!$S7,TotalApuestas!$B$1:$B$50000,0),MATCH("Equipos"&amp;Seguimiento!$S$1,Resultado!$4:$4,0)+COLUMNS($T$1:U$1)-1),0))</f>
        <v/>
      </c>
      <c r="V7" s="171" t="str" cm="1">
        <f t="array" ref="V7">IF(OR(V$5="",$S7=""),"",IFERROR(INDEX(TotalApuestas!$A$1:$GL$50000,MATCH(Seguimiento!$S7,TotalApuestas!$B$1:$B$50000,0),MATCH("Equipos"&amp;Seguimiento!$S$1,Resultado!$4:$4,0)+COLUMNS($T$1:V$1)-1),0))</f>
        <v/>
      </c>
      <c r="W7" s="171" t="str" cm="1">
        <f t="array" ref="W7">IF(OR(W$5="",$S7=""),"",IFERROR(INDEX(TotalApuestas!$A$1:$GL$50000,MATCH(Seguimiento!$S7,TotalApuestas!$B$1:$B$50000,0),MATCH("Equipos"&amp;Seguimiento!$S$1,Resultado!$4:$4,0)+COLUMNS($T$1:W$1)-1),0))</f>
        <v/>
      </c>
      <c r="X7" s="171" t="str" cm="1">
        <f t="array" ref="X7">IF(OR(X$5="",$S7=""),"",IFERROR(INDEX(TotalApuestas!$A$1:$GL$50000,MATCH(Seguimiento!$S7,TotalApuestas!$B$1:$B$50000,0),MATCH("Equipos"&amp;Seguimiento!$S$1,Resultado!$4:$4,0)+COLUMNS($T$1:X$1)-1),0))</f>
        <v/>
      </c>
      <c r="Y7" s="171" t="str" cm="1">
        <f t="array" ref="Y7">IF(OR(Y$5="",$S7=""),"",IFERROR(INDEX(TotalApuestas!$A$1:$GL$50000,MATCH(Seguimiento!$S7,TotalApuestas!$B$1:$B$50000,0),MATCH("Equipos"&amp;Seguimiento!$S$1,Resultado!$4:$4,0)+COLUMNS($T$1:Y$1)-1),0))</f>
        <v/>
      </c>
      <c r="Z7" s="171" t="str" cm="1">
        <f t="array" ref="Z7">IF(OR(Z$5="",$S7=""),"",IFERROR(INDEX(TotalApuestas!$A$1:$GL$50000,MATCH(Seguimiento!$S7,TotalApuestas!$B$1:$B$50000,0),MATCH("Equipos"&amp;Seguimiento!$S$1,Resultado!$4:$4,0)+COLUMNS($T$1:Z$1)-1),0))</f>
        <v/>
      </c>
      <c r="AA7" s="219" t="str" cm="1">
        <f t="array" ref="AA7">IF(OR(AA$5="",$S7=""),"",IFERROR(INDEX(TotalApuestas!$A$1:$GL$50000,MATCH(Seguimiento!$S7,TotalApuestas!$B$1:$B$50000,0),MATCH("Equipos"&amp;Seguimiento!$S$1,Resultado!$4:$4,0)+COLUMNS($T$1:AA$1)-1),0))</f>
        <v/>
      </c>
      <c r="AB7" s="123"/>
      <c r="AD7"/>
      <c r="AE7"/>
    </row>
    <row r="8" spans="1:31" ht="15" customHeight="1" thickBot="1" x14ac:dyDescent="0.25">
      <c r="B8" s="214"/>
      <c r="C8" s="112" t="s">
        <v>99</v>
      </c>
      <c r="D8" s="221">
        <f ca="1">VLOOKUP(D1,Aux!$F:$O,9,0)</f>
        <v>1</v>
      </c>
      <c r="E8" s="222" t="str">
        <f ca="1">+IF(D8="","",IF(D8&gt;F8,1,IF(D8=F8,"X",2)))</f>
        <v>X</v>
      </c>
      <c r="F8" s="223">
        <f ca="1">VLOOKUP(D1,Aux!$F:$O,10,0)</f>
        <v>1</v>
      </c>
      <c r="G8" s="221">
        <f ca="1">VLOOKUP(G1,Aux!$F:$O,9,0)</f>
        <v>2</v>
      </c>
      <c r="H8" s="222" t="str">
        <f ca="1">+IF(G8="","",IF(G8&gt;I8,1,IF(G8=I8,"X",2)))</f>
        <v>X</v>
      </c>
      <c r="I8" s="223">
        <f ca="1">VLOOKUP(G1,Aux!$F:$O,10,0)</f>
        <v>2</v>
      </c>
      <c r="J8" s="221">
        <f ca="1">VLOOKUP(J1,Aux!$F:$O,9,0)</f>
        <v>1</v>
      </c>
      <c r="K8" s="222" t="str">
        <f ca="1">+IF(J8="","",IF(J8&gt;L8,1,IF(J8=L8,"X",2)))</f>
        <v>X</v>
      </c>
      <c r="L8" s="223">
        <f ca="1">VLOOKUP(J1,Aux!$F:$O,10,0)</f>
        <v>1</v>
      </c>
      <c r="M8" s="221">
        <f ca="1">VLOOKUP(M1,Aux!$F:$O,9,0)</f>
        <v>3</v>
      </c>
      <c r="N8" s="222">
        <f ca="1">+IF(M8="","",IF(M8&gt;O8,1,IF(M8=O8,"X",2)))</f>
        <v>1</v>
      </c>
      <c r="O8" s="223">
        <f ca="1">VLOOKUP(M1,Aux!$F:$O,10,0)</f>
        <v>1</v>
      </c>
      <c r="P8" s="123"/>
      <c r="R8" s="214"/>
      <c r="S8" s="218" t="str">
        <f>IF(ClasificaciónPorra!D7=0,"",ClasificaciónPorra!D7)</f>
        <v/>
      </c>
      <c r="T8" s="171" t="str" cm="1">
        <f t="array" ref="T8">IF(OR(T$5="",$S8=""),"",IFERROR(INDEX(TotalApuestas!$A$1:$GL$50000,MATCH(Seguimiento!$S8,TotalApuestas!$B$1:$B$50000,0),MATCH("Equipos"&amp;Seguimiento!$S$1,Resultado!$4:$4,0)+COLUMNS($T$1:T$1)-1),0))</f>
        <v/>
      </c>
      <c r="U8" s="171" t="str" cm="1">
        <f t="array" ref="U8">IF(OR(U$5="",$S8=""),"",IFERROR(INDEX(TotalApuestas!$A$1:$GL$50000,MATCH(Seguimiento!$S8,TotalApuestas!$B$1:$B$50000,0),MATCH("Equipos"&amp;Seguimiento!$S$1,Resultado!$4:$4,0)+COLUMNS($T$1:U$1)-1),0))</f>
        <v/>
      </c>
      <c r="V8" s="171" t="str" cm="1">
        <f t="array" ref="V8">IF(OR(V$5="",$S8=""),"",IFERROR(INDEX(TotalApuestas!$A$1:$GL$50000,MATCH(Seguimiento!$S8,TotalApuestas!$B$1:$B$50000,0),MATCH("Equipos"&amp;Seguimiento!$S$1,Resultado!$4:$4,0)+COLUMNS($T$1:V$1)-1),0))</f>
        <v/>
      </c>
      <c r="W8" s="171" t="str" cm="1">
        <f t="array" ref="W8">IF(OR(W$5="",$S8=""),"",IFERROR(INDEX(TotalApuestas!$A$1:$GL$50000,MATCH(Seguimiento!$S8,TotalApuestas!$B$1:$B$50000,0),MATCH("Equipos"&amp;Seguimiento!$S$1,Resultado!$4:$4,0)+COLUMNS($T$1:W$1)-1),0))</f>
        <v/>
      </c>
      <c r="X8" s="171" t="str" cm="1">
        <f t="array" ref="X8">IF(OR(X$5="",$S8=""),"",IFERROR(INDEX(TotalApuestas!$A$1:$GL$50000,MATCH(Seguimiento!$S8,TotalApuestas!$B$1:$B$50000,0),MATCH("Equipos"&amp;Seguimiento!$S$1,Resultado!$4:$4,0)+COLUMNS($T$1:X$1)-1),0))</f>
        <v/>
      </c>
      <c r="Y8" s="171" t="str" cm="1">
        <f t="array" ref="Y8">IF(OR(Y$5="",$S8=""),"",IFERROR(INDEX(TotalApuestas!$A$1:$GL$50000,MATCH(Seguimiento!$S8,TotalApuestas!$B$1:$B$50000,0),MATCH("Equipos"&amp;Seguimiento!$S$1,Resultado!$4:$4,0)+COLUMNS($T$1:Y$1)-1),0))</f>
        <v/>
      </c>
      <c r="Z8" s="171" t="str" cm="1">
        <f t="array" ref="Z8">IF(OR(Z$5="",$S8=""),"",IFERROR(INDEX(TotalApuestas!$A$1:$GL$50000,MATCH(Seguimiento!$S8,TotalApuestas!$B$1:$B$50000,0),MATCH("Equipos"&amp;Seguimiento!$S$1,Resultado!$4:$4,0)+COLUMNS($T$1:Z$1)-1),0))</f>
        <v/>
      </c>
      <c r="AA8" s="219" t="str" cm="1">
        <f t="array" ref="AA8">IF(OR(AA$5="",$S8=""),"",IFERROR(INDEX(TotalApuestas!$A$1:$GL$50000,MATCH(Seguimiento!$S8,TotalApuestas!$B$1:$B$50000,0),MATCH("Equipos"&amp;Seguimiento!$S$1,Resultado!$4:$4,0)+COLUMNS($T$1:AA$1)-1),0))</f>
        <v/>
      </c>
      <c r="AB8" s="123"/>
      <c r="AD8"/>
      <c r="AE8"/>
    </row>
    <row r="9" spans="1:31" ht="15" customHeight="1" x14ac:dyDescent="0.2">
      <c r="B9" s="214"/>
      <c r="P9" s="123"/>
      <c r="R9" s="214"/>
      <c r="S9" s="218" t="str">
        <f>IF(ClasificaciónPorra!D8=0,"",ClasificaciónPorra!D8)</f>
        <v/>
      </c>
      <c r="T9" s="171" t="str" cm="1">
        <f t="array" ref="T9">IF(OR(T$5="",$S9=""),"",IFERROR(INDEX(TotalApuestas!$A$1:$GL$50000,MATCH(Seguimiento!$S9,TotalApuestas!$B$1:$B$50000,0),MATCH("Equipos"&amp;Seguimiento!$S$1,Resultado!$4:$4,0)+COLUMNS($T$1:T$1)-1),0))</f>
        <v/>
      </c>
      <c r="U9" s="171" t="str" cm="1">
        <f t="array" ref="U9">IF(OR(U$5="",$S9=""),"",IFERROR(INDEX(TotalApuestas!$A$1:$GL$50000,MATCH(Seguimiento!$S9,TotalApuestas!$B$1:$B$50000,0),MATCH("Equipos"&amp;Seguimiento!$S$1,Resultado!$4:$4,0)+COLUMNS($T$1:U$1)-1),0))</f>
        <v/>
      </c>
      <c r="V9" s="171" t="str" cm="1">
        <f t="array" ref="V9">IF(OR(V$5="",$S9=""),"",IFERROR(INDEX(TotalApuestas!$A$1:$GL$50000,MATCH(Seguimiento!$S9,TotalApuestas!$B$1:$B$50000,0),MATCH("Equipos"&amp;Seguimiento!$S$1,Resultado!$4:$4,0)+COLUMNS($T$1:V$1)-1),0))</f>
        <v/>
      </c>
      <c r="W9" s="171" t="str" cm="1">
        <f t="array" ref="W9">IF(OR(W$5="",$S9=""),"",IFERROR(INDEX(TotalApuestas!$A$1:$GL$50000,MATCH(Seguimiento!$S9,TotalApuestas!$B$1:$B$50000,0),MATCH("Equipos"&amp;Seguimiento!$S$1,Resultado!$4:$4,0)+COLUMNS($T$1:W$1)-1),0))</f>
        <v/>
      </c>
      <c r="X9" s="171" t="str" cm="1">
        <f t="array" ref="X9">IF(OR(X$5="",$S9=""),"",IFERROR(INDEX(TotalApuestas!$A$1:$GL$50000,MATCH(Seguimiento!$S9,TotalApuestas!$B$1:$B$50000,0),MATCH("Equipos"&amp;Seguimiento!$S$1,Resultado!$4:$4,0)+COLUMNS($T$1:X$1)-1),0))</f>
        <v/>
      </c>
      <c r="Y9" s="171" t="str" cm="1">
        <f t="array" ref="Y9">IF(OR(Y$5="",$S9=""),"",IFERROR(INDEX(TotalApuestas!$A$1:$GL$50000,MATCH(Seguimiento!$S9,TotalApuestas!$B$1:$B$50000,0),MATCH("Equipos"&amp;Seguimiento!$S$1,Resultado!$4:$4,0)+COLUMNS($T$1:Y$1)-1),0))</f>
        <v/>
      </c>
      <c r="Z9" s="171" t="str" cm="1">
        <f t="array" ref="Z9">IF(OR(Z$5="",$S9=""),"",IFERROR(INDEX(TotalApuestas!$A$1:$GL$50000,MATCH(Seguimiento!$S9,TotalApuestas!$B$1:$B$50000,0),MATCH("Equipos"&amp;Seguimiento!$S$1,Resultado!$4:$4,0)+COLUMNS($T$1:Z$1)-1),0))</f>
        <v/>
      </c>
      <c r="AA9" s="219" t="str" cm="1">
        <f t="array" ref="AA9">IF(OR(AA$5="",$S9=""),"",IFERROR(INDEX(TotalApuestas!$A$1:$GL$50000,MATCH(Seguimiento!$S9,TotalApuestas!$B$1:$B$50000,0),MATCH("Equipos"&amp;Seguimiento!$S$1,Resultado!$4:$4,0)+COLUMNS($T$1:AA$1)-1),0))</f>
        <v/>
      </c>
      <c r="AB9" s="123"/>
      <c r="AD9"/>
      <c r="AE9"/>
    </row>
    <row r="10" spans="1:31" ht="15" customHeight="1" x14ac:dyDescent="0.2">
      <c r="B10" s="214"/>
      <c r="C10" s="224" t="str">
        <f>IF(ClasificaciónPorra!D5=0,"",ClasificaciónPorra!D5)</f>
        <v/>
      </c>
      <c r="D10" s="225" t="str">
        <f>IF($C10="","",INDEX(TotalApuestas!$A$1:$GL$50000,MATCH(Seguimiento!$C10,TotalApuestas!$B$1:$B$50000,0),MATCH(Seguimiento!D$1,Resultado!$2:$2,0)))</f>
        <v/>
      </c>
      <c r="E10" s="226" t="str">
        <f t="shared" ref="E10" si="2">+IF(D10="","",IF(D10&gt;F10,1,IF(D10=F10,"X",2)))</f>
        <v/>
      </c>
      <c r="F10" s="225" t="str" cm="1">
        <f t="array" ref="F10">IF($C10="","",INDEX(TotalApuestas!$A$1:$GL$50000,MATCH(Seguimiento!$C10,TotalApuestas!$B$1:$B$50000,0),MATCH(Seguimiento!D$1,Resultado!$2:$2,0)+1))</f>
        <v/>
      </c>
      <c r="G10" s="227" t="str">
        <f>IF($C10="","",INDEX(TotalApuestas!$A$1:$GL$50000,MATCH(Seguimiento!$C10,TotalApuestas!$B$1:$B$50000,0),MATCH(Seguimiento!G$1,Resultado!$2:$2,0)))</f>
        <v/>
      </c>
      <c r="H10" s="226" t="str">
        <f t="shared" ref="H10" si="3">+IF(G10="","",IF(G10&gt;I10,1,IF(G10=I10,"X",2)))</f>
        <v/>
      </c>
      <c r="I10" s="228" t="str" cm="1">
        <f t="array" ref="I10">IF($C10="","",INDEX(TotalApuestas!$A$1:$GL$50000,MATCH(Seguimiento!$C10,TotalApuestas!$B$1:$B$50000,0),MATCH(Seguimiento!G$1,Resultado!$2:$2,0)+1))</f>
        <v/>
      </c>
      <c r="J10" s="225" t="str">
        <f>IF($C10="","",INDEX(TotalApuestas!$A$1:$GL$50000,MATCH(Seguimiento!$C10,TotalApuestas!$B$1:$B$50000,0),MATCH(Seguimiento!J$1,Resultado!$2:$2,0)))</f>
        <v/>
      </c>
      <c r="K10" s="226" t="str">
        <f t="shared" ref="K10" si="4">+IF(J10="","",IF(J10&gt;L10,1,IF(J10=L10,"X",2)))</f>
        <v/>
      </c>
      <c r="L10" s="225" t="str" cm="1">
        <f t="array" ref="L10">IF($C10="","",INDEX(TotalApuestas!$A$1:$GL$50000,MATCH(Seguimiento!$C10,TotalApuestas!$B$1:$B$50000,0),MATCH(Seguimiento!J$1,Resultado!$2:$2,0)+1))</f>
        <v/>
      </c>
      <c r="M10" s="227" t="str">
        <f>IF($C10="","",INDEX(TotalApuestas!$A$1:$GL$50000,MATCH(Seguimiento!$C10,TotalApuestas!$B$1:$B$50000,0),MATCH(Seguimiento!M$1,Resultado!$2:$2,0)))</f>
        <v/>
      </c>
      <c r="N10" s="226" t="str">
        <f t="shared" ref="N10" si="5">+IF(M10="","",IF(M10&gt;O10,1,IF(M10=O10,"X",2)))</f>
        <v/>
      </c>
      <c r="O10" s="228" t="str" cm="1">
        <f t="array" ref="O10">IF($C10="","",INDEX(TotalApuestas!$A$1:$GL$50000,MATCH(Seguimiento!$C10,TotalApuestas!$B$1:$B$50000,0),MATCH(Seguimiento!M$1,Resultado!$2:$2,0)+1))</f>
        <v/>
      </c>
      <c r="P10" s="123"/>
      <c r="R10" s="214"/>
      <c r="S10" s="218" t="str">
        <f>IF(ClasificaciónPorra!D9=0,"",ClasificaciónPorra!D9)</f>
        <v/>
      </c>
      <c r="T10" s="171" t="str" cm="1">
        <f t="array" ref="T10">IF(OR(T$5="",$S10=""),"",IFERROR(INDEX(TotalApuestas!$A$1:$GL$50000,MATCH(Seguimiento!$S10,TotalApuestas!$B$1:$B$50000,0),MATCH("Equipos"&amp;Seguimiento!$S$1,Resultado!$4:$4,0)+COLUMNS($T$1:T$1)-1),0))</f>
        <v/>
      </c>
      <c r="U10" s="171" t="str" cm="1">
        <f t="array" ref="U10">IF(OR(U$5="",$S10=""),"",IFERROR(INDEX(TotalApuestas!$A$1:$GL$50000,MATCH(Seguimiento!$S10,TotalApuestas!$B$1:$B$50000,0),MATCH("Equipos"&amp;Seguimiento!$S$1,Resultado!$4:$4,0)+COLUMNS($T$1:U$1)-1),0))</f>
        <v/>
      </c>
      <c r="V10" s="171" t="str" cm="1">
        <f t="array" ref="V10">IF(OR(V$5="",$S10=""),"",IFERROR(INDEX(TotalApuestas!$A$1:$GL$50000,MATCH(Seguimiento!$S10,TotalApuestas!$B$1:$B$50000,0),MATCH("Equipos"&amp;Seguimiento!$S$1,Resultado!$4:$4,0)+COLUMNS($T$1:V$1)-1),0))</f>
        <v/>
      </c>
      <c r="W10" s="171" t="str" cm="1">
        <f t="array" ref="W10">IF(OR(W$5="",$S10=""),"",IFERROR(INDEX(TotalApuestas!$A$1:$GL$50000,MATCH(Seguimiento!$S10,TotalApuestas!$B$1:$B$50000,0),MATCH("Equipos"&amp;Seguimiento!$S$1,Resultado!$4:$4,0)+COLUMNS($T$1:W$1)-1),0))</f>
        <v/>
      </c>
      <c r="X10" s="171" t="str" cm="1">
        <f t="array" ref="X10">IF(OR(X$5="",$S10=""),"",IFERROR(INDEX(TotalApuestas!$A$1:$GL$50000,MATCH(Seguimiento!$S10,TotalApuestas!$B$1:$B$50000,0),MATCH("Equipos"&amp;Seguimiento!$S$1,Resultado!$4:$4,0)+COLUMNS($T$1:X$1)-1),0))</f>
        <v/>
      </c>
      <c r="Y10" s="171" t="str" cm="1">
        <f t="array" ref="Y10">IF(OR(Y$5="",$S10=""),"",IFERROR(INDEX(TotalApuestas!$A$1:$GL$50000,MATCH(Seguimiento!$S10,TotalApuestas!$B$1:$B$50000,0),MATCH("Equipos"&amp;Seguimiento!$S$1,Resultado!$4:$4,0)+COLUMNS($T$1:Y$1)-1),0))</f>
        <v/>
      </c>
      <c r="Z10" s="171" t="str" cm="1">
        <f t="array" ref="Z10">IF(OR(Z$5="",$S10=""),"",IFERROR(INDEX(TotalApuestas!$A$1:$GL$50000,MATCH(Seguimiento!$S10,TotalApuestas!$B$1:$B$50000,0),MATCH("Equipos"&amp;Seguimiento!$S$1,Resultado!$4:$4,0)+COLUMNS($T$1:Z$1)-1),0))</f>
        <v/>
      </c>
      <c r="AA10" s="219" t="str" cm="1">
        <f t="array" ref="AA10">IF(OR(AA$5="",$S10=""),"",IFERROR(INDEX(TotalApuestas!$A$1:$GL$50000,MATCH(Seguimiento!$S10,TotalApuestas!$B$1:$B$50000,0),MATCH("Equipos"&amp;Seguimiento!$S$1,Resultado!$4:$4,0)+COLUMNS($T$1:AA$1)-1),0))</f>
        <v/>
      </c>
      <c r="AB10" s="123"/>
      <c r="AD10"/>
      <c r="AE10"/>
    </row>
    <row r="11" spans="1:31" ht="15" customHeight="1" x14ac:dyDescent="0.2">
      <c r="B11" s="214"/>
      <c r="C11" s="229" t="str">
        <f>IF(ClasificaciónPorra!D6=0,"",ClasificaciónPorra!D6)</f>
        <v/>
      </c>
      <c r="D11" s="230" t="str">
        <f>IF($C11="","",INDEX(TotalApuestas!$A$1:$GL$50000,MATCH(Seguimiento!$C11,TotalApuestas!$B$1:$B$50000,0),MATCH(Seguimiento!D$1,Resultado!$2:$2,0)))</f>
        <v/>
      </c>
      <c r="E11" s="231" t="str">
        <f t="shared" ref="E11:E29" si="6">+IF(D11="","",IF(D11&gt;F11,1,IF(D11=F11,"X",2)))</f>
        <v/>
      </c>
      <c r="F11" s="230" t="str" cm="1">
        <f t="array" ref="F11">IF($C11="","",INDEX(TotalApuestas!$A$1:$GL$50000,MATCH(Seguimiento!$C11,TotalApuestas!$B$1:$B$50000,0),MATCH(Seguimiento!D$1,Resultado!$2:$2,0)+1))</f>
        <v/>
      </c>
      <c r="G11" s="232" t="str">
        <f>IF($C11="","",INDEX(TotalApuestas!$A$1:$GL$50000,MATCH(Seguimiento!$C11,TotalApuestas!$B$1:$B$50000,0),MATCH(Seguimiento!G$1,Resultado!$2:$2,0)))</f>
        <v/>
      </c>
      <c r="H11" s="231" t="str">
        <f t="shared" ref="H11:H29" si="7">+IF(G11="","",IF(G11&gt;I11,1,IF(G11=I11,"X",2)))</f>
        <v/>
      </c>
      <c r="I11" s="233" t="str" cm="1">
        <f t="array" ref="I11">IF($C11="","",INDEX(TotalApuestas!$A$1:$GL$50000,MATCH(Seguimiento!$C11,TotalApuestas!$B$1:$B$50000,0),MATCH(Seguimiento!G$1,Resultado!$2:$2,0)+1))</f>
        <v/>
      </c>
      <c r="J11" s="230" t="str">
        <f>IF($C11="","",INDEX(TotalApuestas!$A$1:$GL$50000,MATCH(Seguimiento!$C11,TotalApuestas!$B$1:$B$50000,0),MATCH(Seguimiento!J$1,Resultado!$2:$2,0)))</f>
        <v/>
      </c>
      <c r="K11" s="231" t="str">
        <f t="shared" ref="K11:K29" si="8">+IF(J11="","",IF(J11&gt;L11,1,IF(J11=L11,"X",2)))</f>
        <v/>
      </c>
      <c r="L11" s="230" t="str" cm="1">
        <f t="array" ref="L11">IF($C11="","",INDEX(TotalApuestas!$A$1:$GL$50000,MATCH(Seguimiento!$C11,TotalApuestas!$B$1:$B$50000,0),MATCH(Seguimiento!J$1,Resultado!$2:$2,0)+1))</f>
        <v/>
      </c>
      <c r="M11" s="232" t="str">
        <f>IF($C11="","",INDEX(TotalApuestas!$A$1:$GL$50000,MATCH(Seguimiento!$C11,TotalApuestas!$B$1:$B$50000,0),MATCH(Seguimiento!M$1,Resultado!$2:$2,0)))</f>
        <v/>
      </c>
      <c r="N11" s="231" t="str">
        <f t="shared" ref="N11:N29" si="9">+IF(M11="","",IF(M11&gt;O11,1,IF(M11=O11,"X",2)))</f>
        <v/>
      </c>
      <c r="O11" s="233" t="str" cm="1">
        <f t="array" ref="O11">IF($C11="","",INDEX(TotalApuestas!$A$1:$GL$50000,MATCH(Seguimiento!$C11,TotalApuestas!$B$1:$B$50000,0),MATCH(Seguimiento!M$1,Resultado!$2:$2,0)+1))</f>
        <v/>
      </c>
      <c r="P11" s="123"/>
      <c r="R11" s="214"/>
      <c r="S11" s="218" t="str">
        <f>IF(ClasificaciónPorra!D10=0,"",ClasificaciónPorra!D10)</f>
        <v/>
      </c>
      <c r="T11" s="171" t="str" cm="1">
        <f t="array" ref="T11">IF(OR(T$5="",$S11=""),"",IFERROR(INDEX(TotalApuestas!$A$1:$GL$50000,MATCH(Seguimiento!$S11,TotalApuestas!$B$1:$B$50000,0),MATCH("Equipos"&amp;Seguimiento!$S$1,Resultado!$4:$4,0)+COLUMNS($T$1:T$1)-1),0))</f>
        <v/>
      </c>
      <c r="U11" s="171" t="str" cm="1">
        <f t="array" ref="U11">IF(OR(U$5="",$S11=""),"",IFERROR(INDEX(TotalApuestas!$A$1:$GL$50000,MATCH(Seguimiento!$S11,TotalApuestas!$B$1:$B$50000,0),MATCH("Equipos"&amp;Seguimiento!$S$1,Resultado!$4:$4,0)+COLUMNS($T$1:U$1)-1),0))</f>
        <v/>
      </c>
      <c r="V11" s="171" t="str" cm="1">
        <f t="array" ref="V11">IF(OR(V$5="",$S11=""),"",IFERROR(INDEX(TotalApuestas!$A$1:$GL$50000,MATCH(Seguimiento!$S11,TotalApuestas!$B$1:$B$50000,0),MATCH("Equipos"&amp;Seguimiento!$S$1,Resultado!$4:$4,0)+COLUMNS($T$1:V$1)-1),0))</f>
        <v/>
      </c>
      <c r="W11" s="171" t="str" cm="1">
        <f t="array" ref="W11">IF(OR(W$5="",$S11=""),"",IFERROR(INDEX(TotalApuestas!$A$1:$GL$50000,MATCH(Seguimiento!$S11,TotalApuestas!$B$1:$B$50000,0),MATCH("Equipos"&amp;Seguimiento!$S$1,Resultado!$4:$4,0)+COLUMNS($T$1:W$1)-1),0))</f>
        <v/>
      </c>
      <c r="X11" s="171" t="str" cm="1">
        <f t="array" ref="X11">IF(OR(X$5="",$S11=""),"",IFERROR(INDEX(TotalApuestas!$A$1:$GL$50000,MATCH(Seguimiento!$S11,TotalApuestas!$B$1:$B$50000,0),MATCH("Equipos"&amp;Seguimiento!$S$1,Resultado!$4:$4,0)+COLUMNS($T$1:X$1)-1),0))</f>
        <v/>
      </c>
      <c r="Y11" s="171" t="str" cm="1">
        <f t="array" ref="Y11">IF(OR(Y$5="",$S11=""),"",IFERROR(INDEX(TotalApuestas!$A$1:$GL$50000,MATCH(Seguimiento!$S11,TotalApuestas!$B$1:$B$50000,0),MATCH("Equipos"&amp;Seguimiento!$S$1,Resultado!$4:$4,0)+COLUMNS($T$1:Y$1)-1),0))</f>
        <v/>
      </c>
      <c r="Z11" s="171" t="str" cm="1">
        <f t="array" ref="Z11">IF(OR(Z$5="",$S11=""),"",IFERROR(INDEX(TotalApuestas!$A$1:$GL$50000,MATCH(Seguimiento!$S11,TotalApuestas!$B$1:$B$50000,0),MATCH("Equipos"&amp;Seguimiento!$S$1,Resultado!$4:$4,0)+COLUMNS($T$1:Z$1)-1),0))</f>
        <v/>
      </c>
      <c r="AA11" s="219" t="str" cm="1">
        <f t="array" ref="AA11">IF(OR(AA$5="",$S11=""),"",IFERROR(INDEX(TotalApuestas!$A$1:$GL$50000,MATCH(Seguimiento!$S11,TotalApuestas!$B$1:$B$50000,0),MATCH("Equipos"&amp;Seguimiento!$S$1,Resultado!$4:$4,0)+COLUMNS($T$1:AA$1)-1),0))</f>
        <v/>
      </c>
      <c r="AB11" s="123"/>
      <c r="AD11"/>
      <c r="AE11"/>
    </row>
    <row r="12" spans="1:31" ht="15" customHeight="1" x14ac:dyDescent="0.2">
      <c r="B12" s="214"/>
      <c r="C12" s="229" t="str">
        <f>IF(ClasificaciónPorra!D7=0,"",ClasificaciónPorra!D7)</f>
        <v/>
      </c>
      <c r="D12" s="230" t="str">
        <f>IF($C12="","",INDEX(TotalApuestas!$A$1:$GL$50000,MATCH(Seguimiento!$C12,TotalApuestas!$B$1:$B$50000,0),MATCH(Seguimiento!D$1,Resultado!$2:$2,0)))</f>
        <v/>
      </c>
      <c r="E12" s="231" t="str">
        <f t="shared" si="6"/>
        <v/>
      </c>
      <c r="F12" s="230" t="str" cm="1">
        <f t="array" ref="F12">IF($C12="","",INDEX(TotalApuestas!$A$1:$GL$50000,MATCH(Seguimiento!$C12,TotalApuestas!$B$1:$B$50000,0),MATCH(Seguimiento!D$1,Resultado!$2:$2,0)+1))</f>
        <v/>
      </c>
      <c r="G12" s="232" t="str">
        <f>IF($C12="","",INDEX(TotalApuestas!$A$1:$GL$50000,MATCH(Seguimiento!$C12,TotalApuestas!$B$1:$B$50000,0),MATCH(Seguimiento!G$1,Resultado!$2:$2,0)))</f>
        <v/>
      </c>
      <c r="H12" s="231" t="str">
        <f t="shared" si="7"/>
        <v/>
      </c>
      <c r="I12" s="233" t="str" cm="1">
        <f t="array" ref="I12">IF($C12="","",INDEX(TotalApuestas!$A$1:$GL$50000,MATCH(Seguimiento!$C12,TotalApuestas!$B$1:$B$50000,0),MATCH(Seguimiento!G$1,Resultado!$2:$2,0)+1))</f>
        <v/>
      </c>
      <c r="J12" s="230" t="str">
        <f>IF($C12="","",INDEX(TotalApuestas!$A$1:$GL$50000,MATCH(Seguimiento!$C12,TotalApuestas!$B$1:$B$50000,0),MATCH(Seguimiento!J$1,Resultado!$2:$2,0)))</f>
        <v/>
      </c>
      <c r="K12" s="231" t="str">
        <f t="shared" si="8"/>
        <v/>
      </c>
      <c r="L12" s="230" t="str" cm="1">
        <f t="array" ref="L12">IF($C12="","",INDEX(TotalApuestas!$A$1:$GL$50000,MATCH(Seguimiento!$C12,TotalApuestas!$B$1:$B$50000,0),MATCH(Seguimiento!J$1,Resultado!$2:$2,0)+1))</f>
        <v/>
      </c>
      <c r="M12" s="232" t="str">
        <f>IF($C12="","",INDEX(TotalApuestas!$A$1:$GL$50000,MATCH(Seguimiento!$C12,TotalApuestas!$B$1:$B$50000,0),MATCH(Seguimiento!M$1,Resultado!$2:$2,0)))</f>
        <v/>
      </c>
      <c r="N12" s="231" t="str">
        <f t="shared" si="9"/>
        <v/>
      </c>
      <c r="O12" s="233" t="str" cm="1">
        <f t="array" ref="O12">IF($C12="","",INDEX(TotalApuestas!$A$1:$GL$50000,MATCH(Seguimiento!$C12,TotalApuestas!$B$1:$B$50000,0),MATCH(Seguimiento!M$1,Resultado!$2:$2,0)+1))</f>
        <v/>
      </c>
      <c r="P12" s="123"/>
      <c r="R12" s="214"/>
      <c r="S12" s="218" t="str">
        <f>IF(ClasificaciónPorra!D11=0,"",ClasificaciónPorra!D11)</f>
        <v/>
      </c>
      <c r="T12" s="171" t="str" cm="1">
        <f t="array" ref="T12">IF(OR(T$5="",$S12=""),"",IFERROR(INDEX(TotalApuestas!$A$1:$GL$50000,MATCH(Seguimiento!$S12,TotalApuestas!$B$1:$B$50000,0),MATCH("Equipos"&amp;Seguimiento!$S$1,Resultado!$4:$4,0)+COLUMNS($T$1:T$1)-1),0))</f>
        <v/>
      </c>
      <c r="U12" s="171" t="str" cm="1">
        <f t="array" ref="U12">IF(OR(U$5="",$S12=""),"",IFERROR(INDEX(TotalApuestas!$A$1:$GL$50000,MATCH(Seguimiento!$S12,TotalApuestas!$B$1:$B$50000,0),MATCH("Equipos"&amp;Seguimiento!$S$1,Resultado!$4:$4,0)+COLUMNS($T$1:U$1)-1),0))</f>
        <v/>
      </c>
      <c r="V12" s="171" t="str" cm="1">
        <f t="array" ref="V12">IF(OR(V$5="",$S12=""),"",IFERROR(INDEX(TotalApuestas!$A$1:$GL$50000,MATCH(Seguimiento!$S12,TotalApuestas!$B$1:$B$50000,0),MATCH("Equipos"&amp;Seguimiento!$S$1,Resultado!$4:$4,0)+COLUMNS($T$1:V$1)-1),0))</f>
        <v/>
      </c>
      <c r="W12" s="171" t="str" cm="1">
        <f t="array" ref="W12">IF(OR(W$5="",$S12=""),"",IFERROR(INDEX(TotalApuestas!$A$1:$GL$50000,MATCH(Seguimiento!$S12,TotalApuestas!$B$1:$B$50000,0),MATCH("Equipos"&amp;Seguimiento!$S$1,Resultado!$4:$4,0)+COLUMNS($T$1:W$1)-1),0))</f>
        <v/>
      </c>
      <c r="X12" s="171" t="str" cm="1">
        <f t="array" ref="X12">IF(OR(X$5="",$S12=""),"",IFERROR(INDEX(TotalApuestas!$A$1:$GL$50000,MATCH(Seguimiento!$S12,TotalApuestas!$B$1:$B$50000,0),MATCH("Equipos"&amp;Seguimiento!$S$1,Resultado!$4:$4,0)+COLUMNS($T$1:X$1)-1),0))</f>
        <v/>
      </c>
      <c r="Y12" s="171" t="str" cm="1">
        <f t="array" ref="Y12">IF(OR(Y$5="",$S12=""),"",IFERROR(INDEX(TotalApuestas!$A$1:$GL$50000,MATCH(Seguimiento!$S12,TotalApuestas!$B$1:$B$50000,0),MATCH("Equipos"&amp;Seguimiento!$S$1,Resultado!$4:$4,0)+COLUMNS($T$1:Y$1)-1),0))</f>
        <v/>
      </c>
      <c r="Z12" s="171" t="str" cm="1">
        <f t="array" ref="Z12">IF(OR(Z$5="",$S12=""),"",IFERROR(INDEX(TotalApuestas!$A$1:$GL$50000,MATCH(Seguimiento!$S12,TotalApuestas!$B$1:$B$50000,0),MATCH("Equipos"&amp;Seguimiento!$S$1,Resultado!$4:$4,0)+COLUMNS($T$1:Z$1)-1),0))</f>
        <v/>
      </c>
      <c r="AA12" s="219" t="str" cm="1">
        <f t="array" ref="AA12">IF(OR(AA$5="",$S12=""),"",IFERROR(INDEX(TotalApuestas!$A$1:$GL$50000,MATCH(Seguimiento!$S12,TotalApuestas!$B$1:$B$50000,0),MATCH("Equipos"&amp;Seguimiento!$S$1,Resultado!$4:$4,0)+COLUMNS($T$1:AA$1)-1),0))</f>
        <v/>
      </c>
      <c r="AB12" s="123"/>
      <c r="AD12"/>
      <c r="AE12"/>
    </row>
    <row r="13" spans="1:31" ht="15" customHeight="1" x14ac:dyDescent="0.2">
      <c r="B13" s="214"/>
      <c r="C13" s="229" t="str">
        <f>IF(ClasificaciónPorra!D8=0,"",ClasificaciónPorra!D8)</f>
        <v/>
      </c>
      <c r="D13" s="230" t="str">
        <f>IF($C13="","",INDEX(TotalApuestas!$A$1:$GL$50000,MATCH(Seguimiento!$C13,TotalApuestas!$B$1:$B$50000,0),MATCH(Seguimiento!D$1,Resultado!$2:$2,0)))</f>
        <v/>
      </c>
      <c r="E13" s="231" t="str">
        <f t="shared" si="6"/>
        <v/>
      </c>
      <c r="F13" s="230" t="str" cm="1">
        <f t="array" ref="F13">IF($C13="","",INDEX(TotalApuestas!$A$1:$GL$50000,MATCH(Seguimiento!$C13,TotalApuestas!$B$1:$B$50000,0),MATCH(Seguimiento!D$1,Resultado!$2:$2,0)+1))</f>
        <v/>
      </c>
      <c r="G13" s="232" t="str">
        <f>IF($C13="","",INDEX(TotalApuestas!$A$1:$GL$50000,MATCH(Seguimiento!$C13,TotalApuestas!$B$1:$B$50000,0),MATCH(Seguimiento!G$1,Resultado!$2:$2,0)))</f>
        <v/>
      </c>
      <c r="H13" s="231" t="str">
        <f t="shared" si="7"/>
        <v/>
      </c>
      <c r="I13" s="233" t="str" cm="1">
        <f t="array" ref="I13">IF($C13="","",INDEX(TotalApuestas!$A$1:$GL$50000,MATCH(Seguimiento!$C13,TotalApuestas!$B$1:$B$50000,0),MATCH(Seguimiento!G$1,Resultado!$2:$2,0)+1))</f>
        <v/>
      </c>
      <c r="J13" s="230" t="str">
        <f>IF($C13="","",INDEX(TotalApuestas!$A$1:$GL$50000,MATCH(Seguimiento!$C13,TotalApuestas!$B$1:$B$50000,0),MATCH(Seguimiento!J$1,Resultado!$2:$2,0)))</f>
        <v/>
      </c>
      <c r="K13" s="231" t="str">
        <f t="shared" si="8"/>
        <v/>
      </c>
      <c r="L13" s="230" t="str" cm="1">
        <f t="array" ref="L13">IF($C13="","",INDEX(TotalApuestas!$A$1:$GL$50000,MATCH(Seguimiento!$C13,TotalApuestas!$B$1:$B$50000,0),MATCH(Seguimiento!J$1,Resultado!$2:$2,0)+1))</f>
        <v/>
      </c>
      <c r="M13" s="232" t="str">
        <f>IF($C13="","",INDEX(TotalApuestas!$A$1:$GL$50000,MATCH(Seguimiento!$C13,TotalApuestas!$B$1:$B$50000,0),MATCH(Seguimiento!M$1,Resultado!$2:$2,0)))</f>
        <v/>
      </c>
      <c r="N13" s="231" t="str">
        <f t="shared" si="9"/>
        <v/>
      </c>
      <c r="O13" s="233" t="str" cm="1">
        <f t="array" ref="O13">IF($C13="","",INDEX(TotalApuestas!$A$1:$GL$50000,MATCH(Seguimiento!$C13,TotalApuestas!$B$1:$B$50000,0),MATCH(Seguimiento!M$1,Resultado!$2:$2,0)+1))</f>
        <v/>
      </c>
      <c r="P13" s="123"/>
      <c r="R13" s="214"/>
      <c r="S13" s="218" t="str">
        <f>IF(ClasificaciónPorra!D12=0,"",ClasificaciónPorra!D12)</f>
        <v/>
      </c>
      <c r="T13" s="171" t="str" cm="1">
        <f t="array" ref="T13">IF(OR(T$5="",$S13=""),"",IFERROR(INDEX(TotalApuestas!$A$1:$GL$50000,MATCH(Seguimiento!$S13,TotalApuestas!$B$1:$B$50000,0),MATCH("Equipos"&amp;Seguimiento!$S$1,Resultado!$4:$4,0)+COLUMNS($T$1:T$1)-1),0))</f>
        <v/>
      </c>
      <c r="U13" s="171" t="str" cm="1">
        <f t="array" ref="U13">IF(OR(U$5="",$S13=""),"",IFERROR(INDEX(TotalApuestas!$A$1:$GL$50000,MATCH(Seguimiento!$S13,TotalApuestas!$B$1:$B$50000,0),MATCH("Equipos"&amp;Seguimiento!$S$1,Resultado!$4:$4,0)+COLUMNS($T$1:U$1)-1),0))</f>
        <v/>
      </c>
      <c r="V13" s="171" t="str" cm="1">
        <f t="array" ref="V13">IF(OR(V$5="",$S13=""),"",IFERROR(INDEX(TotalApuestas!$A$1:$GL$50000,MATCH(Seguimiento!$S13,TotalApuestas!$B$1:$B$50000,0),MATCH("Equipos"&amp;Seguimiento!$S$1,Resultado!$4:$4,0)+COLUMNS($T$1:V$1)-1),0))</f>
        <v/>
      </c>
      <c r="W13" s="171" t="str" cm="1">
        <f t="array" ref="W13">IF(OR(W$5="",$S13=""),"",IFERROR(INDEX(TotalApuestas!$A$1:$GL$50000,MATCH(Seguimiento!$S13,TotalApuestas!$B$1:$B$50000,0),MATCH("Equipos"&amp;Seguimiento!$S$1,Resultado!$4:$4,0)+COLUMNS($T$1:W$1)-1),0))</f>
        <v/>
      </c>
      <c r="X13" s="171" t="str" cm="1">
        <f t="array" ref="X13">IF(OR(X$5="",$S13=""),"",IFERROR(INDEX(TotalApuestas!$A$1:$GL$50000,MATCH(Seguimiento!$S13,TotalApuestas!$B$1:$B$50000,0),MATCH("Equipos"&amp;Seguimiento!$S$1,Resultado!$4:$4,0)+COLUMNS($T$1:X$1)-1),0))</f>
        <v/>
      </c>
      <c r="Y13" s="171" t="str" cm="1">
        <f t="array" ref="Y13">IF(OR(Y$5="",$S13=""),"",IFERROR(INDEX(TotalApuestas!$A$1:$GL$50000,MATCH(Seguimiento!$S13,TotalApuestas!$B$1:$B$50000,0),MATCH("Equipos"&amp;Seguimiento!$S$1,Resultado!$4:$4,0)+COLUMNS($T$1:Y$1)-1),0))</f>
        <v/>
      </c>
      <c r="Z13" s="171" t="str" cm="1">
        <f t="array" ref="Z13">IF(OR(Z$5="",$S13=""),"",IFERROR(INDEX(TotalApuestas!$A$1:$GL$50000,MATCH(Seguimiento!$S13,TotalApuestas!$B$1:$B$50000,0),MATCH("Equipos"&amp;Seguimiento!$S$1,Resultado!$4:$4,0)+COLUMNS($T$1:Z$1)-1),0))</f>
        <v/>
      </c>
      <c r="AA13" s="219" t="str" cm="1">
        <f t="array" ref="AA13">IF(OR(AA$5="",$S13=""),"",IFERROR(INDEX(TotalApuestas!$A$1:$GL$50000,MATCH(Seguimiento!$S13,TotalApuestas!$B$1:$B$50000,0),MATCH("Equipos"&amp;Seguimiento!$S$1,Resultado!$4:$4,0)+COLUMNS($T$1:AA$1)-1),0))</f>
        <v/>
      </c>
      <c r="AB13" s="123"/>
      <c r="AD13"/>
      <c r="AE13"/>
    </row>
    <row r="14" spans="1:31" ht="15" customHeight="1" x14ac:dyDescent="0.2">
      <c r="B14" s="214"/>
      <c r="C14" s="229" t="str">
        <f>IF(ClasificaciónPorra!D9=0,"",ClasificaciónPorra!D9)</f>
        <v/>
      </c>
      <c r="D14" s="230" t="str">
        <f>IF($C14="","",INDEX(TotalApuestas!$A$1:$GL$50000,MATCH(Seguimiento!$C14,TotalApuestas!$B$1:$B$50000,0),MATCH(Seguimiento!D$1,Resultado!$2:$2,0)))</f>
        <v/>
      </c>
      <c r="E14" s="231" t="str">
        <f t="shared" si="6"/>
        <v/>
      </c>
      <c r="F14" s="230" t="str" cm="1">
        <f t="array" ref="F14">IF($C14="","",INDEX(TotalApuestas!$A$1:$GL$50000,MATCH(Seguimiento!$C14,TotalApuestas!$B$1:$B$50000,0),MATCH(Seguimiento!D$1,Resultado!$2:$2,0)+1))</f>
        <v/>
      </c>
      <c r="G14" s="232" t="str">
        <f>IF($C14="","",INDEX(TotalApuestas!$A$1:$GL$50000,MATCH(Seguimiento!$C14,TotalApuestas!$B$1:$B$50000,0),MATCH(Seguimiento!G$1,Resultado!$2:$2,0)))</f>
        <v/>
      </c>
      <c r="H14" s="231" t="str">
        <f t="shared" si="7"/>
        <v/>
      </c>
      <c r="I14" s="233" t="str" cm="1">
        <f t="array" ref="I14">IF($C14="","",INDEX(TotalApuestas!$A$1:$GL$50000,MATCH(Seguimiento!$C14,TotalApuestas!$B$1:$B$50000,0),MATCH(Seguimiento!G$1,Resultado!$2:$2,0)+1))</f>
        <v/>
      </c>
      <c r="J14" s="230" t="str">
        <f>IF($C14="","",INDEX(TotalApuestas!$A$1:$GL$50000,MATCH(Seguimiento!$C14,TotalApuestas!$B$1:$B$50000,0),MATCH(Seguimiento!J$1,Resultado!$2:$2,0)))</f>
        <v/>
      </c>
      <c r="K14" s="231" t="str">
        <f t="shared" si="8"/>
        <v/>
      </c>
      <c r="L14" s="230" t="str" cm="1">
        <f t="array" ref="L14">IF($C14="","",INDEX(TotalApuestas!$A$1:$GL$50000,MATCH(Seguimiento!$C14,TotalApuestas!$B$1:$B$50000,0),MATCH(Seguimiento!J$1,Resultado!$2:$2,0)+1))</f>
        <v/>
      </c>
      <c r="M14" s="232" t="str">
        <f>IF($C14="","",INDEX(TotalApuestas!$A$1:$GL$50000,MATCH(Seguimiento!$C14,TotalApuestas!$B$1:$B$50000,0),MATCH(Seguimiento!M$1,Resultado!$2:$2,0)))</f>
        <v/>
      </c>
      <c r="N14" s="231" t="str">
        <f t="shared" si="9"/>
        <v/>
      </c>
      <c r="O14" s="233" t="str" cm="1">
        <f t="array" ref="O14">IF($C14="","",INDEX(TotalApuestas!$A$1:$GL$50000,MATCH(Seguimiento!$C14,TotalApuestas!$B$1:$B$50000,0),MATCH(Seguimiento!M$1,Resultado!$2:$2,0)+1))</f>
        <v/>
      </c>
      <c r="P14" s="123"/>
      <c r="R14" s="214"/>
      <c r="S14" s="218" t="str">
        <f>IF(ClasificaciónPorra!D13=0,"",ClasificaciónPorra!D13)</f>
        <v/>
      </c>
      <c r="T14" s="171" t="str" cm="1">
        <f t="array" ref="T14">IF(OR(T$5="",$S14=""),"",IFERROR(INDEX(TotalApuestas!$A$1:$GL$50000,MATCH(Seguimiento!$S14,TotalApuestas!$B$1:$B$50000,0),MATCH("Equipos"&amp;Seguimiento!$S$1,Resultado!$4:$4,0)+COLUMNS($T$1:T$1)-1),0))</f>
        <v/>
      </c>
      <c r="U14" s="171" t="str" cm="1">
        <f t="array" ref="U14">IF(OR(U$5="",$S14=""),"",IFERROR(INDEX(TotalApuestas!$A$1:$GL$50000,MATCH(Seguimiento!$S14,TotalApuestas!$B$1:$B$50000,0),MATCH("Equipos"&amp;Seguimiento!$S$1,Resultado!$4:$4,0)+COLUMNS($T$1:U$1)-1),0))</f>
        <v/>
      </c>
      <c r="V14" s="171" t="str" cm="1">
        <f t="array" ref="V14">IF(OR(V$5="",$S14=""),"",IFERROR(INDEX(TotalApuestas!$A$1:$GL$50000,MATCH(Seguimiento!$S14,TotalApuestas!$B$1:$B$50000,0),MATCH("Equipos"&amp;Seguimiento!$S$1,Resultado!$4:$4,0)+COLUMNS($T$1:V$1)-1),0))</f>
        <v/>
      </c>
      <c r="W14" s="171" t="str" cm="1">
        <f t="array" ref="W14">IF(OR(W$5="",$S14=""),"",IFERROR(INDEX(TotalApuestas!$A$1:$GL$50000,MATCH(Seguimiento!$S14,TotalApuestas!$B$1:$B$50000,0),MATCH("Equipos"&amp;Seguimiento!$S$1,Resultado!$4:$4,0)+COLUMNS($T$1:W$1)-1),0))</f>
        <v/>
      </c>
      <c r="X14" s="171" t="str" cm="1">
        <f t="array" ref="X14">IF(OR(X$5="",$S14=""),"",IFERROR(INDEX(TotalApuestas!$A$1:$GL$50000,MATCH(Seguimiento!$S14,TotalApuestas!$B$1:$B$50000,0),MATCH("Equipos"&amp;Seguimiento!$S$1,Resultado!$4:$4,0)+COLUMNS($T$1:X$1)-1),0))</f>
        <v/>
      </c>
      <c r="Y14" s="171" t="str" cm="1">
        <f t="array" ref="Y14">IF(OR(Y$5="",$S14=""),"",IFERROR(INDEX(TotalApuestas!$A$1:$GL$50000,MATCH(Seguimiento!$S14,TotalApuestas!$B$1:$B$50000,0),MATCH("Equipos"&amp;Seguimiento!$S$1,Resultado!$4:$4,0)+COLUMNS($T$1:Y$1)-1),0))</f>
        <v/>
      </c>
      <c r="Z14" s="171" t="str" cm="1">
        <f t="array" ref="Z14">IF(OR(Z$5="",$S14=""),"",IFERROR(INDEX(TotalApuestas!$A$1:$GL$50000,MATCH(Seguimiento!$S14,TotalApuestas!$B$1:$B$50000,0),MATCH("Equipos"&amp;Seguimiento!$S$1,Resultado!$4:$4,0)+COLUMNS($T$1:Z$1)-1),0))</f>
        <v/>
      </c>
      <c r="AA14" s="219" t="str" cm="1">
        <f t="array" ref="AA14">IF(OR(AA$5="",$S14=""),"",IFERROR(INDEX(TotalApuestas!$A$1:$GL$50000,MATCH(Seguimiento!$S14,TotalApuestas!$B$1:$B$50000,0),MATCH("Equipos"&amp;Seguimiento!$S$1,Resultado!$4:$4,0)+COLUMNS($T$1:AA$1)-1),0))</f>
        <v/>
      </c>
      <c r="AB14" s="123"/>
      <c r="AD14"/>
      <c r="AE14"/>
    </row>
    <row r="15" spans="1:31" ht="15" customHeight="1" x14ac:dyDescent="0.2">
      <c r="B15" s="214"/>
      <c r="C15" s="229" t="str">
        <f>IF(ClasificaciónPorra!D10=0,"",ClasificaciónPorra!D10)</f>
        <v/>
      </c>
      <c r="D15" s="230" t="str">
        <f>IF($C15="","",INDEX(TotalApuestas!$A$1:$GL$50000,MATCH(Seguimiento!$C15,TotalApuestas!$B$1:$B$50000,0),MATCH(Seguimiento!D$1,Resultado!$2:$2,0)))</f>
        <v/>
      </c>
      <c r="E15" s="231" t="str">
        <f t="shared" si="6"/>
        <v/>
      </c>
      <c r="F15" s="230" t="str" cm="1">
        <f t="array" ref="F15">IF($C15="","",INDEX(TotalApuestas!$A$1:$GL$50000,MATCH(Seguimiento!$C15,TotalApuestas!$B$1:$B$50000,0),MATCH(Seguimiento!D$1,Resultado!$2:$2,0)+1))</f>
        <v/>
      </c>
      <c r="G15" s="232" t="str">
        <f>IF($C15="","",INDEX(TotalApuestas!$A$1:$GL$50000,MATCH(Seguimiento!$C15,TotalApuestas!$B$1:$B$50000,0),MATCH(Seguimiento!G$1,Resultado!$2:$2,0)))</f>
        <v/>
      </c>
      <c r="H15" s="231" t="str">
        <f t="shared" si="7"/>
        <v/>
      </c>
      <c r="I15" s="233" t="str" cm="1">
        <f t="array" ref="I15">IF($C15="","",INDEX(TotalApuestas!$A$1:$GL$50000,MATCH(Seguimiento!$C15,TotalApuestas!$B$1:$B$50000,0),MATCH(Seguimiento!G$1,Resultado!$2:$2,0)+1))</f>
        <v/>
      </c>
      <c r="J15" s="230" t="str">
        <f>IF($C15="","",INDEX(TotalApuestas!$A$1:$GL$50000,MATCH(Seguimiento!$C15,TotalApuestas!$B$1:$B$50000,0),MATCH(Seguimiento!J$1,Resultado!$2:$2,0)))</f>
        <v/>
      </c>
      <c r="K15" s="231" t="str">
        <f t="shared" si="8"/>
        <v/>
      </c>
      <c r="L15" s="230" t="str" cm="1">
        <f t="array" ref="L15">IF($C15="","",INDEX(TotalApuestas!$A$1:$GL$50000,MATCH(Seguimiento!$C15,TotalApuestas!$B$1:$B$50000,0),MATCH(Seguimiento!J$1,Resultado!$2:$2,0)+1))</f>
        <v/>
      </c>
      <c r="M15" s="232" t="str">
        <f>IF($C15="","",INDEX(TotalApuestas!$A$1:$GL$50000,MATCH(Seguimiento!$C15,TotalApuestas!$B$1:$B$50000,0),MATCH(Seguimiento!M$1,Resultado!$2:$2,0)))</f>
        <v/>
      </c>
      <c r="N15" s="231" t="str">
        <f t="shared" si="9"/>
        <v/>
      </c>
      <c r="O15" s="233" t="str" cm="1">
        <f t="array" ref="O15">IF($C15="","",INDEX(TotalApuestas!$A$1:$GL$50000,MATCH(Seguimiento!$C15,TotalApuestas!$B$1:$B$50000,0),MATCH(Seguimiento!M$1,Resultado!$2:$2,0)+1))</f>
        <v/>
      </c>
      <c r="P15" s="123"/>
      <c r="R15" s="214"/>
      <c r="S15" s="218" t="str">
        <f>IF(ClasificaciónPorra!D14=0,"",ClasificaciónPorra!D14)</f>
        <v/>
      </c>
      <c r="T15" s="171" t="str" cm="1">
        <f t="array" ref="T15">IF(OR(T$5="",$S15=""),"",IFERROR(INDEX(TotalApuestas!$A$1:$GL$50000,MATCH(Seguimiento!$S15,TotalApuestas!$B$1:$B$50000,0),MATCH("Equipos"&amp;Seguimiento!$S$1,Resultado!$4:$4,0)+COLUMNS($T$1:T$1)-1),0))</f>
        <v/>
      </c>
      <c r="U15" s="171" t="str" cm="1">
        <f t="array" ref="U15">IF(OR(U$5="",$S15=""),"",IFERROR(INDEX(TotalApuestas!$A$1:$GL$50000,MATCH(Seguimiento!$S15,TotalApuestas!$B$1:$B$50000,0),MATCH("Equipos"&amp;Seguimiento!$S$1,Resultado!$4:$4,0)+COLUMNS($T$1:U$1)-1),0))</f>
        <v/>
      </c>
      <c r="V15" s="171" t="str" cm="1">
        <f t="array" ref="V15">IF(OR(V$5="",$S15=""),"",IFERROR(INDEX(TotalApuestas!$A$1:$GL$50000,MATCH(Seguimiento!$S15,TotalApuestas!$B$1:$B$50000,0),MATCH("Equipos"&amp;Seguimiento!$S$1,Resultado!$4:$4,0)+COLUMNS($T$1:V$1)-1),0))</f>
        <v/>
      </c>
      <c r="W15" s="171" t="str" cm="1">
        <f t="array" ref="W15">IF(OR(W$5="",$S15=""),"",IFERROR(INDEX(TotalApuestas!$A$1:$GL$50000,MATCH(Seguimiento!$S15,TotalApuestas!$B$1:$B$50000,0),MATCH("Equipos"&amp;Seguimiento!$S$1,Resultado!$4:$4,0)+COLUMNS($T$1:W$1)-1),0))</f>
        <v/>
      </c>
      <c r="X15" s="171" t="str" cm="1">
        <f t="array" ref="X15">IF(OR(X$5="",$S15=""),"",IFERROR(INDEX(TotalApuestas!$A$1:$GL$50000,MATCH(Seguimiento!$S15,TotalApuestas!$B$1:$B$50000,0),MATCH("Equipos"&amp;Seguimiento!$S$1,Resultado!$4:$4,0)+COLUMNS($T$1:X$1)-1),0))</f>
        <v/>
      </c>
      <c r="Y15" s="171" t="str" cm="1">
        <f t="array" ref="Y15">IF(OR(Y$5="",$S15=""),"",IFERROR(INDEX(TotalApuestas!$A$1:$GL$50000,MATCH(Seguimiento!$S15,TotalApuestas!$B$1:$B$50000,0),MATCH("Equipos"&amp;Seguimiento!$S$1,Resultado!$4:$4,0)+COLUMNS($T$1:Y$1)-1),0))</f>
        <v/>
      </c>
      <c r="Z15" s="171" t="str" cm="1">
        <f t="array" ref="Z15">IF(OR(Z$5="",$S15=""),"",IFERROR(INDEX(TotalApuestas!$A$1:$GL$50000,MATCH(Seguimiento!$S15,TotalApuestas!$B$1:$B$50000,0),MATCH("Equipos"&amp;Seguimiento!$S$1,Resultado!$4:$4,0)+COLUMNS($T$1:Z$1)-1),0))</f>
        <v/>
      </c>
      <c r="AA15" s="219" t="str" cm="1">
        <f t="array" ref="AA15">IF(OR(AA$5="",$S15=""),"",IFERROR(INDEX(TotalApuestas!$A$1:$GL$50000,MATCH(Seguimiento!$S15,TotalApuestas!$B$1:$B$50000,0),MATCH("Equipos"&amp;Seguimiento!$S$1,Resultado!$4:$4,0)+COLUMNS($T$1:AA$1)-1),0))</f>
        <v/>
      </c>
      <c r="AB15" s="123"/>
      <c r="AD15"/>
      <c r="AE15"/>
    </row>
    <row r="16" spans="1:31" ht="15" customHeight="1" x14ac:dyDescent="0.2">
      <c r="B16" s="214"/>
      <c r="C16" s="229" t="str">
        <f>IF(ClasificaciónPorra!D11=0,"",ClasificaciónPorra!D11)</f>
        <v/>
      </c>
      <c r="D16" s="230" t="str">
        <f>IF($C16="","",INDEX(TotalApuestas!$A$1:$GL$50000,MATCH(Seguimiento!$C16,TotalApuestas!$B$1:$B$50000,0),MATCH(Seguimiento!D$1,Resultado!$2:$2,0)))</f>
        <v/>
      </c>
      <c r="E16" s="231" t="str">
        <f t="shared" si="6"/>
        <v/>
      </c>
      <c r="F16" s="230" t="str" cm="1">
        <f t="array" ref="F16">IF($C16="","",INDEX(TotalApuestas!$A$1:$GL$50000,MATCH(Seguimiento!$C16,TotalApuestas!$B$1:$B$50000,0),MATCH(Seguimiento!D$1,Resultado!$2:$2,0)+1))</f>
        <v/>
      </c>
      <c r="G16" s="232" t="str">
        <f>IF($C16="","",INDEX(TotalApuestas!$A$1:$GL$50000,MATCH(Seguimiento!$C16,TotalApuestas!$B$1:$B$50000,0),MATCH(Seguimiento!G$1,Resultado!$2:$2,0)))</f>
        <v/>
      </c>
      <c r="H16" s="231" t="str">
        <f t="shared" si="7"/>
        <v/>
      </c>
      <c r="I16" s="233" t="str" cm="1">
        <f t="array" ref="I16">IF($C16="","",INDEX(TotalApuestas!$A$1:$GL$50000,MATCH(Seguimiento!$C16,TotalApuestas!$B$1:$B$50000,0),MATCH(Seguimiento!G$1,Resultado!$2:$2,0)+1))</f>
        <v/>
      </c>
      <c r="J16" s="230" t="str">
        <f>IF($C16="","",INDEX(TotalApuestas!$A$1:$GL$50000,MATCH(Seguimiento!$C16,TotalApuestas!$B$1:$B$50000,0),MATCH(Seguimiento!J$1,Resultado!$2:$2,0)))</f>
        <v/>
      </c>
      <c r="K16" s="231" t="str">
        <f t="shared" si="8"/>
        <v/>
      </c>
      <c r="L16" s="230" t="str" cm="1">
        <f t="array" ref="L16">IF($C16="","",INDEX(TotalApuestas!$A$1:$GL$50000,MATCH(Seguimiento!$C16,TotalApuestas!$B$1:$B$50000,0),MATCH(Seguimiento!J$1,Resultado!$2:$2,0)+1))</f>
        <v/>
      </c>
      <c r="M16" s="232" t="str">
        <f>IF($C16="","",INDEX(TotalApuestas!$A$1:$GL$50000,MATCH(Seguimiento!$C16,TotalApuestas!$B$1:$B$50000,0),MATCH(Seguimiento!M$1,Resultado!$2:$2,0)))</f>
        <v/>
      </c>
      <c r="N16" s="231" t="str">
        <f t="shared" si="9"/>
        <v/>
      </c>
      <c r="O16" s="233" t="str" cm="1">
        <f t="array" ref="O16">IF($C16="","",INDEX(TotalApuestas!$A$1:$GL$50000,MATCH(Seguimiento!$C16,TotalApuestas!$B$1:$B$50000,0),MATCH(Seguimiento!M$1,Resultado!$2:$2,0)+1))</f>
        <v/>
      </c>
      <c r="P16" s="123"/>
      <c r="R16" s="214"/>
      <c r="S16" s="218" t="str">
        <f>IF(ClasificaciónPorra!D15=0,"",ClasificaciónPorra!D15)</f>
        <v/>
      </c>
      <c r="T16" s="171" t="str" cm="1">
        <f t="array" ref="T16">IF(OR(T$5="",$S16=""),"",IFERROR(INDEX(TotalApuestas!$A$1:$GL$50000,MATCH(Seguimiento!$S16,TotalApuestas!$B$1:$B$50000,0),MATCH("Equipos"&amp;Seguimiento!$S$1,Resultado!$4:$4,0)+COLUMNS($T$1:T$1)-1),0))</f>
        <v/>
      </c>
      <c r="U16" s="171" t="str" cm="1">
        <f t="array" ref="U16">IF(OR(U$5="",$S16=""),"",IFERROR(INDEX(TotalApuestas!$A$1:$GL$50000,MATCH(Seguimiento!$S16,TotalApuestas!$B$1:$B$50000,0),MATCH("Equipos"&amp;Seguimiento!$S$1,Resultado!$4:$4,0)+COLUMNS($T$1:U$1)-1),0))</f>
        <v/>
      </c>
      <c r="V16" s="171" t="str" cm="1">
        <f t="array" ref="V16">IF(OR(V$5="",$S16=""),"",IFERROR(INDEX(TotalApuestas!$A$1:$GL$50000,MATCH(Seguimiento!$S16,TotalApuestas!$B$1:$B$50000,0),MATCH("Equipos"&amp;Seguimiento!$S$1,Resultado!$4:$4,0)+COLUMNS($T$1:V$1)-1),0))</f>
        <v/>
      </c>
      <c r="W16" s="171" t="str" cm="1">
        <f t="array" ref="W16">IF(OR(W$5="",$S16=""),"",IFERROR(INDEX(TotalApuestas!$A$1:$GL$50000,MATCH(Seguimiento!$S16,TotalApuestas!$B$1:$B$50000,0),MATCH("Equipos"&amp;Seguimiento!$S$1,Resultado!$4:$4,0)+COLUMNS($T$1:W$1)-1),0))</f>
        <v/>
      </c>
      <c r="X16" s="171" t="str" cm="1">
        <f t="array" ref="X16">IF(OR(X$5="",$S16=""),"",IFERROR(INDEX(TotalApuestas!$A$1:$GL$50000,MATCH(Seguimiento!$S16,TotalApuestas!$B$1:$B$50000,0),MATCH("Equipos"&amp;Seguimiento!$S$1,Resultado!$4:$4,0)+COLUMNS($T$1:X$1)-1),0))</f>
        <v/>
      </c>
      <c r="Y16" s="171" t="str" cm="1">
        <f t="array" ref="Y16">IF(OR(Y$5="",$S16=""),"",IFERROR(INDEX(TotalApuestas!$A$1:$GL$50000,MATCH(Seguimiento!$S16,TotalApuestas!$B$1:$B$50000,0),MATCH("Equipos"&amp;Seguimiento!$S$1,Resultado!$4:$4,0)+COLUMNS($T$1:Y$1)-1),0))</f>
        <v/>
      </c>
      <c r="Z16" s="171" t="str" cm="1">
        <f t="array" ref="Z16">IF(OR(Z$5="",$S16=""),"",IFERROR(INDEX(TotalApuestas!$A$1:$GL$50000,MATCH(Seguimiento!$S16,TotalApuestas!$B$1:$B$50000,0),MATCH("Equipos"&amp;Seguimiento!$S$1,Resultado!$4:$4,0)+COLUMNS($T$1:Z$1)-1),0))</f>
        <v/>
      </c>
      <c r="AA16" s="219" t="str" cm="1">
        <f t="array" ref="AA16">IF(OR(AA$5="",$S16=""),"",IFERROR(INDEX(TotalApuestas!$A$1:$GL$50000,MATCH(Seguimiento!$S16,TotalApuestas!$B$1:$B$50000,0),MATCH("Equipos"&amp;Seguimiento!$S$1,Resultado!$4:$4,0)+COLUMNS($T$1:AA$1)-1),0))</f>
        <v/>
      </c>
      <c r="AB16" s="123"/>
      <c r="AD16"/>
      <c r="AE16"/>
    </row>
    <row r="17" spans="2:31" ht="15" customHeight="1" x14ac:dyDescent="0.2">
      <c r="B17" s="214"/>
      <c r="C17" s="229" t="str">
        <f>IF(ClasificaciónPorra!D12=0,"",ClasificaciónPorra!D12)</f>
        <v/>
      </c>
      <c r="D17" s="230" t="str">
        <f>IF($C17="","",INDEX(TotalApuestas!$A$1:$GL$50000,MATCH(Seguimiento!$C17,TotalApuestas!$B$1:$B$50000,0),MATCH(Seguimiento!D$1,Resultado!$2:$2,0)))</f>
        <v/>
      </c>
      <c r="E17" s="231" t="str">
        <f t="shared" si="6"/>
        <v/>
      </c>
      <c r="F17" s="230" t="str" cm="1">
        <f t="array" ref="F17">IF($C17="","",INDEX(TotalApuestas!$A$1:$GL$50000,MATCH(Seguimiento!$C17,TotalApuestas!$B$1:$B$50000,0),MATCH(Seguimiento!D$1,Resultado!$2:$2,0)+1))</f>
        <v/>
      </c>
      <c r="G17" s="232" t="str">
        <f>IF($C17="","",INDEX(TotalApuestas!$A$1:$GL$50000,MATCH(Seguimiento!$C17,TotalApuestas!$B$1:$B$50000,0),MATCH(Seguimiento!G$1,Resultado!$2:$2,0)))</f>
        <v/>
      </c>
      <c r="H17" s="231" t="str">
        <f t="shared" si="7"/>
        <v/>
      </c>
      <c r="I17" s="233" t="str" cm="1">
        <f t="array" ref="I17">IF($C17="","",INDEX(TotalApuestas!$A$1:$GL$50000,MATCH(Seguimiento!$C17,TotalApuestas!$B$1:$B$50000,0),MATCH(Seguimiento!G$1,Resultado!$2:$2,0)+1))</f>
        <v/>
      </c>
      <c r="J17" s="230" t="str">
        <f>IF($C17="","",INDEX(TotalApuestas!$A$1:$GL$50000,MATCH(Seguimiento!$C17,TotalApuestas!$B$1:$B$50000,0),MATCH(Seguimiento!J$1,Resultado!$2:$2,0)))</f>
        <v/>
      </c>
      <c r="K17" s="231" t="str">
        <f t="shared" si="8"/>
        <v/>
      </c>
      <c r="L17" s="230" t="str" cm="1">
        <f t="array" ref="L17">IF($C17="","",INDEX(TotalApuestas!$A$1:$GL$50000,MATCH(Seguimiento!$C17,TotalApuestas!$B$1:$B$50000,0),MATCH(Seguimiento!J$1,Resultado!$2:$2,0)+1))</f>
        <v/>
      </c>
      <c r="M17" s="232" t="str">
        <f>IF($C17="","",INDEX(TotalApuestas!$A$1:$GL$50000,MATCH(Seguimiento!$C17,TotalApuestas!$B$1:$B$50000,0),MATCH(Seguimiento!M$1,Resultado!$2:$2,0)))</f>
        <v/>
      </c>
      <c r="N17" s="231" t="str">
        <f t="shared" si="9"/>
        <v/>
      </c>
      <c r="O17" s="233" t="str" cm="1">
        <f t="array" ref="O17">IF($C17="","",INDEX(TotalApuestas!$A$1:$GL$50000,MATCH(Seguimiento!$C17,TotalApuestas!$B$1:$B$50000,0),MATCH(Seguimiento!M$1,Resultado!$2:$2,0)+1))</f>
        <v/>
      </c>
      <c r="P17" s="123"/>
      <c r="R17" s="214"/>
      <c r="S17" s="218" t="str">
        <f>IF(ClasificaciónPorra!D16=0,"",ClasificaciónPorra!D16)</f>
        <v/>
      </c>
      <c r="T17" s="171" t="str" cm="1">
        <f t="array" ref="T17">IF(OR(T$5="",$S17=""),"",IFERROR(INDEX(TotalApuestas!$A$1:$GL$50000,MATCH(Seguimiento!$S17,TotalApuestas!$B$1:$B$50000,0),MATCH("Equipos"&amp;Seguimiento!$S$1,Resultado!$4:$4,0)+COLUMNS($T$1:T$1)-1),0))</f>
        <v/>
      </c>
      <c r="U17" s="171" t="str" cm="1">
        <f t="array" ref="U17">IF(OR(U$5="",$S17=""),"",IFERROR(INDEX(TotalApuestas!$A$1:$GL$50000,MATCH(Seguimiento!$S17,TotalApuestas!$B$1:$B$50000,0),MATCH("Equipos"&amp;Seguimiento!$S$1,Resultado!$4:$4,0)+COLUMNS($T$1:U$1)-1),0))</f>
        <v/>
      </c>
      <c r="V17" s="171" t="str" cm="1">
        <f t="array" ref="V17">IF(OR(V$5="",$S17=""),"",IFERROR(INDEX(TotalApuestas!$A$1:$GL$50000,MATCH(Seguimiento!$S17,TotalApuestas!$B$1:$B$50000,0),MATCH("Equipos"&amp;Seguimiento!$S$1,Resultado!$4:$4,0)+COLUMNS($T$1:V$1)-1),0))</f>
        <v/>
      </c>
      <c r="W17" s="171" t="str" cm="1">
        <f t="array" ref="W17">IF(OR(W$5="",$S17=""),"",IFERROR(INDEX(TotalApuestas!$A$1:$GL$50000,MATCH(Seguimiento!$S17,TotalApuestas!$B$1:$B$50000,0),MATCH("Equipos"&amp;Seguimiento!$S$1,Resultado!$4:$4,0)+COLUMNS($T$1:W$1)-1),0))</f>
        <v/>
      </c>
      <c r="X17" s="171" t="str" cm="1">
        <f t="array" ref="X17">IF(OR(X$5="",$S17=""),"",IFERROR(INDEX(TotalApuestas!$A$1:$GL$50000,MATCH(Seguimiento!$S17,TotalApuestas!$B$1:$B$50000,0),MATCH("Equipos"&amp;Seguimiento!$S$1,Resultado!$4:$4,0)+COLUMNS($T$1:X$1)-1),0))</f>
        <v/>
      </c>
      <c r="Y17" s="171" t="str" cm="1">
        <f t="array" ref="Y17">IF(OR(Y$5="",$S17=""),"",IFERROR(INDEX(TotalApuestas!$A$1:$GL$50000,MATCH(Seguimiento!$S17,TotalApuestas!$B$1:$B$50000,0),MATCH("Equipos"&amp;Seguimiento!$S$1,Resultado!$4:$4,0)+COLUMNS($T$1:Y$1)-1),0))</f>
        <v/>
      </c>
      <c r="Z17" s="171" t="str" cm="1">
        <f t="array" ref="Z17">IF(OR(Z$5="",$S17=""),"",IFERROR(INDEX(TotalApuestas!$A$1:$GL$50000,MATCH(Seguimiento!$S17,TotalApuestas!$B$1:$B$50000,0),MATCH("Equipos"&amp;Seguimiento!$S$1,Resultado!$4:$4,0)+COLUMNS($T$1:Z$1)-1),0))</f>
        <v/>
      </c>
      <c r="AA17" s="219" t="str" cm="1">
        <f t="array" ref="AA17">IF(OR(AA$5="",$S17=""),"",IFERROR(INDEX(TotalApuestas!$A$1:$GL$50000,MATCH(Seguimiento!$S17,TotalApuestas!$B$1:$B$50000,0),MATCH("Equipos"&amp;Seguimiento!$S$1,Resultado!$4:$4,0)+COLUMNS($T$1:AA$1)-1),0))</f>
        <v/>
      </c>
      <c r="AB17" s="123"/>
      <c r="AD17"/>
      <c r="AE17"/>
    </row>
    <row r="18" spans="2:31" ht="15" customHeight="1" x14ac:dyDescent="0.2">
      <c r="B18" s="214"/>
      <c r="C18" s="229" t="str">
        <f>IF(ClasificaciónPorra!D13=0,"",ClasificaciónPorra!D13)</f>
        <v/>
      </c>
      <c r="D18" s="230" t="str">
        <f>IF($C18="","",INDEX(TotalApuestas!$A$1:$GL$50000,MATCH(Seguimiento!$C18,TotalApuestas!$B$1:$B$50000,0),MATCH(Seguimiento!D$1,Resultado!$2:$2,0)))</f>
        <v/>
      </c>
      <c r="E18" s="231" t="str">
        <f t="shared" si="6"/>
        <v/>
      </c>
      <c r="F18" s="230" t="str" cm="1">
        <f t="array" ref="F18">IF($C18="","",INDEX(TotalApuestas!$A$1:$GL$50000,MATCH(Seguimiento!$C18,TotalApuestas!$B$1:$B$50000,0),MATCH(Seguimiento!D$1,Resultado!$2:$2,0)+1))</f>
        <v/>
      </c>
      <c r="G18" s="232" t="str">
        <f>IF($C18="","",INDEX(TotalApuestas!$A$1:$GL$50000,MATCH(Seguimiento!$C18,TotalApuestas!$B$1:$B$50000,0),MATCH(Seguimiento!G$1,Resultado!$2:$2,0)))</f>
        <v/>
      </c>
      <c r="H18" s="231" t="str">
        <f t="shared" si="7"/>
        <v/>
      </c>
      <c r="I18" s="233" t="str" cm="1">
        <f t="array" ref="I18">IF($C18="","",INDEX(TotalApuestas!$A$1:$GL$50000,MATCH(Seguimiento!$C18,TotalApuestas!$B$1:$B$50000,0),MATCH(Seguimiento!G$1,Resultado!$2:$2,0)+1))</f>
        <v/>
      </c>
      <c r="J18" s="230" t="str">
        <f>IF($C18="","",INDEX(TotalApuestas!$A$1:$GL$50000,MATCH(Seguimiento!$C18,TotalApuestas!$B$1:$B$50000,0),MATCH(Seguimiento!J$1,Resultado!$2:$2,0)))</f>
        <v/>
      </c>
      <c r="K18" s="231" t="str">
        <f t="shared" si="8"/>
        <v/>
      </c>
      <c r="L18" s="230" t="str" cm="1">
        <f t="array" ref="L18">IF($C18="","",INDEX(TotalApuestas!$A$1:$GL$50000,MATCH(Seguimiento!$C18,TotalApuestas!$B$1:$B$50000,0),MATCH(Seguimiento!J$1,Resultado!$2:$2,0)+1))</f>
        <v/>
      </c>
      <c r="M18" s="232" t="str">
        <f>IF($C18="","",INDEX(TotalApuestas!$A$1:$GL$50000,MATCH(Seguimiento!$C18,TotalApuestas!$B$1:$B$50000,0),MATCH(Seguimiento!M$1,Resultado!$2:$2,0)))</f>
        <v/>
      </c>
      <c r="N18" s="231" t="str">
        <f t="shared" si="9"/>
        <v/>
      </c>
      <c r="O18" s="233" t="str" cm="1">
        <f t="array" ref="O18">IF($C18="","",INDEX(TotalApuestas!$A$1:$GL$50000,MATCH(Seguimiento!$C18,TotalApuestas!$B$1:$B$50000,0),MATCH(Seguimiento!M$1,Resultado!$2:$2,0)+1))</f>
        <v/>
      </c>
      <c r="P18" s="123"/>
      <c r="R18" s="214"/>
      <c r="S18" s="218" t="str">
        <f>IF(ClasificaciónPorra!D17=0,"",ClasificaciónPorra!D17)</f>
        <v/>
      </c>
      <c r="T18" s="171" t="str" cm="1">
        <f t="array" ref="T18">IF(OR(T$5="",$S18=""),"",IFERROR(INDEX(TotalApuestas!$A$1:$GL$50000,MATCH(Seguimiento!$S18,TotalApuestas!$B$1:$B$50000,0),MATCH("Equipos"&amp;Seguimiento!$S$1,Resultado!$4:$4,0)+COLUMNS($T$1:T$1)-1),0))</f>
        <v/>
      </c>
      <c r="U18" s="171" t="str" cm="1">
        <f t="array" ref="U18">IF(OR(U$5="",$S18=""),"",IFERROR(INDEX(TotalApuestas!$A$1:$GL$50000,MATCH(Seguimiento!$S18,TotalApuestas!$B$1:$B$50000,0),MATCH("Equipos"&amp;Seguimiento!$S$1,Resultado!$4:$4,0)+COLUMNS($T$1:U$1)-1),0))</f>
        <v/>
      </c>
      <c r="V18" s="171" t="str" cm="1">
        <f t="array" ref="V18">IF(OR(V$5="",$S18=""),"",IFERROR(INDEX(TotalApuestas!$A$1:$GL$50000,MATCH(Seguimiento!$S18,TotalApuestas!$B$1:$B$50000,0),MATCH("Equipos"&amp;Seguimiento!$S$1,Resultado!$4:$4,0)+COLUMNS($T$1:V$1)-1),0))</f>
        <v/>
      </c>
      <c r="W18" s="171" t="str" cm="1">
        <f t="array" ref="W18">IF(OR(W$5="",$S18=""),"",IFERROR(INDEX(TotalApuestas!$A$1:$GL$50000,MATCH(Seguimiento!$S18,TotalApuestas!$B$1:$B$50000,0),MATCH("Equipos"&amp;Seguimiento!$S$1,Resultado!$4:$4,0)+COLUMNS($T$1:W$1)-1),0))</f>
        <v/>
      </c>
      <c r="X18" s="171" t="str" cm="1">
        <f t="array" ref="X18">IF(OR(X$5="",$S18=""),"",IFERROR(INDEX(TotalApuestas!$A$1:$GL$50000,MATCH(Seguimiento!$S18,TotalApuestas!$B$1:$B$50000,0),MATCH("Equipos"&amp;Seguimiento!$S$1,Resultado!$4:$4,0)+COLUMNS($T$1:X$1)-1),0))</f>
        <v/>
      </c>
      <c r="Y18" s="171" t="str" cm="1">
        <f t="array" ref="Y18">IF(OR(Y$5="",$S18=""),"",IFERROR(INDEX(TotalApuestas!$A$1:$GL$50000,MATCH(Seguimiento!$S18,TotalApuestas!$B$1:$B$50000,0),MATCH("Equipos"&amp;Seguimiento!$S$1,Resultado!$4:$4,0)+COLUMNS($T$1:Y$1)-1),0))</f>
        <v/>
      </c>
      <c r="Z18" s="171" t="str" cm="1">
        <f t="array" ref="Z18">IF(OR(Z$5="",$S18=""),"",IFERROR(INDEX(TotalApuestas!$A$1:$GL$50000,MATCH(Seguimiento!$S18,TotalApuestas!$B$1:$B$50000,0),MATCH("Equipos"&amp;Seguimiento!$S$1,Resultado!$4:$4,0)+COLUMNS($T$1:Z$1)-1),0))</f>
        <v/>
      </c>
      <c r="AA18" s="219" t="str" cm="1">
        <f t="array" ref="AA18">IF(OR(AA$5="",$S18=""),"",IFERROR(INDEX(TotalApuestas!$A$1:$GL$50000,MATCH(Seguimiento!$S18,TotalApuestas!$B$1:$B$50000,0),MATCH("Equipos"&amp;Seguimiento!$S$1,Resultado!$4:$4,0)+COLUMNS($T$1:AA$1)-1),0))</f>
        <v/>
      </c>
      <c r="AB18" s="123"/>
      <c r="AD18"/>
      <c r="AE18"/>
    </row>
    <row r="19" spans="2:31" ht="15" customHeight="1" x14ac:dyDescent="0.2">
      <c r="B19" s="214"/>
      <c r="C19" s="229" t="str">
        <f>IF(ClasificaciónPorra!D14=0,"",ClasificaciónPorra!D14)</f>
        <v/>
      </c>
      <c r="D19" s="230" t="str">
        <f>IF($C19="","",INDEX(TotalApuestas!$A$1:$GL$50000,MATCH(Seguimiento!$C19,TotalApuestas!$B$1:$B$50000,0),MATCH(Seguimiento!D$1,Resultado!$2:$2,0)))</f>
        <v/>
      </c>
      <c r="E19" s="231" t="str">
        <f t="shared" si="6"/>
        <v/>
      </c>
      <c r="F19" s="230" t="str" cm="1">
        <f t="array" ref="F19">IF($C19="","",INDEX(TotalApuestas!$A$1:$GL$50000,MATCH(Seguimiento!$C19,TotalApuestas!$B$1:$B$50000,0),MATCH(Seguimiento!D$1,Resultado!$2:$2,0)+1))</f>
        <v/>
      </c>
      <c r="G19" s="232" t="str">
        <f>IF($C19="","",INDEX(TotalApuestas!$A$1:$GL$50000,MATCH(Seguimiento!$C19,TotalApuestas!$B$1:$B$50000,0),MATCH(Seguimiento!G$1,Resultado!$2:$2,0)))</f>
        <v/>
      </c>
      <c r="H19" s="231" t="str">
        <f t="shared" si="7"/>
        <v/>
      </c>
      <c r="I19" s="233" t="str" cm="1">
        <f t="array" ref="I19">IF($C19="","",INDEX(TotalApuestas!$A$1:$GL$50000,MATCH(Seguimiento!$C19,TotalApuestas!$B$1:$B$50000,0),MATCH(Seguimiento!G$1,Resultado!$2:$2,0)+1))</f>
        <v/>
      </c>
      <c r="J19" s="230" t="str">
        <f>IF($C19="","",INDEX(TotalApuestas!$A$1:$GL$50000,MATCH(Seguimiento!$C19,TotalApuestas!$B$1:$B$50000,0),MATCH(Seguimiento!J$1,Resultado!$2:$2,0)))</f>
        <v/>
      </c>
      <c r="K19" s="231" t="str">
        <f t="shared" si="8"/>
        <v/>
      </c>
      <c r="L19" s="230" t="str" cm="1">
        <f t="array" ref="L19">IF($C19="","",INDEX(TotalApuestas!$A$1:$GL$50000,MATCH(Seguimiento!$C19,TotalApuestas!$B$1:$B$50000,0),MATCH(Seguimiento!J$1,Resultado!$2:$2,0)+1))</f>
        <v/>
      </c>
      <c r="M19" s="232" t="str">
        <f>IF($C19="","",INDEX(TotalApuestas!$A$1:$GL$50000,MATCH(Seguimiento!$C19,TotalApuestas!$B$1:$B$50000,0),MATCH(Seguimiento!M$1,Resultado!$2:$2,0)))</f>
        <v/>
      </c>
      <c r="N19" s="231" t="str">
        <f t="shared" si="9"/>
        <v/>
      </c>
      <c r="O19" s="233" t="str" cm="1">
        <f t="array" ref="O19">IF($C19="","",INDEX(TotalApuestas!$A$1:$GL$50000,MATCH(Seguimiento!$C19,TotalApuestas!$B$1:$B$50000,0),MATCH(Seguimiento!M$1,Resultado!$2:$2,0)+1))</f>
        <v/>
      </c>
      <c r="P19" s="123"/>
      <c r="R19" s="214"/>
      <c r="S19" s="218" t="str">
        <f>IF(ClasificaciónPorra!D18=0,"",ClasificaciónPorra!D18)</f>
        <v/>
      </c>
      <c r="T19" s="171" t="str" cm="1">
        <f t="array" ref="T19">IF(OR(T$5="",$S19=""),"",IFERROR(INDEX(TotalApuestas!$A$1:$GL$50000,MATCH(Seguimiento!$S19,TotalApuestas!$B$1:$B$50000,0),MATCH("Equipos"&amp;Seguimiento!$S$1,Resultado!$4:$4,0)+COLUMNS($T$1:T$1)-1),0))</f>
        <v/>
      </c>
      <c r="U19" s="171" t="str" cm="1">
        <f t="array" ref="U19">IF(OR(U$5="",$S19=""),"",IFERROR(INDEX(TotalApuestas!$A$1:$GL$50000,MATCH(Seguimiento!$S19,TotalApuestas!$B$1:$B$50000,0),MATCH("Equipos"&amp;Seguimiento!$S$1,Resultado!$4:$4,0)+COLUMNS($T$1:U$1)-1),0))</f>
        <v/>
      </c>
      <c r="V19" s="171" t="str" cm="1">
        <f t="array" ref="V19">IF(OR(V$5="",$S19=""),"",IFERROR(INDEX(TotalApuestas!$A$1:$GL$50000,MATCH(Seguimiento!$S19,TotalApuestas!$B$1:$B$50000,0),MATCH("Equipos"&amp;Seguimiento!$S$1,Resultado!$4:$4,0)+COLUMNS($T$1:V$1)-1),0))</f>
        <v/>
      </c>
      <c r="W19" s="171" t="str" cm="1">
        <f t="array" ref="W19">IF(OR(W$5="",$S19=""),"",IFERROR(INDEX(TotalApuestas!$A$1:$GL$50000,MATCH(Seguimiento!$S19,TotalApuestas!$B$1:$B$50000,0),MATCH("Equipos"&amp;Seguimiento!$S$1,Resultado!$4:$4,0)+COLUMNS($T$1:W$1)-1),0))</f>
        <v/>
      </c>
      <c r="X19" s="171" t="str" cm="1">
        <f t="array" ref="X19">IF(OR(X$5="",$S19=""),"",IFERROR(INDEX(TotalApuestas!$A$1:$GL$50000,MATCH(Seguimiento!$S19,TotalApuestas!$B$1:$B$50000,0),MATCH("Equipos"&amp;Seguimiento!$S$1,Resultado!$4:$4,0)+COLUMNS($T$1:X$1)-1),0))</f>
        <v/>
      </c>
      <c r="Y19" s="171" t="str" cm="1">
        <f t="array" ref="Y19">IF(OR(Y$5="",$S19=""),"",IFERROR(INDEX(TotalApuestas!$A$1:$GL$50000,MATCH(Seguimiento!$S19,TotalApuestas!$B$1:$B$50000,0),MATCH("Equipos"&amp;Seguimiento!$S$1,Resultado!$4:$4,0)+COLUMNS($T$1:Y$1)-1),0))</f>
        <v/>
      </c>
      <c r="Z19" s="171" t="str" cm="1">
        <f t="array" ref="Z19">IF(OR(Z$5="",$S19=""),"",IFERROR(INDEX(TotalApuestas!$A$1:$GL$50000,MATCH(Seguimiento!$S19,TotalApuestas!$B$1:$B$50000,0),MATCH("Equipos"&amp;Seguimiento!$S$1,Resultado!$4:$4,0)+COLUMNS($T$1:Z$1)-1),0))</f>
        <v/>
      </c>
      <c r="AA19" s="219" t="str" cm="1">
        <f t="array" ref="AA19">IF(OR(AA$5="",$S19=""),"",IFERROR(INDEX(TotalApuestas!$A$1:$GL$50000,MATCH(Seguimiento!$S19,TotalApuestas!$B$1:$B$50000,0),MATCH("Equipos"&amp;Seguimiento!$S$1,Resultado!$4:$4,0)+COLUMNS($T$1:AA$1)-1),0))</f>
        <v/>
      </c>
      <c r="AB19" s="123"/>
    </row>
    <row r="20" spans="2:31" ht="15" customHeight="1" x14ac:dyDescent="0.2">
      <c r="B20" s="214"/>
      <c r="C20" s="229" t="str">
        <f>IF(ClasificaciónPorra!D15=0,"",ClasificaciónPorra!D15)</f>
        <v/>
      </c>
      <c r="D20" s="230" t="str">
        <f>IF($C20="","",INDEX(TotalApuestas!$A$1:$GL$50000,MATCH(Seguimiento!$C20,TotalApuestas!$B$1:$B$50000,0),MATCH(Seguimiento!D$1,Resultado!$2:$2,0)))</f>
        <v/>
      </c>
      <c r="E20" s="231" t="str">
        <f t="shared" si="6"/>
        <v/>
      </c>
      <c r="F20" s="230" t="str" cm="1">
        <f t="array" ref="F20">IF($C20="","",INDEX(TotalApuestas!$A$1:$GL$50000,MATCH(Seguimiento!$C20,TotalApuestas!$B$1:$B$50000,0),MATCH(Seguimiento!D$1,Resultado!$2:$2,0)+1))</f>
        <v/>
      </c>
      <c r="G20" s="232" t="str">
        <f>IF($C20="","",INDEX(TotalApuestas!$A$1:$GL$50000,MATCH(Seguimiento!$C20,TotalApuestas!$B$1:$B$50000,0),MATCH(Seguimiento!G$1,Resultado!$2:$2,0)))</f>
        <v/>
      </c>
      <c r="H20" s="231" t="str">
        <f t="shared" si="7"/>
        <v/>
      </c>
      <c r="I20" s="233" t="str" cm="1">
        <f t="array" ref="I20">IF($C20="","",INDEX(TotalApuestas!$A$1:$GL$50000,MATCH(Seguimiento!$C20,TotalApuestas!$B$1:$B$50000,0),MATCH(Seguimiento!G$1,Resultado!$2:$2,0)+1))</f>
        <v/>
      </c>
      <c r="J20" s="230" t="str">
        <f>IF($C20="","",INDEX(TotalApuestas!$A$1:$GL$50000,MATCH(Seguimiento!$C20,TotalApuestas!$B$1:$B$50000,0),MATCH(Seguimiento!J$1,Resultado!$2:$2,0)))</f>
        <v/>
      </c>
      <c r="K20" s="231" t="str">
        <f t="shared" si="8"/>
        <v/>
      </c>
      <c r="L20" s="230" t="str" cm="1">
        <f t="array" ref="L20">IF($C20="","",INDEX(TotalApuestas!$A$1:$GL$50000,MATCH(Seguimiento!$C20,TotalApuestas!$B$1:$B$50000,0),MATCH(Seguimiento!J$1,Resultado!$2:$2,0)+1))</f>
        <v/>
      </c>
      <c r="M20" s="232" t="str">
        <f>IF($C20="","",INDEX(TotalApuestas!$A$1:$GL$50000,MATCH(Seguimiento!$C20,TotalApuestas!$B$1:$B$50000,0),MATCH(Seguimiento!M$1,Resultado!$2:$2,0)))</f>
        <v/>
      </c>
      <c r="N20" s="231" t="str">
        <f t="shared" si="9"/>
        <v/>
      </c>
      <c r="O20" s="233" t="str" cm="1">
        <f t="array" ref="O20">IF($C20="","",INDEX(TotalApuestas!$A$1:$GL$50000,MATCH(Seguimiento!$C20,TotalApuestas!$B$1:$B$50000,0),MATCH(Seguimiento!M$1,Resultado!$2:$2,0)+1))</f>
        <v/>
      </c>
      <c r="P20" s="123"/>
      <c r="R20" s="214"/>
      <c r="S20" s="218" t="str">
        <f>IF(ClasificaciónPorra!D19=0,"",ClasificaciónPorra!D19)</f>
        <v/>
      </c>
      <c r="T20" s="171" t="str" cm="1">
        <f t="array" ref="T20">IF(OR(T$5="",$S20=""),"",IFERROR(INDEX(TotalApuestas!$A$1:$GL$50000,MATCH(Seguimiento!$S20,TotalApuestas!$B$1:$B$50000,0),MATCH("Equipos"&amp;Seguimiento!$S$1,Resultado!$4:$4,0)+COLUMNS($T$1:T$1)-1),0))</f>
        <v/>
      </c>
      <c r="U20" s="171" t="str" cm="1">
        <f t="array" ref="U20">IF(OR(U$5="",$S20=""),"",IFERROR(INDEX(TotalApuestas!$A$1:$GL$50000,MATCH(Seguimiento!$S20,TotalApuestas!$B$1:$B$50000,0),MATCH("Equipos"&amp;Seguimiento!$S$1,Resultado!$4:$4,0)+COLUMNS($T$1:U$1)-1),0))</f>
        <v/>
      </c>
      <c r="V20" s="171" t="str" cm="1">
        <f t="array" ref="V20">IF(OR(V$5="",$S20=""),"",IFERROR(INDEX(TotalApuestas!$A$1:$GL$50000,MATCH(Seguimiento!$S20,TotalApuestas!$B$1:$B$50000,0),MATCH("Equipos"&amp;Seguimiento!$S$1,Resultado!$4:$4,0)+COLUMNS($T$1:V$1)-1),0))</f>
        <v/>
      </c>
      <c r="W20" s="171" t="str" cm="1">
        <f t="array" ref="W20">IF(OR(W$5="",$S20=""),"",IFERROR(INDEX(TotalApuestas!$A$1:$GL$50000,MATCH(Seguimiento!$S20,TotalApuestas!$B$1:$B$50000,0),MATCH("Equipos"&amp;Seguimiento!$S$1,Resultado!$4:$4,0)+COLUMNS($T$1:W$1)-1),0))</f>
        <v/>
      </c>
      <c r="X20" s="171" t="str" cm="1">
        <f t="array" ref="X20">IF(OR(X$5="",$S20=""),"",IFERROR(INDEX(TotalApuestas!$A$1:$GL$50000,MATCH(Seguimiento!$S20,TotalApuestas!$B$1:$B$50000,0),MATCH("Equipos"&amp;Seguimiento!$S$1,Resultado!$4:$4,0)+COLUMNS($T$1:X$1)-1),0))</f>
        <v/>
      </c>
      <c r="Y20" s="171" t="str" cm="1">
        <f t="array" ref="Y20">IF(OR(Y$5="",$S20=""),"",IFERROR(INDEX(TotalApuestas!$A$1:$GL$50000,MATCH(Seguimiento!$S20,TotalApuestas!$B$1:$B$50000,0),MATCH("Equipos"&amp;Seguimiento!$S$1,Resultado!$4:$4,0)+COLUMNS($T$1:Y$1)-1),0))</f>
        <v/>
      </c>
      <c r="Z20" s="171" t="str" cm="1">
        <f t="array" ref="Z20">IF(OR(Z$5="",$S20=""),"",IFERROR(INDEX(TotalApuestas!$A$1:$GL$50000,MATCH(Seguimiento!$S20,TotalApuestas!$B$1:$B$50000,0),MATCH("Equipos"&amp;Seguimiento!$S$1,Resultado!$4:$4,0)+COLUMNS($T$1:Z$1)-1),0))</f>
        <v/>
      </c>
      <c r="AA20" s="219" t="str" cm="1">
        <f t="array" ref="AA20">IF(OR(AA$5="",$S20=""),"",IFERROR(INDEX(TotalApuestas!$A$1:$GL$50000,MATCH(Seguimiento!$S20,TotalApuestas!$B$1:$B$50000,0),MATCH("Equipos"&amp;Seguimiento!$S$1,Resultado!$4:$4,0)+COLUMNS($T$1:AA$1)-1),0))</f>
        <v/>
      </c>
      <c r="AB20" s="123"/>
    </row>
    <row r="21" spans="2:31" ht="15" customHeight="1" x14ac:dyDescent="0.2">
      <c r="B21" s="214"/>
      <c r="C21" s="229" t="str">
        <f>IF(ClasificaciónPorra!D16=0,"",ClasificaciónPorra!D16)</f>
        <v/>
      </c>
      <c r="D21" s="230" t="str">
        <f>IF($C21="","",INDEX(TotalApuestas!$A$1:$GL$50000,MATCH(Seguimiento!$C21,TotalApuestas!$B$1:$B$50000,0),MATCH(Seguimiento!D$1,Resultado!$2:$2,0)))</f>
        <v/>
      </c>
      <c r="E21" s="231" t="str">
        <f t="shared" si="6"/>
        <v/>
      </c>
      <c r="F21" s="230" t="str" cm="1">
        <f t="array" ref="F21">IF($C21="","",INDEX(TotalApuestas!$A$1:$GL$50000,MATCH(Seguimiento!$C21,TotalApuestas!$B$1:$B$50000,0),MATCH(Seguimiento!D$1,Resultado!$2:$2,0)+1))</f>
        <v/>
      </c>
      <c r="G21" s="232" t="str">
        <f>IF($C21="","",INDEX(TotalApuestas!$A$1:$GL$50000,MATCH(Seguimiento!$C21,TotalApuestas!$B$1:$B$50000,0),MATCH(Seguimiento!G$1,Resultado!$2:$2,0)))</f>
        <v/>
      </c>
      <c r="H21" s="231" t="str">
        <f t="shared" si="7"/>
        <v/>
      </c>
      <c r="I21" s="233" t="str" cm="1">
        <f t="array" ref="I21">IF($C21="","",INDEX(TotalApuestas!$A$1:$GL$50000,MATCH(Seguimiento!$C21,TotalApuestas!$B$1:$B$50000,0),MATCH(Seguimiento!G$1,Resultado!$2:$2,0)+1))</f>
        <v/>
      </c>
      <c r="J21" s="230" t="str">
        <f>IF($C21="","",INDEX(TotalApuestas!$A$1:$GL$50000,MATCH(Seguimiento!$C21,TotalApuestas!$B$1:$B$50000,0),MATCH(Seguimiento!J$1,Resultado!$2:$2,0)))</f>
        <v/>
      </c>
      <c r="K21" s="231" t="str">
        <f t="shared" si="8"/>
        <v/>
      </c>
      <c r="L21" s="230" t="str" cm="1">
        <f t="array" ref="L21">IF($C21="","",INDEX(TotalApuestas!$A$1:$GL$50000,MATCH(Seguimiento!$C21,TotalApuestas!$B$1:$B$50000,0),MATCH(Seguimiento!J$1,Resultado!$2:$2,0)+1))</f>
        <v/>
      </c>
      <c r="M21" s="232" t="str">
        <f>IF($C21="","",INDEX(TotalApuestas!$A$1:$GL$50000,MATCH(Seguimiento!$C21,TotalApuestas!$B$1:$B$50000,0),MATCH(Seguimiento!M$1,Resultado!$2:$2,0)))</f>
        <v/>
      </c>
      <c r="N21" s="231" t="str">
        <f t="shared" si="9"/>
        <v/>
      </c>
      <c r="O21" s="233" t="str" cm="1">
        <f t="array" ref="O21">IF($C21="","",INDEX(TotalApuestas!$A$1:$GL$50000,MATCH(Seguimiento!$C21,TotalApuestas!$B$1:$B$50000,0),MATCH(Seguimiento!M$1,Resultado!$2:$2,0)+1))</f>
        <v/>
      </c>
      <c r="P21" s="123"/>
      <c r="R21" s="214"/>
      <c r="S21" s="218" t="str">
        <f>IF(ClasificaciónPorra!D20=0,"",ClasificaciónPorra!D20)</f>
        <v/>
      </c>
      <c r="T21" s="171" t="str" cm="1">
        <f t="array" ref="T21">IF(OR(T$5="",$S21=""),"",IFERROR(INDEX(TotalApuestas!$A$1:$GL$50000,MATCH(Seguimiento!$S21,TotalApuestas!$B$1:$B$50000,0),MATCH("Equipos"&amp;Seguimiento!$S$1,Resultado!$4:$4,0)+COLUMNS($T$1:T$1)-1),0))</f>
        <v/>
      </c>
      <c r="U21" s="171" t="str" cm="1">
        <f t="array" ref="U21">IF(OR(U$5="",$S21=""),"",IFERROR(INDEX(TotalApuestas!$A$1:$GL$50000,MATCH(Seguimiento!$S21,TotalApuestas!$B$1:$B$50000,0),MATCH("Equipos"&amp;Seguimiento!$S$1,Resultado!$4:$4,0)+COLUMNS($T$1:U$1)-1),0))</f>
        <v/>
      </c>
      <c r="V21" s="171" t="str" cm="1">
        <f t="array" ref="V21">IF(OR(V$5="",$S21=""),"",IFERROR(INDEX(TotalApuestas!$A$1:$GL$50000,MATCH(Seguimiento!$S21,TotalApuestas!$B$1:$B$50000,0),MATCH("Equipos"&amp;Seguimiento!$S$1,Resultado!$4:$4,0)+COLUMNS($T$1:V$1)-1),0))</f>
        <v/>
      </c>
      <c r="W21" s="171" t="str" cm="1">
        <f t="array" ref="W21">IF(OR(W$5="",$S21=""),"",IFERROR(INDEX(TotalApuestas!$A$1:$GL$50000,MATCH(Seguimiento!$S21,TotalApuestas!$B$1:$B$50000,0),MATCH("Equipos"&amp;Seguimiento!$S$1,Resultado!$4:$4,0)+COLUMNS($T$1:W$1)-1),0))</f>
        <v/>
      </c>
      <c r="X21" s="171" t="str" cm="1">
        <f t="array" ref="X21">IF(OR(X$5="",$S21=""),"",IFERROR(INDEX(TotalApuestas!$A$1:$GL$50000,MATCH(Seguimiento!$S21,TotalApuestas!$B$1:$B$50000,0),MATCH("Equipos"&amp;Seguimiento!$S$1,Resultado!$4:$4,0)+COLUMNS($T$1:X$1)-1),0))</f>
        <v/>
      </c>
      <c r="Y21" s="171" t="str" cm="1">
        <f t="array" ref="Y21">IF(OR(Y$5="",$S21=""),"",IFERROR(INDEX(TotalApuestas!$A$1:$GL$50000,MATCH(Seguimiento!$S21,TotalApuestas!$B$1:$B$50000,0),MATCH("Equipos"&amp;Seguimiento!$S$1,Resultado!$4:$4,0)+COLUMNS($T$1:Y$1)-1),0))</f>
        <v/>
      </c>
      <c r="Z21" s="171" t="str" cm="1">
        <f t="array" ref="Z21">IF(OR(Z$5="",$S21=""),"",IFERROR(INDEX(TotalApuestas!$A$1:$GL$50000,MATCH(Seguimiento!$S21,TotalApuestas!$B$1:$B$50000,0),MATCH("Equipos"&amp;Seguimiento!$S$1,Resultado!$4:$4,0)+COLUMNS($T$1:Z$1)-1),0))</f>
        <v/>
      </c>
      <c r="AA21" s="219" t="str" cm="1">
        <f t="array" ref="AA21">IF(OR(AA$5="",$S21=""),"",IFERROR(INDEX(TotalApuestas!$A$1:$GL$50000,MATCH(Seguimiento!$S21,TotalApuestas!$B$1:$B$50000,0),MATCH("Equipos"&amp;Seguimiento!$S$1,Resultado!$4:$4,0)+COLUMNS($T$1:AA$1)-1),0))</f>
        <v/>
      </c>
      <c r="AB21" s="123"/>
    </row>
    <row r="22" spans="2:31" ht="15" customHeight="1" x14ac:dyDescent="0.2">
      <c r="B22" s="214"/>
      <c r="C22" s="229" t="str">
        <f>IF(ClasificaciónPorra!D17=0,"",ClasificaciónPorra!D17)</f>
        <v/>
      </c>
      <c r="D22" s="230" t="str">
        <f>IF($C22="","",INDEX(TotalApuestas!$A$1:$GL$50000,MATCH(Seguimiento!$C22,TotalApuestas!$B$1:$B$50000,0),MATCH(Seguimiento!D$1,Resultado!$2:$2,0)))</f>
        <v/>
      </c>
      <c r="E22" s="231" t="str">
        <f t="shared" si="6"/>
        <v/>
      </c>
      <c r="F22" s="230" t="str" cm="1">
        <f t="array" ref="F22">IF($C22="","",INDEX(TotalApuestas!$A$1:$GL$50000,MATCH(Seguimiento!$C22,TotalApuestas!$B$1:$B$50000,0),MATCH(Seguimiento!D$1,Resultado!$2:$2,0)+1))</f>
        <v/>
      </c>
      <c r="G22" s="232" t="str">
        <f>IF($C22="","",INDEX(TotalApuestas!$A$1:$GL$50000,MATCH(Seguimiento!$C22,TotalApuestas!$B$1:$B$50000,0),MATCH(Seguimiento!G$1,Resultado!$2:$2,0)))</f>
        <v/>
      </c>
      <c r="H22" s="231" t="str">
        <f t="shared" si="7"/>
        <v/>
      </c>
      <c r="I22" s="233" t="str" cm="1">
        <f t="array" ref="I22">IF($C22="","",INDEX(TotalApuestas!$A$1:$GL$50000,MATCH(Seguimiento!$C22,TotalApuestas!$B$1:$B$50000,0),MATCH(Seguimiento!G$1,Resultado!$2:$2,0)+1))</f>
        <v/>
      </c>
      <c r="J22" s="230" t="str">
        <f>IF($C22="","",INDEX(TotalApuestas!$A$1:$GL$50000,MATCH(Seguimiento!$C22,TotalApuestas!$B$1:$B$50000,0),MATCH(Seguimiento!J$1,Resultado!$2:$2,0)))</f>
        <v/>
      </c>
      <c r="K22" s="231" t="str">
        <f t="shared" si="8"/>
        <v/>
      </c>
      <c r="L22" s="230" t="str" cm="1">
        <f t="array" ref="L22">IF($C22="","",INDEX(TotalApuestas!$A$1:$GL$50000,MATCH(Seguimiento!$C22,TotalApuestas!$B$1:$B$50000,0),MATCH(Seguimiento!J$1,Resultado!$2:$2,0)+1))</f>
        <v/>
      </c>
      <c r="M22" s="232" t="str">
        <f>IF($C22="","",INDEX(TotalApuestas!$A$1:$GL$50000,MATCH(Seguimiento!$C22,TotalApuestas!$B$1:$B$50000,0),MATCH(Seguimiento!M$1,Resultado!$2:$2,0)))</f>
        <v/>
      </c>
      <c r="N22" s="231" t="str">
        <f t="shared" si="9"/>
        <v/>
      </c>
      <c r="O22" s="233" t="str" cm="1">
        <f t="array" ref="O22">IF($C22="","",INDEX(TotalApuestas!$A$1:$GL$50000,MATCH(Seguimiento!$C22,TotalApuestas!$B$1:$B$50000,0),MATCH(Seguimiento!M$1,Resultado!$2:$2,0)+1))</f>
        <v/>
      </c>
      <c r="P22" s="123"/>
      <c r="R22" s="214"/>
      <c r="S22" s="218" t="str">
        <f>IF(ClasificaciónPorra!D21=0,"",ClasificaciónPorra!D21)</f>
        <v/>
      </c>
      <c r="T22" s="171" t="str" cm="1">
        <f t="array" ref="T22">IF(OR(T$5="",$S22=""),"",IFERROR(INDEX(TotalApuestas!$A$1:$GL$50000,MATCH(Seguimiento!$S22,TotalApuestas!$B$1:$B$50000,0),MATCH("Equipos"&amp;Seguimiento!$S$1,Resultado!$4:$4,0)+COLUMNS($T$1:T$1)-1),0))</f>
        <v/>
      </c>
      <c r="U22" s="171" t="str" cm="1">
        <f t="array" ref="U22">IF(OR(U$5="",$S22=""),"",IFERROR(INDEX(TotalApuestas!$A$1:$GL$50000,MATCH(Seguimiento!$S22,TotalApuestas!$B$1:$B$50000,0),MATCH("Equipos"&amp;Seguimiento!$S$1,Resultado!$4:$4,0)+COLUMNS($T$1:U$1)-1),0))</f>
        <v/>
      </c>
      <c r="V22" s="171" t="str" cm="1">
        <f t="array" ref="V22">IF(OR(V$5="",$S22=""),"",IFERROR(INDEX(TotalApuestas!$A$1:$GL$50000,MATCH(Seguimiento!$S22,TotalApuestas!$B$1:$B$50000,0),MATCH("Equipos"&amp;Seguimiento!$S$1,Resultado!$4:$4,0)+COLUMNS($T$1:V$1)-1),0))</f>
        <v/>
      </c>
      <c r="W22" s="171" t="str" cm="1">
        <f t="array" ref="W22">IF(OR(W$5="",$S22=""),"",IFERROR(INDEX(TotalApuestas!$A$1:$GL$50000,MATCH(Seguimiento!$S22,TotalApuestas!$B$1:$B$50000,0),MATCH("Equipos"&amp;Seguimiento!$S$1,Resultado!$4:$4,0)+COLUMNS($T$1:W$1)-1),0))</f>
        <v/>
      </c>
      <c r="X22" s="171" t="str" cm="1">
        <f t="array" ref="X22">IF(OR(X$5="",$S22=""),"",IFERROR(INDEX(TotalApuestas!$A$1:$GL$50000,MATCH(Seguimiento!$S22,TotalApuestas!$B$1:$B$50000,0),MATCH("Equipos"&amp;Seguimiento!$S$1,Resultado!$4:$4,0)+COLUMNS($T$1:X$1)-1),0))</f>
        <v/>
      </c>
      <c r="Y22" s="171" t="str" cm="1">
        <f t="array" ref="Y22">IF(OR(Y$5="",$S22=""),"",IFERROR(INDEX(TotalApuestas!$A$1:$GL$50000,MATCH(Seguimiento!$S22,TotalApuestas!$B$1:$B$50000,0),MATCH("Equipos"&amp;Seguimiento!$S$1,Resultado!$4:$4,0)+COLUMNS($T$1:Y$1)-1),0))</f>
        <v/>
      </c>
      <c r="Z22" s="171" t="str" cm="1">
        <f t="array" ref="Z22">IF(OR(Z$5="",$S22=""),"",IFERROR(INDEX(TotalApuestas!$A$1:$GL$50000,MATCH(Seguimiento!$S22,TotalApuestas!$B$1:$B$50000,0),MATCH("Equipos"&amp;Seguimiento!$S$1,Resultado!$4:$4,0)+COLUMNS($T$1:Z$1)-1),0))</f>
        <v/>
      </c>
      <c r="AA22" s="219" t="str" cm="1">
        <f t="array" ref="AA22">IF(OR(AA$5="",$S22=""),"",IFERROR(INDEX(TotalApuestas!$A$1:$GL$50000,MATCH(Seguimiento!$S22,TotalApuestas!$B$1:$B$50000,0),MATCH("Equipos"&amp;Seguimiento!$S$1,Resultado!$4:$4,0)+COLUMNS($T$1:AA$1)-1),0))</f>
        <v/>
      </c>
      <c r="AB22" s="123"/>
    </row>
    <row r="23" spans="2:31" x14ac:dyDescent="0.2">
      <c r="B23" s="214"/>
      <c r="C23" s="229" t="str">
        <f>IF(ClasificaciónPorra!D18=0,"",ClasificaciónPorra!D18)</f>
        <v/>
      </c>
      <c r="D23" s="230" t="str">
        <f>IF($C23="","",INDEX(TotalApuestas!$A$1:$GL$50000,MATCH(Seguimiento!$C23,TotalApuestas!$B$1:$B$50000,0),MATCH(Seguimiento!D$1,Resultado!$2:$2,0)))</f>
        <v/>
      </c>
      <c r="E23" s="231" t="str">
        <f t="shared" si="6"/>
        <v/>
      </c>
      <c r="F23" s="230" t="str" cm="1">
        <f t="array" ref="F23">IF($C23="","",INDEX(TotalApuestas!$A$1:$GL$50000,MATCH(Seguimiento!$C23,TotalApuestas!$B$1:$B$50000,0),MATCH(Seguimiento!D$1,Resultado!$2:$2,0)+1))</f>
        <v/>
      </c>
      <c r="G23" s="232" t="str">
        <f>IF($C23="","",INDEX(TotalApuestas!$A$1:$GL$50000,MATCH(Seguimiento!$C23,TotalApuestas!$B$1:$B$50000,0),MATCH(Seguimiento!G$1,Resultado!$2:$2,0)))</f>
        <v/>
      </c>
      <c r="H23" s="231" t="str">
        <f t="shared" si="7"/>
        <v/>
      </c>
      <c r="I23" s="233" t="str" cm="1">
        <f t="array" ref="I23">IF($C23="","",INDEX(TotalApuestas!$A$1:$GL$50000,MATCH(Seguimiento!$C23,TotalApuestas!$B$1:$B$50000,0),MATCH(Seguimiento!G$1,Resultado!$2:$2,0)+1))</f>
        <v/>
      </c>
      <c r="J23" s="230" t="str">
        <f>IF($C23="","",INDEX(TotalApuestas!$A$1:$GL$50000,MATCH(Seguimiento!$C23,TotalApuestas!$B$1:$B$50000,0),MATCH(Seguimiento!J$1,Resultado!$2:$2,0)))</f>
        <v/>
      </c>
      <c r="K23" s="231" t="str">
        <f t="shared" si="8"/>
        <v/>
      </c>
      <c r="L23" s="230" t="str" cm="1">
        <f t="array" ref="L23">IF($C23="","",INDEX(TotalApuestas!$A$1:$GL$50000,MATCH(Seguimiento!$C23,TotalApuestas!$B$1:$B$50000,0),MATCH(Seguimiento!J$1,Resultado!$2:$2,0)+1))</f>
        <v/>
      </c>
      <c r="M23" s="232" t="str">
        <f>IF($C23="","",INDEX(TotalApuestas!$A$1:$GL$50000,MATCH(Seguimiento!$C23,TotalApuestas!$B$1:$B$50000,0),MATCH(Seguimiento!M$1,Resultado!$2:$2,0)))</f>
        <v/>
      </c>
      <c r="N23" s="231" t="str">
        <f t="shared" si="9"/>
        <v/>
      </c>
      <c r="O23" s="233" t="str" cm="1">
        <f t="array" ref="O23">IF($C23="","",INDEX(TotalApuestas!$A$1:$GL$50000,MATCH(Seguimiento!$C23,TotalApuestas!$B$1:$B$50000,0),MATCH(Seguimiento!M$1,Resultado!$2:$2,0)+1))</f>
        <v/>
      </c>
      <c r="P23" s="123"/>
      <c r="R23" s="214"/>
      <c r="S23" s="218" t="str">
        <f>IF(ClasificaciónPorra!D22=0,"",ClasificaciónPorra!D22)</f>
        <v/>
      </c>
      <c r="T23" s="171" t="str" cm="1">
        <f t="array" ref="T23">IF(OR(T$5="",$S23=""),"",IFERROR(INDEX(TotalApuestas!$A$1:$GL$50000,MATCH(Seguimiento!$S23,TotalApuestas!$B$1:$B$50000,0),MATCH("Equipos"&amp;Seguimiento!$S$1,Resultado!$4:$4,0)+COLUMNS($T$1:T$1)-1),0))</f>
        <v/>
      </c>
      <c r="U23" s="171" t="str" cm="1">
        <f t="array" ref="U23">IF(OR(U$5="",$S23=""),"",IFERROR(INDEX(TotalApuestas!$A$1:$GL$50000,MATCH(Seguimiento!$S23,TotalApuestas!$B$1:$B$50000,0),MATCH("Equipos"&amp;Seguimiento!$S$1,Resultado!$4:$4,0)+COLUMNS($T$1:U$1)-1),0))</f>
        <v/>
      </c>
      <c r="V23" s="171" t="str" cm="1">
        <f t="array" ref="V23">IF(OR(V$5="",$S23=""),"",IFERROR(INDEX(TotalApuestas!$A$1:$GL$50000,MATCH(Seguimiento!$S23,TotalApuestas!$B$1:$B$50000,0),MATCH("Equipos"&amp;Seguimiento!$S$1,Resultado!$4:$4,0)+COLUMNS($T$1:V$1)-1),0))</f>
        <v/>
      </c>
      <c r="W23" s="171" t="str" cm="1">
        <f t="array" ref="W23">IF(OR(W$5="",$S23=""),"",IFERROR(INDEX(TotalApuestas!$A$1:$GL$50000,MATCH(Seguimiento!$S23,TotalApuestas!$B$1:$B$50000,0),MATCH("Equipos"&amp;Seguimiento!$S$1,Resultado!$4:$4,0)+COLUMNS($T$1:W$1)-1),0))</f>
        <v/>
      </c>
      <c r="X23" s="171" t="str" cm="1">
        <f t="array" ref="X23">IF(OR(X$5="",$S23=""),"",IFERROR(INDEX(TotalApuestas!$A$1:$GL$50000,MATCH(Seguimiento!$S23,TotalApuestas!$B$1:$B$50000,0),MATCH("Equipos"&amp;Seguimiento!$S$1,Resultado!$4:$4,0)+COLUMNS($T$1:X$1)-1),0))</f>
        <v/>
      </c>
      <c r="Y23" s="171" t="str" cm="1">
        <f t="array" ref="Y23">IF(OR(Y$5="",$S23=""),"",IFERROR(INDEX(TotalApuestas!$A$1:$GL$50000,MATCH(Seguimiento!$S23,TotalApuestas!$B$1:$B$50000,0),MATCH("Equipos"&amp;Seguimiento!$S$1,Resultado!$4:$4,0)+COLUMNS($T$1:Y$1)-1),0))</f>
        <v/>
      </c>
      <c r="Z23" s="171" t="str" cm="1">
        <f t="array" ref="Z23">IF(OR(Z$5="",$S23=""),"",IFERROR(INDEX(TotalApuestas!$A$1:$GL$50000,MATCH(Seguimiento!$S23,TotalApuestas!$B$1:$B$50000,0),MATCH("Equipos"&amp;Seguimiento!$S$1,Resultado!$4:$4,0)+COLUMNS($T$1:Z$1)-1),0))</f>
        <v/>
      </c>
      <c r="AA23" s="219" t="str" cm="1">
        <f t="array" ref="AA23">IF(OR(AA$5="",$S23=""),"",IFERROR(INDEX(TotalApuestas!$A$1:$GL$50000,MATCH(Seguimiento!$S23,TotalApuestas!$B$1:$B$50000,0),MATCH("Equipos"&amp;Seguimiento!$S$1,Resultado!$4:$4,0)+COLUMNS($T$1:AA$1)-1),0))</f>
        <v/>
      </c>
      <c r="AB23" s="123"/>
    </row>
    <row r="24" spans="2:31" x14ac:dyDescent="0.2">
      <c r="B24" s="214"/>
      <c r="C24" s="229" t="str">
        <f>IF(ClasificaciónPorra!D19=0,"",ClasificaciónPorra!D19)</f>
        <v/>
      </c>
      <c r="D24" s="230" t="str">
        <f>IF($C24="","",INDEX(TotalApuestas!$A$1:$GL$50000,MATCH(Seguimiento!$C24,TotalApuestas!$B$1:$B$50000,0),MATCH(Seguimiento!D$1,Resultado!$2:$2,0)))</f>
        <v/>
      </c>
      <c r="E24" s="231" t="str">
        <f t="shared" si="6"/>
        <v/>
      </c>
      <c r="F24" s="230" t="str" cm="1">
        <f t="array" ref="F24">IF($C24="","",INDEX(TotalApuestas!$A$1:$GL$50000,MATCH(Seguimiento!$C24,TotalApuestas!$B$1:$B$50000,0),MATCH(Seguimiento!D$1,Resultado!$2:$2,0)+1))</f>
        <v/>
      </c>
      <c r="G24" s="232" t="str">
        <f>IF($C24="","",INDEX(TotalApuestas!$A$1:$GL$50000,MATCH(Seguimiento!$C24,TotalApuestas!$B$1:$B$50000,0),MATCH(Seguimiento!G$1,Resultado!$2:$2,0)))</f>
        <v/>
      </c>
      <c r="H24" s="231" t="str">
        <f t="shared" si="7"/>
        <v/>
      </c>
      <c r="I24" s="233" t="str" cm="1">
        <f t="array" ref="I24">IF($C24="","",INDEX(TotalApuestas!$A$1:$GL$50000,MATCH(Seguimiento!$C24,TotalApuestas!$B$1:$B$50000,0),MATCH(Seguimiento!G$1,Resultado!$2:$2,0)+1))</f>
        <v/>
      </c>
      <c r="J24" s="230" t="str">
        <f>IF($C24="","",INDEX(TotalApuestas!$A$1:$GL$50000,MATCH(Seguimiento!$C24,TotalApuestas!$B$1:$B$50000,0),MATCH(Seguimiento!J$1,Resultado!$2:$2,0)))</f>
        <v/>
      </c>
      <c r="K24" s="231" t="str">
        <f t="shared" si="8"/>
        <v/>
      </c>
      <c r="L24" s="230" t="str" cm="1">
        <f t="array" ref="L24">IF($C24="","",INDEX(TotalApuestas!$A$1:$GL$50000,MATCH(Seguimiento!$C24,TotalApuestas!$B$1:$B$50000,0),MATCH(Seguimiento!J$1,Resultado!$2:$2,0)+1))</f>
        <v/>
      </c>
      <c r="M24" s="232" t="str">
        <f>IF($C24="","",INDEX(TotalApuestas!$A$1:$GL$50000,MATCH(Seguimiento!$C24,TotalApuestas!$B$1:$B$50000,0),MATCH(Seguimiento!M$1,Resultado!$2:$2,0)))</f>
        <v/>
      </c>
      <c r="N24" s="231" t="str">
        <f t="shared" si="9"/>
        <v/>
      </c>
      <c r="O24" s="233" t="str" cm="1">
        <f t="array" ref="O24">IF($C24="","",INDEX(TotalApuestas!$A$1:$GL$50000,MATCH(Seguimiento!$C24,TotalApuestas!$B$1:$B$50000,0),MATCH(Seguimiento!M$1,Resultado!$2:$2,0)+1))</f>
        <v/>
      </c>
      <c r="P24" s="123"/>
      <c r="R24" s="214"/>
      <c r="S24" s="218" t="str">
        <f>IF(ClasificaciónPorra!D23=0,"",ClasificaciónPorra!D23)</f>
        <v/>
      </c>
      <c r="T24" s="171" t="str" cm="1">
        <f t="array" ref="T24">IF(OR(T$5="",$S24=""),"",IFERROR(INDEX(TotalApuestas!$A$1:$GL$50000,MATCH(Seguimiento!$S24,TotalApuestas!$B$1:$B$50000,0),MATCH("Equipos"&amp;Seguimiento!$S$1,Resultado!$4:$4,0)+COLUMNS($T$1:T$1)-1),0))</f>
        <v/>
      </c>
      <c r="U24" s="171" t="str" cm="1">
        <f t="array" ref="U24">IF(OR(U$5="",$S24=""),"",IFERROR(INDEX(TotalApuestas!$A$1:$GL$50000,MATCH(Seguimiento!$S24,TotalApuestas!$B$1:$B$50000,0),MATCH("Equipos"&amp;Seguimiento!$S$1,Resultado!$4:$4,0)+COLUMNS($T$1:U$1)-1),0))</f>
        <v/>
      </c>
      <c r="V24" s="171" t="str" cm="1">
        <f t="array" ref="V24">IF(OR(V$5="",$S24=""),"",IFERROR(INDEX(TotalApuestas!$A$1:$GL$50000,MATCH(Seguimiento!$S24,TotalApuestas!$B$1:$B$50000,0),MATCH("Equipos"&amp;Seguimiento!$S$1,Resultado!$4:$4,0)+COLUMNS($T$1:V$1)-1),0))</f>
        <v/>
      </c>
      <c r="W24" s="171" t="str" cm="1">
        <f t="array" ref="W24">IF(OR(W$5="",$S24=""),"",IFERROR(INDEX(TotalApuestas!$A$1:$GL$50000,MATCH(Seguimiento!$S24,TotalApuestas!$B$1:$B$50000,0),MATCH("Equipos"&amp;Seguimiento!$S$1,Resultado!$4:$4,0)+COLUMNS($T$1:W$1)-1),0))</f>
        <v/>
      </c>
      <c r="X24" s="171" t="str" cm="1">
        <f t="array" ref="X24">IF(OR(X$5="",$S24=""),"",IFERROR(INDEX(TotalApuestas!$A$1:$GL$50000,MATCH(Seguimiento!$S24,TotalApuestas!$B$1:$B$50000,0),MATCH("Equipos"&amp;Seguimiento!$S$1,Resultado!$4:$4,0)+COLUMNS($T$1:X$1)-1),0))</f>
        <v/>
      </c>
      <c r="Y24" s="171" t="str" cm="1">
        <f t="array" ref="Y24">IF(OR(Y$5="",$S24=""),"",IFERROR(INDEX(TotalApuestas!$A$1:$GL$50000,MATCH(Seguimiento!$S24,TotalApuestas!$B$1:$B$50000,0),MATCH("Equipos"&amp;Seguimiento!$S$1,Resultado!$4:$4,0)+COLUMNS($T$1:Y$1)-1),0))</f>
        <v/>
      </c>
      <c r="Z24" s="171" t="str" cm="1">
        <f t="array" ref="Z24">IF(OR(Z$5="",$S24=""),"",IFERROR(INDEX(TotalApuestas!$A$1:$GL$50000,MATCH(Seguimiento!$S24,TotalApuestas!$B$1:$B$50000,0),MATCH("Equipos"&amp;Seguimiento!$S$1,Resultado!$4:$4,0)+COLUMNS($T$1:Z$1)-1),0))</f>
        <v/>
      </c>
      <c r="AA24" s="219" t="str" cm="1">
        <f t="array" ref="AA24">IF(OR(AA$5="",$S24=""),"",IFERROR(INDEX(TotalApuestas!$A$1:$GL$50000,MATCH(Seguimiento!$S24,TotalApuestas!$B$1:$B$50000,0),MATCH("Equipos"&amp;Seguimiento!$S$1,Resultado!$4:$4,0)+COLUMNS($T$1:AA$1)-1),0))</f>
        <v/>
      </c>
      <c r="AB24" s="123"/>
    </row>
    <row r="25" spans="2:31" x14ac:dyDescent="0.2">
      <c r="B25" s="214"/>
      <c r="C25" s="229" t="str">
        <f>IF(ClasificaciónPorra!D20=0,"",ClasificaciónPorra!D20)</f>
        <v/>
      </c>
      <c r="D25" s="230" t="str">
        <f>IF($C25="","",INDEX(TotalApuestas!$A$1:$GL$50000,MATCH(Seguimiento!$C25,TotalApuestas!$B$1:$B$50000,0),MATCH(Seguimiento!D$1,Resultado!$2:$2,0)))</f>
        <v/>
      </c>
      <c r="E25" s="231" t="str">
        <f t="shared" si="6"/>
        <v/>
      </c>
      <c r="F25" s="230" t="str" cm="1">
        <f t="array" ref="F25">IF($C25="","",INDEX(TotalApuestas!$A$1:$GL$50000,MATCH(Seguimiento!$C25,TotalApuestas!$B$1:$B$50000,0),MATCH(Seguimiento!D$1,Resultado!$2:$2,0)+1))</f>
        <v/>
      </c>
      <c r="G25" s="232" t="str">
        <f>IF($C25="","",INDEX(TotalApuestas!$A$1:$GL$50000,MATCH(Seguimiento!$C25,TotalApuestas!$B$1:$B$50000,0),MATCH(Seguimiento!G$1,Resultado!$2:$2,0)))</f>
        <v/>
      </c>
      <c r="H25" s="231" t="str">
        <f t="shared" si="7"/>
        <v/>
      </c>
      <c r="I25" s="233" t="str" cm="1">
        <f t="array" ref="I25">IF($C25="","",INDEX(TotalApuestas!$A$1:$GL$50000,MATCH(Seguimiento!$C25,TotalApuestas!$B$1:$B$50000,0),MATCH(Seguimiento!G$1,Resultado!$2:$2,0)+1))</f>
        <v/>
      </c>
      <c r="J25" s="230" t="str">
        <f>IF($C25="","",INDEX(TotalApuestas!$A$1:$GL$50000,MATCH(Seguimiento!$C25,TotalApuestas!$B$1:$B$50000,0),MATCH(Seguimiento!J$1,Resultado!$2:$2,0)))</f>
        <v/>
      </c>
      <c r="K25" s="231" t="str">
        <f t="shared" si="8"/>
        <v/>
      </c>
      <c r="L25" s="230" t="str" cm="1">
        <f t="array" ref="L25">IF($C25="","",INDEX(TotalApuestas!$A$1:$GL$50000,MATCH(Seguimiento!$C25,TotalApuestas!$B$1:$B$50000,0),MATCH(Seguimiento!J$1,Resultado!$2:$2,0)+1))</f>
        <v/>
      </c>
      <c r="M25" s="232" t="str">
        <f>IF($C25="","",INDEX(TotalApuestas!$A$1:$GL$50000,MATCH(Seguimiento!$C25,TotalApuestas!$B$1:$B$50000,0),MATCH(Seguimiento!M$1,Resultado!$2:$2,0)))</f>
        <v/>
      </c>
      <c r="N25" s="231" t="str">
        <f t="shared" si="9"/>
        <v/>
      </c>
      <c r="O25" s="233" t="str" cm="1">
        <f t="array" ref="O25">IF($C25="","",INDEX(TotalApuestas!$A$1:$GL$50000,MATCH(Seguimiento!$C25,TotalApuestas!$B$1:$B$50000,0),MATCH(Seguimiento!M$1,Resultado!$2:$2,0)+1))</f>
        <v/>
      </c>
      <c r="P25" s="123"/>
      <c r="R25" s="214"/>
      <c r="S25" s="234" t="str">
        <f>IF(ClasificaciónPorra!D24=0,"",ClasificaciónPorra!D24)</f>
        <v/>
      </c>
      <c r="T25" s="235" t="str" cm="1">
        <f t="array" ref="T25">IF(OR(T$5="",$S25=""),"",IFERROR(INDEX(TotalApuestas!$A$1:$GL$50000,MATCH(Seguimiento!$S25,TotalApuestas!$B$1:$B$50000,0),MATCH("Equipos"&amp;Seguimiento!$S$1,Resultado!$4:$4,0)+COLUMNS($T$1:T$1)-1),0))</f>
        <v/>
      </c>
      <c r="U25" s="235" t="str" cm="1">
        <f t="array" ref="U25">IF(OR(U$5="",$S25=""),"",IFERROR(INDEX(TotalApuestas!$A$1:$GL$50000,MATCH(Seguimiento!$S25,TotalApuestas!$B$1:$B$50000,0),MATCH("Equipos"&amp;Seguimiento!$S$1,Resultado!$4:$4,0)+COLUMNS($T$1:U$1)-1),0))</f>
        <v/>
      </c>
      <c r="V25" s="235" t="str" cm="1">
        <f t="array" ref="V25">IF(OR(V$5="",$S25=""),"",IFERROR(INDEX(TotalApuestas!$A$1:$GL$50000,MATCH(Seguimiento!$S25,TotalApuestas!$B$1:$B$50000,0),MATCH("Equipos"&amp;Seguimiento!$S$1,Resultado!$4:$4,0)+COLUMNS($T$1:V$1)-1),0))</f>
        <v/>
      </c>
      <c r="W25" s="235" t="str" cm="1">
        <f t="array" ref="W25">IF(OR(W$5="",$S25=""),"",IFERROR(INDEX(TotalApuestas!$A$1:$GL$50000,MATCH(Seguimiento!$S25,TotalApuestas!$B$1:$B$50000,0),MATCH("Equipos"&amp;Seguimiento!$S$1,Resultado!$4:$4,0)+COLUMNS($T$1:W$1)-1),0))</f>
        <v/>
      </c>
      <c r="X25" s="235" t="str" cm="1">
        <f t="array" ref="X25">IF(OR(X$5="",$S25=""),"",IFERROR(INDEX(TotalApuestas!$A$1:$GL$50000,MATCH(Seguimiento!$S25,TotalApuestas!$B$1:$B$50000,0),MATCH("Equipos"&amp;Seguimiento!$S$1,Resultado!$4:$4,0)+COLUMNS($T$1:X$1)-1),0))</f>
        <v/>
      </c>
      <c r="Y25" s="235" t="str" cm="1">
        <f t="array" ref="Y25">IF(OR(Y$5="",$S25=""),"",IFERROR(INDEX(TotalApuestas!$A$1:$GL$50000,MATCH(Seguimiento!$S25,TotalApuestas!$B$1:$B$50000,0),MATCH("Equipos"&amp;Seguimiento!$S$1,Resultado!$4:$4,0)+COLUMNS($T$1:Y$1)-1),0))</f>
        <v/>
      </c>
      <c r="Z25" s="235" t="str" cm="1">
        <f t="array" ref="Z25">IF(OR(Z$5="",$S25=""),"",IFERROR(INDEX(TotalApuestas!$A$1:$GL$50000,MATCH(Seguimiento!$S25,TotalApuestas!$B$1:$B$50000,0),MATCH("Equipos"&amp;Seguimiento!$S$1,Resultado!$4:$4,0)+COLUMNS($T$1:Z$1)-1),0))</f>
        <v/>
      </c>
      <c r="AA25" s="236" t="str" cm="1">
        <f t="array" ref="AA25">IF(OR(AA$5="",$S25=""),"",IFERROR(INDEX(TotalApuestas!$A$1:$GL$50000,MATCH(Seguimiento!$S25,TotalApuestas!$B$1:$B$50000,0),MATCH("Equipos"&amp;Seguimiento!$S$1,Resultado!$4:$4,0)+COLUMNS($T$1:AA$1)-1),0))</f>
        <v/>
      </c>
      <c r="AB25" s="123"/>
    </row>
    <row r="26" spans="2:31" ht="15.75" thickBot="1" x14ac:dyDescent="0.25">
      <c r="B26" s="214"/>
      <c r="C26" s="229" t="str">
        <f>IF(ClasificaciónPorra!D21=0,"",ClasificaciónPorra!D21)</f>
        <v/>
      </c>
      <c r="D26" s="230" t="str">
        <f>IF($C26="","",INDEX(TotalApuestas!$A$1:$GL$50000,MATCH(Seguimiento!$C26,TotalApuestas!$B$1:$B$50000,0),MATCH(Seguimiento!D$1,Resultado!$2:$2,0)))</f>
        <v/>
      </c>
      <c r="E26" s="231" t="str">
        <f t="shared" si="6"/>
        <v/>
      </c>
      <c r="F26" s="230" t="str" cm="1">
        <f t="array" ref="F26">IF($C26="","",INDEX(TotalApuestas!$A$1:$GL$50000,MATCH(Seguimiento!$C26,TotalApuestas!$B$1:$B$50000,0),MATCH(Seguimiento!D$1,Resultado!$2:$2,0)+1))</f>
        <v/>
      </c>
      <c r="G26" s="232" t="str">
        <f>IF($C26="","",INDEX(TotalApuestas!$A$1:$GL$50000,MATCH(Seguimiento!$C26,TotalApuestas!$B$1:$B$50000,0),MATCH(Seguimiento!G$1,Resultado!$2:$2,0)))</f>
        <v/>
      </c>
      <c r="H26" s="231" t="str">
        <f t="shared" si="7"/>
        <v/>
      </c>
      <c r="I26" s="233" t="str" cm="1">
        <f t="array" ref="I26">IF($C26="","",INDEX(TotalApuestas!$A$1:$GL$50000,MATCH(Seguimiento!$C26,TotalApuestas!$B$1:$B$50000,0),MATCH(Seguimiento!G$1,Resultado!$2:$2,0)+1))</f>
        <v/>
      </c>
      <c r="J26" s="230" t="str">
        <f>IF($C26="","",INDEX(TotalApuestas!$A$1:$GL$50000,MATCH(Seguimiento!$C26,TotalApuestas!$B$1:$B$50000,0),MATCH(Seguimiento!J$1,Resultado!$2:$2,0)))</f>
        <v/>
      </c>
      <c r="K26" s="231" t="str">
        <f t="shared" si="8"/>
        <v/>
      </c>
      <c r="L26" s="230" t="str" cm="1">
        <f t="array" ref="L26">IF($C26="","",INDEX(TotalApuestas!$A$1:$GL$50000,MATCH(Seguimiento!$C26,TotalApuestas!$B$1:$B$50000,0),MATCH(Seguimiento!J$1,Resultado!$2:$2,0)+1))</f>
        <v/>
      </c>
      <c r="M26" s="232" t="str">
        <f>IF($C26="","",INDEX(TotalApuestas!$A$1:$GL$50000,MATCH(Seguimiento!$C26,TotalApuestas!$B$1:$B$50000,0),MATCH(Seguimiento!M$1,Resultado!$2:$2,0)))</f>
        <v/>
      </c>
      <c r="N26" s="231" t="str">
        <f t="shared" si="9"/>
        <v/>
      </c>
      <c r="O26" s="233" t="str" cm="1">
        <f t="array" ref="O26">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
      <c r="B27" s="214"/>
      <c r="C27" s="229" t="str">
        <f>IF(ClasificaciónPorra!D22=0,"",ClasificaciónPorra!D22)</f>
        <v/>
      </c>
      <c r="D27" s="230" t="str">
        <f>IF($C27="","",INDEX(TotalApuestas!$A$1:$GL$50000,MATCH(Seguimiento!$C27,TotalApuestas!$B$1:$B$50000,0),MATCH(Seguimiento!D$1,Resultado!$2:$2,0)))</f>
        <v/>
      </c>
      <c r="E27" s="231" t="str">
        <f t="shared" si="6"/>
        <v/>
      </c>
      <c r="F27" s="230" t="str" cm="1">
        <f t="array" ref="F27">IF($C27="","",INDEX(TotalApuestas!$A$1:$GL$50000,MATCH(Seguimiento!$C27,TotalApuestas!$B$1:$B$50000,0),MATCH(Seguimiento!D$1,Resultado!$2:$2,0)+1))</f>
        <v/>
      </c>
      <c r="G27" s="232" t="str">
        <f>IF($C27="","",INDEX(TotalApuestas!$A$1:$GL$50000,MATCH(Seguimiento!$C27,TotalApuestas!$B$1:$B$50000,0),MATCH(Seguimiento!G$1,Resultado!$2:$2,0)))</f>
        <v/>
      </c>
      <c r="H27" s="231" t="str">
        <f t="shared" si="7"/>
        <v/>
      </c>
      <c r="I27" s="233" t="str" cm="1">
        <f t="array" ref="I27">IF($C27="","",INDEX(TotalApuestas!$A$1:$GL$50000,MATCH(Seguimiento!$C27,TotalApuestas!$B$1:$B$50000,0),MATCH(Seguimiento!G$1,Resultado!$2:$2,0)+1))</f>
        <v/>
      </c>
      <c r="J27" s="230" t="str">
        <f>IF($C27="","",INDEX(TotalApuestas!$A$1:$GL$50000,MATCH(Seguimiento!$C27,TotalApuestas!$B$1:$B$50000,0),MATCH(Seguimiento!J$1,Resultado!$2:$2,0)))</f>
        <v/>
      </c>
      <c r="K27" s="231" t="str">
        <f t="shared" si="8"/>
        <v/>
      </c>
      <c r="L27" s="230" t="str" cm="1">
        <f t="array" ref="L27">IF($C27="","",INDEX(TotalApuestas!$A$1:$GL$50000,MATCH(Seguimiento!$C27,TotalApuestas!$B$1:$B$50000,0),MATCH(Seguimiento!J$1,Resultado!$2:$2,0)+1))</f>
        <v/>
      </c>
      <c r="M27" s="232" t="str">
        <f>IF($C27="","",INDEX(TotalApuestas!$A$1:$GL$50000,MATCH(Seguimiento!$C27,TotalApuestas!$B$1:$B$50000,0),MATCH(Seguimiento!M$1,Resultado!$2:$2,0)))</f>
        <v/>
      </c>
      <c r="N27" s="231" t="str">
        <f t="shared" si="9"/>
        <v/>
      </c>
      <c r="O27" s="233" t="str" cm="1">
        <f t="array" ref="O27">IF($C27="","",INDEX(TotalApuestas!$A$1:$GL$50000,MATCH(Seguimiento!$C27,TotalApuestas!$B$1:$B$50000,0),MATCH(Seguimiento!M$1,Resultado!$2:$2,0)+1))</f>
        <v/>
      </c>
      <c r="P27" s="123"/>
    </row>
    <row r="28" spans="2:31" x14ac:dyDescent="0.2">
      <c r="B28" s="214"/>
      <c r="C28" s="229" t="str">
        <f>IF(ClasificaciónPorra!D23=0,"",ClasificaciónPorra!D23)</f>
        <v/>
      </c>
      <c r="D28" s="230" t="str">
        <f>IF($C28="","",INDEX(TotalApuestas!$A$1:$GL$50000,MATCH(Seguimiento!$C28,TotalApuestas!$B$1:$B$50000,0),MATCH(Seguimiento!D$1,Resultado!$2:$2,0)))</f>
        <v/>
      </c>
      <c r="E28" s="231" t="str">
        <f t="shared" si="6"/>
        <v/>
      </c>
      <c r="F28" s="230" t="str" cm="1">
        <f t="array" ref="F28">IF($C28="","",INDEX(TotalApuestas!$A$1:$GL$50000,MATCH(Seguimiento!$C28,TotalApuestas!$B$1:$B$50000,0),MATCH(Seguimiento!D$1,Resultado!$2:$2,0)+1))</f>
        <v/>
      </c>
      <c r="G28" s="232" t="str">
        <f>IF($C28="","",INDEX(TotalApuestas!$A$1:$GL$50000,MATCH(Seguimiento!$C28,TotalApuestas!$B$1:$B$50000,0),MATCH(Seguimiento!G$1,Resultado!$2:$2,0)))</f>
        <v/>
      </c>
      <c r="H28" s="231" t="str">
        <f t="shared" si="7"/>
        <v/>
      </c>
      <c r="I28" s="233" t="str" cm="1">
        <f t="array" ref="I28">IF($C28="","",INDEX(TotalApuestas!$A$1:$GL$50000,MATCH(Seguimiento!$C28,TotalApuestas!$B$1:$B$50000,0),MATCH(Seguimiento!G$1,Resultado!$2:$2,0)+1))</f>
        <v/>
      </c>
      <c r="J28" s="230" t="str">
        <f>IF($C28="","",INDEX(TotalApuestas!$A$1:$GL$50000,MATCH(Seguimiento!$C28,TotalApuestas!$B$1:$B$50000,0),MATCH(Seguimiento!J$1,Resultado!$2:$2,0)))</f>
        <v/>
      </c>
      <c r="K28" s="231" t="str">
        <f t="shared" si="8"/>
        <v/>
      </c>
      <c r="L28" s="230" t="str" cm="1">
        <f t="array" ref="L28">IF($C28="","",INDEX(TotalApuestas!$A$1:$GL$50000,MATCH(Seguimiento!$C28,TotalApuestas!$B$1:$B$50000,0),MATCH(Seguimiento!J$1,Resultado!$2:$2,0)+1))</f>
        <v/>
      </c>
      <c r="M28" s="232" t="str">
        <f>IF($C28="","",INDEX(TotalApuestas!$A$1:$GL$50000,MATCH(Seguimiento!$C28,TotalApuestas!$B$1:$B$50000,0),MATCH(Seguimiento!M$1,Resultado!$2:$2,0)))</f>
        <v/>
      </c>
      <c r="N28" s="231" t="str">
        <f t="shared" si="9"/>
        <v/>
      </c>
      <c r="O28" s="233" t="str" cm="1">
        <f t="array" ref="O28">IF($C28="","",INDEX(TotalApuestas!$A$1:$GL$50000,MATCH(Seguimiento!$C28,TotalApuestas!$B$1:$B$50000,0),MATCH(Seguimiento!M$1,Resultado!$2:$2,0)+1))</f>
        <v/>
      </c>
      <c r="P28" s="123"/>
    </row>
    <row r="29" spans="2:31" x14ac:dyDescent="0.2">
      <c r="B29" s="214"/>
      <c r="C29" s="239" t="str">
        <f>IF(ClasificaciónPorra!D24=0,"",ClasificaciónPorra!D24)</f>
        <v/>
      </c>
      <c r="D29" s="240" t="str">
        <f>IF($C29="","",INDEX(TotalApuestas!$A$1:$GL$50000,MATCH(Seguimiento!$C29,TotalApuestas!$B$1:$B$50000,0),MATCH(Seguimiento!D$1,Resultado!$2:$2,0)))</f>
        <v/>
      </c>
      <c r="E29" s="222" t="str">
        <f t="shared" si="6"/>
        <v/>
      </c>
      <c r="F29" s="240" t="str" cm="1">
        <f t="array" ref="F29">IF($C29="","",INDEX(TotalApuestas!$A$1:$GL$50000,MATCH(Seguimiento!$C29,TotalApuestas!$B$1:$B$50000,0),MATCH(Seguimiento!D$1,Resultado!$2:$2,0)+1))</f>
        <v/>
      </c>
      <c r="G29" s="241" t="str">
        <f>IF($C29="","",INDEX(TotalApuestas!$A$1:$GL$50000,MATCH(Seguimiento!$C29,TotalApuestas!$B$1:$B$50000,0),MATCH(Seguimiento!G$1,Resultado!$2:$2,0)))</f>
        <v/>
      </c>
      <c r="H29" s="222" t="str">
        <f t="shared" si="7"/>
        <v/>
      </c>
      <c r="I29" s="242" t="str" cm="1">
        <f t="array" ref="I29">IF($C29="","",INDEX(TotalApuestas!$A$1:$GL$50000,MATCH(Seguimiento!$C29,TotalApuestas!$B$1:$B$50000,0),MATCH(Seguimiento!G$1,Resultado!$2:$2,0)+1))</f>
        <v/>
      </c>
      <c r="J29" s="240" t="str">
        <f>IF($C29="","",INDEX(TotalApuestas!$A$1:$GL$50000,MATCH(Seguimiento!$C29,TotalApuestas!$B$1:$B$50000,0),MATCH(Seguimiento!J$1,Resultado!$2:$2,0)))</f>
        <v/>
      </c>
      <c r="K29" s="222" t="str">
        <f t="shared" si="8"/>
        <v/>
      </c>
      <c r="L29" s="240" t="str" cm="1">
        <f t="array" ref="L29">IF($C29="","",INDEX(TotalApuestas!$A$1:$GL$50000,MATCH(Seguimiento!$C29,TotalApuestas!$B$1:$B$50000,0),MATCH(Seguimiento!J$1,Resultado!$2:$2,0)+1))</f>
        <v/>
      </c>
      <c r="M29" s="241" t="str">
        <f>IF($C29="","",INDEX(TotalApuestas!$A$1:$GL$50000,MATCH(Seguimiento!$C29,TotalApuestas!$B$1:$B$50000,0),MATCH(Seguimiento!M$1,Resultado!$2:$2,0)))</f>
        <v/>
      </c>
      <c r="N29" s="222" t="str">
        <f t="shared" si="9"/>
        <v/>
      </c>
      <c r="O29" s="242" t="str" cm="1">
        <f t="array" ref="O29">IF($C29="","",INDEX(TotalApuestas!$A$1:$GL$50000,MATCH(Seguimiento!$C29,TotalApuestas!$B$1:$B$50000,0),MATCH(Seguimiento!M$1,Resultado!$2:$2,0)+1))</f>
        <v/>
      </c>
      <c r="P29" s="123"/>
    </row>
    <row r="30" spans="2:31" ht="15.75" thickBot="1" x14ac:dyDescent="0.25">
      <c r="B30" s="237"/>
      <c r="C30" s="238"/>
      <c r="D30" s="238"/>
      <c r="E30" s="238"/>
      <c r="F30" s="238"/>
      <c r="G30" s="238"/>
      <c r="H30" s="238"/>
      <c r="I30" s="238"/>
      <c r="J30" s="238"/>
      <c r="K30" s="238"/>
      <c r="L30" s="238"/>
      <c r="M30" s="238"/>
      <c r="N30" s="238"/>
      <c r="O30" s="238"/>
      <c r="P30" s="99"/>
    </row>
    <row r="32" spans="2:31" ht="15.75" thickBot="1" x14ac:dyDescent="0.25">
      <c r="Q32" s="259"/>
    </row>
    <row r="33" spans="17:17" x14ac:dyDescent="0.2">
      <c r="Q33" s="286" t="s">
        <v>193</v>
      </c>
    </row>
    <row r="34" spans="17:17" ht="15.75" thickBot="1" x14ac:dyDescent="0.25">
      <c r="Q34" s="287"/>
    </row>
    <row r="35" spans="17:17" x14ac:dyDescent="0.2">
      <c r="Q35" s="276" t="s">
        <v>194</v>
      </c>
    </row>
    <row r="36" spans="17:17" ht="15.75" thickBot="1" x14ac:dyDescent="0.25">
      <c r="Q36" s="277"/>
    </row>
    <row r="37" spans="17:17" x14ac:dyDescent="0.2">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
  <sheetViews>
    <sheetView showGridLines="0" zoomScale="175" zoomScaleNormal="175" workbookViewId="0">
      <pane xSplit="1" ySplit="1" topLeftCell="B2" activePane="bottomRight" state="frozen"/>
      <selection activeCell="AA17" sqref="AA17"/>
      <selection pane="bottomLeft" activeCell="AA17" sqref="AA17"/>
      <selection pane="topRight" activeCell="AA17" sqref="AA17"/>
      <selection pane="bottomRight"/>
    </sheetView>
  </sheetViews>
  <sheetFormatPr defaultColWidth="10.76171875" defaultRowHeight="15" x14ac:dyDescent="0.2"/>
  <cols>
    <col min="1" max="1" width="13.71875" bestFit="1" customWidth="1"/>
    <col min="2" max="10" width="10.0859375" bestFit="1" customWidth="1"/>
    <col min="11" max="78" width="11.1640625" bestFit="1" customWidth="1"/>
    <col min="79" max="79" width="12.5078125" bestFit="1" customWidth="1"/>
    <col min="80" max="85" width="11.1640625" bestFit="1" customWidth="1"/>
    <col min="86" max="87" width="12.5078125" bestFit="1" customWidth="1"/>
    <col min="88" max="90" width="11.1640625" bestFit="1" customWidth="1"/>
    <col min="91" max="92" width="12.5078125" bestFit="1" customWidth="1"/>
    <col min="93" max="93" width="11.1640625" bestFit="1" customWidth="1"/>
    <col min="94" max="94" width="12.5078125" bestFit="1" customWidth="1"/>
    <col min="95" max="100" width="11.1640625" bestFit="1" customWidth="1"/>
    <col min="101" max="119" width="12.10546875" bestFit="1" customWidth="1"/>
    <col min="120" max="194" width="10.76171875" bestFit="1" customWidth="1"/>
    <col min="195" max="212" width="9.28125" customWidth="1"/>
    <col min="232" max="279" width="4.9765625" customWidth="1"/>
  </cols>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defaultColWidth="10.76171875" defaultRowHeight="15" x14ac:dyDescent="0.2"/>
  <cols>
    <col min="2" max="2" width="17.21875" customWidth="1"/>
    <col min="5" max="76" width="6.05078125" customWidth="1"/>
    <col min="81" max="95" width="10.76171875" customWidth="1"/>
    <col min="96" max="119" width="6.05078125" customWidth="1"/>
    <col min="139" max="161" width="4.9765625" customWidth="1"/>
  </cols>
  <sheetData>
    <row r="1" spans="2:119" x14ac:dyDescent="0.2">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
      <c r="B3" s="85" t="s">
        <v>99</v>
      </c>
      <c r="E3" s="191">
        <f ca="1">VLOOKUP(E2,Aux!$F:$O,9,0)</f>
        <v>1</v>
      </c>
      <c r="F3" s="191">
        <f ca="1">VLOOKUP(E2,Aux!$F:$O,10,0)</f>
        <v>1</v>
      </c>
      <c r="G3" s="191" t="str">
        <f ca="1">IF(OR(E3="",F3=""),"",IF(E3&gt;F3,1,IF(E3=F3,"x",2)))</f>
        <v>x</v>
      </c>
      <c r="H3" s="191">
        <f ca="1">VLOOKUP(H2,Aux!$F:$O,9,0)</f>
        <v>2</v>
      </c>
      <c r="I3" s="191">
        <f ca="1">VLOOKUP(H2,Aux!$F:$O,10,0)</f>
        <v>2</v>
      </c>
      <c r="J3" s="191" t="str">
        <f t="shared" ref="J3" ca="1" si="0">IF(OR(H3="",I3=""),"",IF(H3&gt;I3,1,IF(H3=I3,"x",2)))</f>
        <v>x</v>
      </c>
      <c r="K3" s="191">
        <f ca="1">VLOOKUP(K2,Aux!$F:$O,9,0)</f>
        <v>1</v>
      </c>
      <c r="L3" s="191">
        <f ca="1">VLOOKUP(K2,Aux!$F:$O,10,0)</f>
        <v>1</v>
      </c>
      <c r="M3" s="191" t="str">
        <f t="shared" ref="M3" ca="1" si="1">IF(OR(K3="",L3=""),"",IF(K3&gt;L3,1,IF(K3=L3,"x",2)))</f>
        <v>x</v>
      </c>
      <c r="N3" s="191">
        <f ca="1">VLOOKUP(N2,Aux!$F:$O,9,0)</f>
        <v>3</v>
      </c>
      <c r="O3" s="191">
        <f ca="1">VLOOKUP(N2,Aux!$F:$O,10,0)</f>
        <v>1</v>
      </c>
      <c r="P3" s="191">
        <f t="shared" ref="P3" ca="1" si="2">IF(OR(N3="",O3=""),"",IF(N3&gt;O3,1,IF(N3=O3,"x",2)))</f>
        <v>1</v>
      </c>
      <c r="Q3" s="191">
        <f ca="1">VLOOKUP(Q2,Aux!$F:$O,9,0)</f>
        <v>2</v>
      </c>
      <c r="R3" s="191">
        <f ca="1">VLOOKUP(Q2,Aux!$F:$O,10,0)</f>
        <v>0</v>
      </c>
      <c r="S3" s="191">
        <f t="shared" ref="S3" ca="1" si="3">IF(OR(Q3="",R3=""),"",IF(Q3&gt;R3,1,IF(Q3=R3,"x",2)))</f>
        <v>1</v>
      </c>
      <c r="T3" s="191">
        <f ca="1">VLOOKUP(T2,Aux!$F:$O,9,0)</f>
        <v>4</v>
      </c>
      <c r="U3" s="191">
        <f ca="1">VLOOKUP(T2,Aux!$F:$O,10,0)</f>
        <v>0</v>
      </c>
      <c r="V3" s="191">
        <f t="shared" ref="V3" ca="1" si="4">IF(OR(T3="",U3=""),"",IF(T3&gt;U3,1,IF(T3=U3,"x",2)))</f>
        <v>1</v>
      </c>
      <c r="W3" s="191">
        <f ca="1">VLOOKUP(W2,Aux!$F:$O,9,0)</f>
        <v>1</v>
      </c>
      <c r="X3" s="191">
        <f ca="1">VLOOKUP(W2,Aux!$F:$O,10,0)</f>
        <v>0</v>
      </c>
      <c r="Y3" s="191">
        <f t="shared" ref="Y3" ca="1" si="5">IF(OR(W3="",X3=""),"",IF(W3&gt;X3,1,IF(W3=X3,"x",2)))</f>
        <v>1</v>
      </c>
      <c r="Z3" s="191">
        <f ca="1">VLOOKUP(Z2,Aux!$F:$O,9,0)</f>
        <v>2</v>
      </c>
      <c r="AA3" s="191">
        <f ca="1">VLOOKUP(Z2,Aux!$F:$O,10,0)</f>
        <v>0</v>
      </c>
      <c r="AB3" s="191">
        <f t="shared" ref="AB3" ca="1" si="6">IF(OR(Z3="",AA3=""),"",IF(Z3&gt;AA3,1,IF(Z3=AA3,"x",2)))</f>
        <v>1</v>
      </c>
      <c r="AC3" s="191">
        <f ca="1">VLOOKUP(AC2,Aux!$F:$O,9,0)</f>
        <v>1</v>
      </c>
      <c r="AD3" s="191">
        <f ca="1">VLOOKUP(AC2,Aux!$F:$O,10,0)</f>
        <v>3</v>
      </c>
      <c r="AE3" s="191">
        <f t="shared" ref="AE3" ca="1" si="7">IF(OR(AC3="",AD3=""),"",IF(AC3&gt;AD3,1,IF(AC3=AD3,"x",2)))</f>
        <v>2</v>
      </c>
      <c r="AF3" s="191">
        <f ca="1">VLOOKUP(AF2,Aux!$F:$O,9,0)</f>
        <v>1</v>
      </c>
      <c r="AG3" s="191">
        <f ca="1">VLOOKUP(AF2,Aux!$F:$O,10,0)</f>
        <v>2</v>
      </c>
      <c r="AH3" s="191">
        <f t="shared" ref="AH3" ca="1" si="8">IF(OR(AF3="",AG3=""),"",IF(AF3&gt;AG3,1,IF(AF3=AG3,"x",2)))</f>
        <v>2</v>
      </c>
      <c r="AI3" s="191">
        <f ca="1">VLOOKUP(AI2,Aux!$F:$O,9,0)</f>
        <v>1</v>
      </c>
      <c r="AJ3" s="191">
        <f ca="1">VLOOKUP(AI2,Aux!$F:$O,10,0)</f>
        <v>0</v>
      </c>
      <c r="AK3" s="191">
        <f t="shared" ref="AK3" ca="1" si="9">IF(OR(AI3="",AJ3=""),"",IF(AI3&gt;AJ3,1,IF(AI3=AJ3,"x",2)))</f>
        <v>1</v>
      </c>
      <c r="AL3" s="191">
        <f ca="1">VLOOKUP(AL2,Aux!$F:$O,9,0)</f>
        <v>2</v>
      </c>
      <c r="AM3" s="191">
        <f ca="1">VLOOKUP(AL2,Aux!$F:$O,10,0)</f>
        <v>1</v>
      </c>
      <c r="AN3" s="191">
        <f t="shared" ref="AN3" ca="1" si="10">IF(OR(AL3="",AM3=""),"",IF(AL3&gt;AM3,1,IF(AL3=AM3,"x",2)))</f>
        <v>1</v>
      </c>
      <c r="AO3" s="191">
        <f ca="1">VLOOKUP(AO2,Aux!$F:$O,9,0)</f>
        <v>1</v>
      </c>
      <c r="AP3" s="191">
        <f ca="1">VLOOKUP(AO2,Aux!$F:$O,10,0)</f>
        <v>2</v>
      </c>
      <c r="AQ3" s="191">
        <f t="shared" ref="AQ3" ca="1" si="11">IF(OR(AO3="",AP3=""),"",IF(AO3&gt;AP3,1,IF(AO3=AP3,"x",2)))</f>
        <v>2</v>
      </c>
      <c r="AR3" s="191">
        <f ca="1">VLOOKUP(AR2,Aux!$F:$O,9,0)</f>
        <v>4</v>
      </c>
      <c r="AS3" s="191">
        <f ca="1">VLOOKUP(AR2,Aux!$F:$O,10,0)</f>
        <v>2</v>
      </c>
      <c r="AT3" s="191">
        <f t="shared" ref="AT3" ca="1" si="12">IF(OR(AR3="",AS3=""),"",IF(AR3&gt;AS3,1,IF(AR3=AS3,"x",2)))</f>
        <v>1</v>
      </c>
      <c r="AU3" s="191">
        <f ca="1">VLOOKUP(AU2,Aux!$F:$O,9,0)</f>
        <v>3</v>
      </c>
      <c r="AV3" s="191">
        <f ca="1">VLOOKUP(AU2,Aux!$F:$O,10,0)</f>
        <v>1</v>
      </c>
      <c r="AW3" s="191">
        <f t="shared" ref="AW3" ca="1" si="13">IF(OR(AU3="",AV3=""),"",IF(AU3&gt;AV3,1,IF(AU3=AV3,"x",2)))</f>
        <v>1</v>
      </c>
      <c r="AX3" s="191">
        <f ca="1">VLOOKUP(AX2,Aux!$F:$O,9,0)</f>
        <v>2</v>
      </c>
      <c r="AY3" s="191">
        <f ca="1">VLOOKUP(AX2,Aux!$F:$O,10,0)</f>
        <v>2</v>
      </c>
      <c r="AZ3" s="191" t="str">
        <f t="shared" ref="AZ3" ca="1" si="14">IF(OR(AX3="",AY3=""),"",IF(AX3&gt;AY3,1,IF(AX3=AY3,"x",2)))</f>
        <v>x</v>
      </c>
      <c r="BA3" s="191">
        <f ca="1">VLOOKUP(BA2,Aux!$F:$O,9,0)</f>
        <v>3</v>
      </c>
      <c r="BB3" s="191">
        <f ca="1">VLOOKUP(BA2,Aux!$F:$O,10,0)</f>
        <v>0</v>
      </c>
      <c r="BC3" s="191">
        <f t="shared" ref="BC3" ca="1" si="15">IF(OR(BA3="",BB3=""),"",IF(BA3&gt;BB3,1,IF(BA3=BB3,"x",2)))</f>
        <v>1</v>
      </c>
      <c r="BD3" s="191">
        <f ca="1">VLOOKUP(BD2,Aux!$F:$O,9,0)</f>
        <v>0</v>
      </c>
      <c r="BE3" s="191">
        <f ca="1">VLOOKUP(BD2,Aux!$F:$O,10,0)</f>
        <v>2</v>
      </c>
      <c r="BF3" s="191">
        <f t="shared" ref="BF3" ca="1" si="16">IF(OR(BD3="",BE3=""),"",IF(BD3&gt;BE3,1,IF(BD3=BE3,"x",2)))</f>
        <v>2</v>
      </c>
      <c r="BG3" s="191">
        <f ca="1">VLOOKUP(BG2,Aux!$F:$O,9,0)</f>
        <v>2</v>
      </c>
      <c r="BH3" s="191">
        <f ca="1">VLOOKUP(BG2,Aux!$F:$O,10,0)</f>
        <v>3</v>
      </c>
      <c r="BI3" s="191">
        <f t="shared" ref="BI3" ca="1" si="17">IF(OR(BG3="",BH3=""),"",IF(BG3&gt;BH3,1,IF(BG3=BH3,"x",2)))</f>
        <v>2</v>
      </c>
      <c r="BJ3" s="191">
        <f ca="1">VLOOKUP(BJ2,Aux!$F:$O,9,0)</f>
        <v>1</v>
      </c>
      <c r="BK3" s="191">
        <f ca="1">VLOOKUP(BJ2,Aux!$F:$O,10,0)</f>
        <v>2</v>
      </c>
      <c r="BL3" s="191">
        <f t="shared" ref="BL3" ca="1" si="18">IF(OR(BJ3="",BK3=""),"",IF(BJ3&gt;BK3,1,IF(BJ3=BK3,"x",2)))</f>
        <v>2</v>
      </c>
      <c r="BM3" s="191">
        <f ca="1">VLOOKUP(BM2,Aux!$F:$O,9,0)</f>
        <v>0</v>
      </c>
      <c r="BN3" s="191">
        <f ca="1">VLOOKUP(BM2,Aux!$F:$O,10,0)</f>
        <v>1</v>
      </c>
      <c r="BO3" s="191">
        <f t="shared" ref="BO3" ca="1" si="19">IF(OR(BM3="",BN3=""),"",IF(BM3&gt;BN3,1,IF(BM3=BN3,"x",2)))</f>
        <v>2</v>
      </c>
      <c r="BP3" s="191">
        <f ca="1">VLOOKUP(BP2,Aux!$F:$O,9,0)</f>
        <v>2</v>
      </c>
      <c r="BQ3" s="191">
        <f ca="1">VLOOKUP(BP2,Aux!$F:$O,10,0)</f>
        <v>1</v>
      </c>
      <c r="BR3" s="191">
        <f t="shared" ref="BR3" ca="1" si="20">IF(OR(BP3="",BQ3=""),"",IF(BP3&gt;BQ3,1,IF(BP3=BQ3,"x",2)))</f>
        <v>1</v>
      </c>
      <c r="BS3" s="191">
        <f ca="1">VLOOKUP(BS2,Aux!$F:$O,9,0)</f>
        <v>3</v>
      </c>
      <c r="BT3" s="191">
        <f ca="1">VLOOKUP(BS2,Aux!$F:$O,10,0)</f>
        <v>2</v>
      </c>
      <c r="BU3" s="191">
        <f t="shared" ref="BU3" ca="1" si="21">IF(OR(BS3="",BT3=""),"",IF(BS3&gt;BT3,1,IF(BS3=BT3,"x",2)))</f>
        <v>1</v>
      </c>
      <c r="BV3" s="191">
        <f ca="1">VLOOKUP(BV2,Aux!$F:$O,9,0)</f>
        <v>0</v>
      </c>
      <c r="BW3" s="191">
        <f ca="1">VLOOKUP(BV2,Aux!$F:$O,10,0)</f>
        <v>0</v>
      </c>
      <c r="BX3" s="191" t="str">
        <f t="shared" ref="BX3" ca="1" si="22">IF(OR(BV3="",BW3=""),"",IF(BV3&gt;BW3,1,IF(BV3=BW3,"x",2)))</f>
        <v>x</v>
      </c>
      <c r="BY3" s="191" t="str" cm="1">
        <f t="array" aca="1" ref="BY3" ca="1">IF(INDIRECT(BY2&amp;"!AE9")&lt;3,"",INDIRECT(BY2&amp;"!P9"))</f>
        <v>Argentina</v>
      </c>
      <c r="BZ3" s="191" t="str" cm="1">
        <f t="array" aca="1" ref="BZ3" ca="1">IF(INDIRECT(BZ2&amp;"!AE9")&lt;3,"",INDIRECT(BZ2&amp;"!P9"))</f>
        <v>Ecuador</v>
      </c>
      <c r="CA3" s="191" t="str" cm="1">
        <f t="array" aca="1" ref="CA3" ca="1">IF(INDIRECT(CA2&amp;"!AE9")&lt;3,"",INDIRECT(CA2&amp;"!P9"))</f>
        <v>Uruguay</v>
      </c>
      <c r="CB3" s="191" t="str" cm="1">
        <f t="array" aca="1" ref="CB3" ca="1">IF(INDIRECT(CB2&amp;"!AE9")&lt;3,"",INDIRECT(CB2&amp;"!P9"))</f>
        <v>Brasil</v>
      </c>
      <c r="CC3" s="191" t="str">
        <f ca="1">IF(CB3="","",Cuartos!H9)</f>
        <v>Argentina</v>
      </c>
      <c r="CD3" s="191" t="str">
        <f ca="1">IF(CB3="","",Cuartos!N9)</f>
        <v>Venezuela</v>
      </c>
      <c r="CE3" s="191" t="str">
        <f ca="1">IF(CB3="","",Cuartos!H12)</f>
        <v>Ecuador</v>
      </c>
      <c r="CF3" s="191" t="str">
        <f ca="1">IF(CB3="","",Cuartos!N12)</f>
        <v>Chile</v>
      </c>
      <c r="CG3" s="191" t="str">
        <f ca="1">IF(CB3="","",Cuartos!H15)</f>
        <v>Brasil</v>
      </c>
      <c r="CH3" s="191" t="str">
        <f ca="1">IF(CB3="","",Cuartos!N15)</f>
        <v>Estados Unidos</v>
      </c>
      <c r="CI3" s="191" t="str">
        <f ca="1">IF(CB3="","",Cuartos!H18)</f>
        <v>Uruguay</v>
      </c>
      <c r="CJ3" s="191" t="str">
        <f ca="1">IF(CB3="","",Cuartos!N18)</f>
        <v>Colombia</v>
      </c>
      <c r="CK3" s="191" t="str">
        <f ca="1">Semis!H9</f>
        <v>Argentina</v>
      </c>
      <c r="CL3" s="191" t="str">
        <f ca="1">Semis!N9</f>
        <v>Ecuador</v>
      </c>
      <c r="CM3" s="191" t="str">
        <f ca="1">Semis!H12</f>
        <v>Uruguay</v>
      </c>
      <c r="CN3" s="191" t="str">
        <f ca="1">Semis!N12</f>
        <v>Brasil</v>
      </c>
      <c r="CO3" s="191" t="str">
        <f ca="1">Final!H15</f>
        <v>Argentina</v>
      </c>
      <c r="CP3" s="191" t="str">
        <f ca="1">Final!N15</f>
        <v>Uruguay</v>
      </c>
      <c r="CQ3" s="191" t="str">
        <f ca="1">Final!H22</f>
        <v>Argentina</v>
      </c>
      <c r="CR3" s="191">
        <f ca="1">VLOOKUP(CR2,Aux!$F:$O,9,0)</f>
        <v>2</v>
      </c>
      <c r="CS3" s="191">
        <f ca="1">VLOOKUP(CR2,Aux!$F:$O,10,0)</f>
        <v>1</v>
      </c>
      <c r="CT3" s="191">
        <f t="shared" ref="CT3" ca="1" si="23">IF(OR(CR3="",CS3=""),"",IF(CR3&gt;CS3,1,IF(CR3=CS3,"x",2)))</f>
        <v>1</v>
      </c>
      <c r="CU3" s="191">
        <f ca="1">VLOOKUP(CU2,Aux!$F:$O,9,0)</f>
        <v>1</v>
      </c>
      <c r="CV3" s="191">
        <f ca="1">VLOOKUP(CU2,Aux!$F:$O,10,0)</f>
        <v>0</v>
      </c>
      <c r="CW3" s="191">
        <f t="shared" ref="CW3" ca="1" si="24">IF(OR(CU3="",CV3=""),"",IF(CU3&gt;CV3,1,IF(CU3=CV3,"x",2)))</f>
        <v>1</v>
      </c>
      <c r="CX3" s="191">
        <f ca="1">VLOOKUP(CX2,Aux!$F:$O,9,0)</f>
        <v>3</v>
      </c>
      <c r="CY3" s="191">
        <f ca="1">VLOOKUP(CX2,Aux!$F:$O,10,0)</f>
        <v>0</v>
      </c>
      <c r="CZ3" s="191">
        <f t="shared" ref="CZ3" ca="1" si="25">IF(OR(CX3="",CY3=""),"",IF(CX3&gt;CY3,1,IF(CX3=CY3,"x",2)))</f>
        <v>1</v>
      </c>
      <c r="DA3" s="191">
        <f ca="1">VLOOKUP(DA2,Aux!$F:$O,9,0)</f>
        <v>0</v>
      </c>
      <c r="DB3" s="191">
        <f ca="1">VLOOKUP(DA2,Aux!$F:$O,10,0)</f>
        <v>0</v>
      </c>
      <c r="DC3" s="191" t="str">
        <f t="shared" ref="DC3" ca="1" si="26">IF(OR(DA3="",DB3=""),"",IF(DA3&gt;DB3,1,IF(DA3=DB3,"x",2)))</f>
        <v>x</v>
      </c>
      <c r="DD3" s="191">
        <f ca="1">VLOOKUP(DD2,Aux!$F:$O,9,0)</f>
        <v>2</v>
      </c>
      <c r="DE3" s="191">
        <f ca="1">VLOOKUP(DD2,Aux!$F:$O,10,0)</f>
        <v>0</v>
      </c>
      <c r="DF3" s="191">
        <f t="shared" ref="DF3" ca="1" si="27">IF(OR(DD3="",DE3=""),"",IF(DD3&gt;DE3,1,IF(DD3=DE3,"x",2)))</f>
        <v>1</v>
      </c>
      <c r="DG3" s="191">
        <f ca="1">VLOOKUP(DG2,Aux!$F:$O,9,0)</f>
        <v>2</v>
      </c>
      <c r="DH3" s="191">
        <f ca="1">VLOOKUP(DG2,Aux!$F:$O,10,0)</f>
        <v>1</v>
      </c>
      <c r="DI3" s="191">
        <f t="shared" ref="DI3" ca="1" si="28">IF(OR(DG3="",DH3=""),"",IF(DG3&gt;DH3,1,IF(DG3=DH3,"x",2)))</f>
        <v>1</v>
      </c>
      <c r="DJ3" s="191">
        <f ca="1">VLOOKUP(DJ2,Aux!$F:$O,9,0)</f>
        <v>1</v>
      </c>
      <c r="DK3" s="191">
        <f ca="1">VLOOKUP(DJ2,Aux!$F:$O,10,0)</f>
        <v>3</v>
      </c>
      <c r="DL3" s="191">
        <f t="shared" ref="DL3" ca="1" si="29">IF(OR(DJ3="",DK3=""),"",IF(DJ3&gt;DK3,1,IF(DJ3=DK3,"x",2)))</f>
        <v>2</v>
      </c>
      <c r="DM3" s="191">
        <f ca="1">VLOOKUP(DM2,Aux!$F:$O,9,0)</f>
        <v>1</v>
      </c>
      <c r="DN3" s="191">
        <f ca="1">VLOOKUP(DM2,Aux!$F:$O,10,0)</f>
        <v>0</v>
      </c>
      <c r="DO3" s="191">
        <f t="shared" ref="DO3" ca="1" si="30">IF(OR(DM3="",DN3=""),"",IF(DM3&gt;DN3,1,IF(DM3=DN3,"x",2)))</f>
        <v>1</v>
      </c>
    </row>
    <row r="4" spans="2:119" x14ac:dyDescent="0.2">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
      <c r="B6" s="141" t="s">
        <v>95</v>
      </c>
      <c r="C6" s="141" t="s">
        <v>96</v>
      </c>
      <c r="D6" s="141" t="s">
        <v>97</v>
      </c>
    </row>
    <row r="7" spans="2:119" x14ac:dyDescent="0.2">
      <c r="B7">
        <f>+TotalApuestas!B2</f>
        <v>0</v>
      </c>
      <c r="E7">
        <f>IF($B7=0,0,IF(E$3=TotalApuestas!E2,E$5,0))</f>
        <v>0</v>
      </c>
      <c r="F7">
        <f>IF($B7=0,0,IF(F$3=TotalApuestas!F2,F$5,0))</f>
        <v>0</v>
      </c>
      <c r="G7">
        <f>IF($B7=0,0,IF(AND(E$3=TotalApuestas!E2,Resultado!F$3=TotalApuestas!F2),Resultado!G$5+VLOOKUP(G$4&amp;"bonus",Aux!$W$1:$X$46,2,0),IF(G$3=TotalApuestas!G2,G$5,0)))</f>
        <v>0</v>
      </c>
      <c r="H7">
        <f>IF($B7=0,0,IF(H$3=TotalApuestas!H2,H$5,0))</f>
        <v>0</v>
      </c>
      <c r="I7">
        <f>IF($B7=0,0,IF(I$3=TotalApuestas!I2,I$5,0))</f>
        <v>0</v>
      </c>
      <c r="J7">
        <f>IF($B7=0,0,IF(AND(H$3=TotalApuestas!H2,Resultado!I$3=TotalApuestas!I2),Resultado!J$5+VLOOKUP(J$4&amp;"bonus",Aux!$W$1:$X$46,2,0),IF(J$3=TotalApuestas!J2,J$5,0)))</f>
        <v>0</v>
      </c>
      <c r="K7">
        <f>IF($B7=0,0,IF(K$3=TotalApuestas!K2,K$5,0))</f>
        <v>0</v>
      </c>
      <c r="L7">
        <f>IF($B7=0,0,IF(L$3=TotalApuestas!L2,L$5,0))</f>
        <v>0</v>
      </c>
      <c r="M7">
        <f>IF($B7=0,0,IF(AND(K$3=TotalApuestas!K2,Resultado!L$3=TotalApuestas!L2),Resultado!M$5+VLOOKUP(M$4&amp;"bonus",Aux!$W$1:$X$46,2,0),IF(M$3=TotalApuestas!M2,M$5,0)))</f>
        <v>0</v>
      </c>
      <c r="N7">
        <f>IF($B7=0,0,IF(N$3=TotalApuestas!N2,N$5,0))</f>
        <v>0</v>
      </c>
      <c r="O7">
        <f>IF($B7=0,0,IF(O$3=TotalApuestas!O2,O$5,0))</f>
        <v>0</v>
      </c>
      <c r="P7">
        <f>IF($B7=0,0,IF(AND(N$3=TotalApuestas!N2,Resultado!O$3=TotalApuestas!O2),Resultado!P$5+VLOOKUP(P$4&amp;"bonus",Aux!$W$1:$X$46,2,0),IF(P$3=TotalApuestas!P2,P$5,0)))</f>
        <v>0</v>
      </c>
      <c r="Q7">
        <f>IF($B7=0,0,IF(Q$3=TotalApuestas!Q2,Q$5,0))</f>
        <v>0</v>
      </c>
      <c r="R7">
        <f>IF($B7=0,0,IF(R$3=TotalApuestas!R2,R$5,0))</f>
        <v>0</v>
      </c>
      <c r="S7">
        <f>IF($B7=0,0,IF(AND(Q$3=TotalApuestas!Q2,Resultado!R$3=TotalApuestas!R2),Resultado!S$5+VLOOKUP(S$4&amp;"bonus",Aux!$W$1:$X$46,2,0),IF(S$3=TotalApuestas!S2,S$5,0)))</f>
        <v>0</v>
      </c>
      <c r="T7">
        <f>IF($B7=0,0,IF(T$3=TotalApuestas!T2,T$5,0))</f>
        <v>0</v>
      </c>
      <c r="U7">
        <f>IF($B7=0,0,IF(U$3=TotalApuestas!U2,U$5,0))</f>
        <v>0</v>
      </c>
      <c r="V7">
        <f>IF($B7=0,0,IF(AND(T$3=TotalApuestas!T2,Resultado!U$3=TotalApuestas!U2),Resultado!V$5+VLOOKUP(V$4&amp;"bonus",Aux!$W$1:$X$46,2,0),IF(V$3=TotalApuestas!V2,V$5,0)))</f>
        <v>0</v>
      </c>
      <c r="W7">
        <f>IF($B7=0,0,IF(W$3=TotalApuestas!W2,W$5,0))</f>
        <v>0</v>
      </c>
      <c r="X7">
        <f>IF($B7=0,0,IF(X$3=TotalApuestas!X2,X$5,0))</f>
        <v>0</v>
      </c>
      <c r="Y7">
        <f>IF($B7=0,0,IF(AND(W$3=TotalApuestas!W2,Resultado!X$3=TotalApuestas!X2),Resultado!Y$5+VLOOKUP(Y$4&amp;"bonus",Aux!$W$1:$X$46,2,0),IF(Y$3=TotalApuestas!Y2,Y$5,0)))</f>
        <v>0</v>
      </c>
      <c r="Z7">
        <f>IF($B7=0,0,IF(Z$3=TotalApuestas!Z2,Z$5,0))</f>
        <v>0</v>
      </c>
      <c r="AA7">
        <f>IF($B7=0,0,IF(AA$3=TotalApuestas!AA2,AA$5,0))</f>
        <v>0</v>
      </c>
      <c r="AB7">
        <f>IF($B7=0,0,IF(AND(Z$3=TotalApuestas!Z2,Resultado!AA$3=TotalApuestas!AA2),Resultado!AB$5+VLOOKUP(AB$4&amp;"bonus",Aux!$W$1:$X$46,2,0),IF(AB$3=TotalApuestas!AB2,AB$5,0)))</f>
        <v>0</v>
      </c>
      <c r="AC7">
        <f>IF($B7=0,0,IF(AC$3=TotalApuestas!AC2,AC$5,0))</f>
        <v>0</v>
      </c>
      <c r="AD7">
        <f>IF($B7=0,0,IF(AD$3=TotalApuestas!AD2,AD$5,0))</f>
        <v>0</v>
      </c>
      <c r="AE7">
        <f>IF($B7=0,0,IF(AND(AC$3=TotalApuestas!AC2,Resultado!AD$3=TotalApuestas!AD2),Resultado!AE$5+VLOOKUP(AE$4&amp;"bonus",Aux!$W$1:$X$46,2,0),IF(AE$3=TotalApuestas!AE2,AE$5,0)))</f>
        <v>0</v>
      </c>
      <c r="AF7">
        <f>IF($B7=0,0,IF(AF$3=TotalApuestas!AF2,AF$5,0))</f>
        <v>0</v>
      </c>
      <c r="AG7">
        <f>IF($B7=0,0,IF(AG$3=TotalApuestas!AG2,AG$5,0))</f>
        <v>0</v>
      </c>
      <c r="AH7">
        <f>IF($B7=0,0,IF(AND(AF$3=TotalApuestas!AF2,Resultado!AG$3=TotalApuestas!AG2),Resultado!AH$5+VLOOKUP(AH$4&amp;"bonus",Aux!$W$1:$X$46,2,0),IF(AH$3=TotalApuestas!AH2,AH$5,0)))</f>
        <v>0</v>
      </c>
      <c r="AI7">
        <f>IF($B7=0,0,IF(AI$3=TotalApuestas!AI2,AI$5,0))</f>
        <v>0</v>
      </c>
      <c r="AJ7">
        <f>IF($B7=0,0,IF(AJ$3=TotalApuestas!AJ2,AJ$5,0))</f>
        <v>0</v>
      </c>
      <c r="AK7">
        <f>IF($B7=0,0,IF(AND(AI$3=TotalApuestas!AI2,Resultado!AJ$3=TotalApuestas!AJ2),Resultado!AK$5+VLOOKUP(AK$4&amp;"bonus",Aux!$W$1:$X$46,2,0),IF(AK$3=TotalApuestas!AK2,AK$5,0)))</f>
        <v>0</v>
      </c>
      <c r="AL7">
        <f>IF($B7=0,0,IF(AL$3=TotalApuestas!AL2,AL$5,0))</f>
        <v>0</v>
      </c>
      <c r="AM7">
        <f>IF($B7=0,0,IF(AM$3=TotalApuestas!AM2,AM$5,0))</f>
        <v>0</v>
      </c>
      <c r="AN7">
        <f>IF($B7=0,0,IF(AND(AL$3=TotalApuestas!AL2,Resultado!AM$3=TotalApuestas!AM2),Resultado!AN$5+VLOOKUP(AN$4&amp;"bonus",Aux!$W$1:$X$46,2,0),IF(AN$3=TotalApuestas!AN2,AN$5,0)))</f>
        <v>0</v>
      </c>
      <c r="AO7">
        <f>IF($B7=0,0,IF(AO$3=TotalApuestas!AO2,AO$5,0))</f>
        <v>0</v>
      </c>
      <c r="AP7">
        <f>IF($B7=0,0,IF(AP$3=TotalApuestas!AP2,AP$5,0))</f>
        <v>0</v>
      </c>
      <c r="AQ7">
        <f>IF($B7=0,0,IF(AND(AO$3=TotalApuestas!AO2,Resultado!AP$3=TotalApuestas!AP2),Resultado!AQ$5+VLOOKUP(AQ$4&amp;"bonus",Aux!$W$1:$X$46,2,0),IF(AQ$3=TotalApuestas!AQ2,AQ$5,0)))</f>
        <v>0</v>
      </c>
      <c r="AR7">
        <f>IF($B7=0,0,IF(AR$3=TotalApuestas!AR2,AR$5,0))</f>
        <v>0</v>
      </c>
      <c r="AS7">
        <f>IF($B7=0,0,IF(AS$3=TotalApuestas!AS2,AS$5,0))</f>
        <v>0</v>
      </c>
      <c r="AT7">
        <f>IF($B7=0,0,IF(AND(AR$3=TotalApuestas!AR2,Resultado!AS$3=TotalApuestas!AS2),Resultado!AT$5+VLOOKUP(AT$4&amp;"bonus",Aux!$W$1:$X$46,2,0),IF(AT$3=TotalApuestas!AT2,AT$5,0)))</f>
        <v>0</v>
      </c>
      <c r="AU7">
        <f>IF($B7=0,0,IF(AU$3=TotalApuestas!AU2,AU$5,0))</f>
        <v>0</v>
      </c>
      <c r="AV7">
        <f>IF($B7=0,0,IF(AV$3=TotalApuestas!AV2,AV$5,0))</f>
        <v>0</v>
      </c>
      <c r="AW7">
        <f>IF($B7=0,0,IF(AND(AU$3=TotalApuestas!AU2,Resultado!AV$3=TotalApuestas!AV2),Resultado!AW$5+VLOOKUP(AW$4&amp;"bonus",Aux!$W$1:$X$46,2,0),IF(AW$3=TotalApuestas!AW2,AW$5,0)))</f>
        <v>0</v>
      </c>
      <c r="AX7">
        <f>IF($B7=0,0,IF(AX$3=TotalApuestas!AX2,AX$5,0))</f>
        <v>0</v>
      </c>
      <c r="AY7">
        <f>IF($B7=0,0,IF(AY$3=TotalApuestas!AY2,AY$5,0))</f>
        <v>0</v>
      </c>
      <c r="AZ7">
        <f>IF($B7=0,0,IF(AND(AX$3=TotalApuestas!AX2,Resultado!AY$3=TotalApuestas!AY2),Resultado!AZ$5+VLOOKUP(AZ$4&amp;"bonus",Aux!$W$1:$X$46,2,0),IF(AZ$3=TotalApuestas!AZ2,AZ$5,0)))</f>
        <v>0</v>
      </c>
      <c r="BA7">
        <f>IF($B7=0,0,IF(BA$3=TotalApuestas!BA2,BA$5,0))</f>
        <v>0</v>
      </c>
      <c r="BB7">
        <f>IF($B7=0,0,IF(BB$3=TotalApuestas!BB2,BB$5,0))</f>
        <v>0</v>
      </c>
      <c r="BC7">
        <f>IF($B7=0,0,IF(AND(BA$3=TotalApuestas!BA2,Resultado!BB$3=TotalApuestas!BB2),Resultado!BC$5+VLOOKUP(BC$4&amp;"bonus",Aux!$W$1:$X$46,2,0),IF(BC$3=TotalApuestas!BC2,BC$5,0)))</f>
        <v>0</v>
      </c>
      <c r="BD7">
        <f>IF($B7=0,0,IF(BD$3=TotalApuestas!BD2,BD$5,0))</f>
        <v>0</v>
      </c>
      <c r="BE7">
        <f>IF($B7=0,0,IF(BE$3=TotalApuestas!BE2,BE$5,0))</f>
        <v>0</v>
      </c>
      <c r="BF7">
        <f>IF($B7=0,0,IF(AND(BD$3=TotalApuestas!BD2,Resultado!BE$3=TotalApuestas!BE2),Resultado!BF$5+VLOOKUP(BF$4&amp;"bonus",Aux!$W$1:$X$46,2,0),IF(BF$3=TotalApuestas!BF2,BF$5,0)))</f>
        <v>0</v>
      </c>
      <c r="BG7">
        <f>IF($B7=0,0,IF(BG$3=TotalApuestas!BG2,BG$5,0))</f>
        <v>0</v>
      </c>
      <c r="BH7">
        <f>IF($B7=0,0,IF(BH$3=TotalApuestas!BH2,BH$5,0))</f>
        <v>0</v>
      </c>
      <c r="BI7">
        <f>IF($B7=0,0,IF(AND(BG$3=TotalApuestas!BG2,Resultado!BH$3=TotalApuestas!BH2),Resultado!BI$5+VLOOKUP(BI$4&amp;"bonus",Aux!$W$1:$X$46,2,0),IF(BI$3=TotalApuestas!BI2,BI$5,0)))</f>
        <v>0</v>
      </c>
      <c r="BJ7">
        <f>IF($B7=0,0,IF(BJ$3=TotalApuestas!BJ2,BJ$5,0))</f>
        <v>0</v>
      </c>
      <c r="BK7">
        <f>IF($B7=0,0,IF(BK$3=TotalApuestas!BK2,BK$5,0))</f>
        <v>0</v>
      </c>
      <c r="BL7">
        <f>IF($B7=0,0,IF(AND(BJ$3=TotalApuestas!BJ2,Resultado!BK$3=TotalApuestas!BK2),Resultado!BL$5+VLOOKUP(BL$4&amp;"bonus",Aux!$W$1:$X$46,2,0),IF(BL$3=TotalApuestas!BL2,BL$5,0)))</f>
        <v>0</v>
      </c>
      <c r="BM7">
        <f>IF($B7=0,0,IF(BM$3=TotalApuestas!BM2,BM$5,0))</f>
        <v>0</v>
      </c>
      <c r="BN7">
        <f>IF($B7=0,0,IF(BN$3=TotalApuestas!BN2,BN$5,0))</f>
        <v>0</v>
      </c>
      <c r="BO7">
        <f>IF($B7=0,0,IF(AND(BM$3=TotalApuestas!BM2,Resultado!BN$3=TotalApuestas!BN2),Resultado!BO$5+VLOOKUP(BO$4&amp;"bonus",Aux!$W$1:$X$46,2,0),IF(BO$3=TotalApuestas!BO2,BO$5,0)))</f>
        <v>0</v>
      </c>
      <c r="BP7">
        <f>IF($B7=0,0,IF(BP$3=TotalApuestas!BP2,BP$5,0))</f>
        <v>0</v>
      </c>
      <c r="BQ7">
        <f>IF($B7=0,0,IF(BQ$3=TotalApuestas!BQ2,BQ$5,0))</f>
        <v>0</v>
      </c>
      <c r="BR7">
        <f>IF($B7=0,0,IF(AND(BP$3=TotalApuestas!BP2,Resultado!BQ$3=TotalApuestas!BQ2),Resultado!BR$5+VLOOKUP(BR$4&amp;"bonus",Aux!$W$1:$X$46,2,0),IF(BR$3=TotalApuestas!BR2,BR$5,0)))</f>
        <v>0</v>
      </c>
      <c r="BS7">
        <f>IF($B7=0,0,IF(BS$3=TotalApuestas!BS2,BS$5,0))</f>
        <v>0</v>
      </c>
      <c r="BT7">
        <f>IF($B7=0,0,IF(BT$3=TotalApuestas!BT2,BT$5,0))</f>
        <v>0</v>
      </c>
      <c r="BU7">
        <f>IF($B7=0,0,IF(AND(BS$3=TotalApuestas!BS2,Resultado!BT$3=TotalApuestas!BT2),Resultado!BU$5+VLOOKUP(BU$4&amp;"bonus",Aux!$W$1:$X$46,2,0),IF(BU$3=TotalApuestas!BU2,BU$5,0)))</f>
        <v>0</v>
      </c>
      <c r="BV7">
        <f>IF($B7=0,0,IF(BV$3=TotalApuestas!BV2,BV$5,0))</f>
        <v>0</v>
      </c>
      <c r="BW7">
        <f>IF($B7=0,0,IF(BW$3=TotalApuestas!BW2,BW$5,0))</f>
        <v>0</v>
      </c>
      <c r="BX7">
        <f>IF($B7=0,0,IF(AND(BV$3=TotalApuestas!BV2,Resultado!BW$3=TotalApuestas!BW2),Resultado!BX$5+VLOOKUP(BX$4&amp;"bonus",Aux!$W$1:$X$46,2,0),IF(BX$3=TotalApuestas!BX2,BX$5,0)))</f>
        <v>0</v>
      </c>
      <c r="BY7">
        <f>IF($B7=0,0,IF(BY$3=TotalApuestas!BY2,BY$5,0))</f>
        <v>0</v>
      </c>
      <c r="BZ7">
        <f>IF($B7=0,0,IF(BZ$3=TotalApuestas!BZ2,BZ$5,0))</f>
        <v>0</v>
      </c>
      <c r="CA7">
        <f>IF($B7=0,0,IF(CA$3=TotalApuestas!CA2,CA$5,0))</f>
        <v>0</v>
      </c>
      <c r="CB7">
        <f>IF($B7=0,0,IF(CB$3=TotalApuestas!CB2,CB$5,0))</f>
        <v>0</v>
      </c>
      <c r="CC7">
        <f>IF($B7=0,0,IF(COUNTIF($CC$3:$CJ$3,TotalApuestas!CC2)=1,CC$5,0))</f>
        <v>0</v>
      </c>
      <c r="CD7">
        <f>IF($B7=0,0,IF(COUNTIF($CC$3:$CJ$3,TotalApuestas!CD2)=1,CD$5,0))</f>
        <v>0</v>
      </c>
      <c r="CE7">
        <f>IF($B7=0,0,IF(COUNTIF($CC$3:$CJ$3,TotalApuestas!CE2)=1,CE$5,0))</f>
        <v>0</v>
      </c>
      <c r="CF7">
        <f>IF($B7=0,0,IF(COUNTIF($CC$3:$CJ$3,TotalApuestas!CF2)=1,CF$5,0))</f>
        <v>0</v>
      </c>
      <c r="CG7">
        <f>IF($B7=0,0,IF(COUNTIF($CC$3:$CJ$3,TotalApuestas!CG2)=1,CG$5,0))</f>
        <v>0</v>
      </c>
      <c r="CH7">
        <f>IF($B7=0,0,IF(COUNTIF($CC$3:$CJ$3,TotalApuestas!CH2)=1,CH$5,0))</f>
        <v>0</v>
      </c>
      <c r="CI7">
        <f>IF($B7=0,0,IF(COUNTIF($CC$3:$CJ$3,TotalApuestas!CI2)=1,CI$5,0))</f>
        <v>0</v>
      </c>
      <c r="CJ7">
        <f>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IF($B7=0,0,IF(CR$3=TotalApuestas!CR2,CR$5,0))</f>
        <v>0</v>
      </c>
      <c r="CS7">
        <f>IF($B7=0,0,IF(CS$3=TotalApuestas!CS2,CS$5,0))</f>
        <v>0</v>
      </c>
      <c r="CT7">
        <f>IF($B7=0,0,IF(AND(CR$3=TotalApuestas!CR2,Resultado!CS$3=TotalApuestas!CS2),Resultado!CT$5+VLOOKUP(CT$4&amp;"bonus",Aux!$W$1:$X$46,2,0),IF(CT$3=TotalApuestas!CT2,CT$5,0)))</f>
        <v>0</v>
      </c>
      <c r="CU7">
        <f>IF($B7=0,0,IF(CU$3=TotalApuestas!CU2,CU$5,0))</f>
        <v>0</v>
      </c>
      <c r="CV7">
        <f>IF($B7=0,0,IF(CV$3=TotalApuestas!CV2,CV$5,0))</f>
        <v>0</v>
      </c>
      <c r="CW7">
        <f>IF($B7=0,0,IF(AND(CU$3=TotalApuestas!CU2,Resultado!CV$3=TotalApuestas!CV2),Resultado!CW$5+VLOOKUP(CW$4&amp;"bonus",Aux!$W$1:$X$46,2,0),IF(CW$3=TotalApuestas!CW2,CW$5,0)))</f>
        <v>0</v>
      </c>
      <c r="CX7">
        <f>IF($B7=0,0,IF(CX$3=TotalApuestas!CX2,CX$5,0))</f>
        <v>0</v>
      </c>
      <c r="CY7">
        <f>IF($B7=0,0,IF(CY$3=TotalApuestas!CY2,CY$5,0))</f>
        <v>0</v>
      </c>
      <c r="CZ7">
        <f>IF($B7=0,0,IF(AND(CX$3=TotalApuestas!CX2,Resultado!CY$3=TotalApuestas!CY2),Resultado!CZ$5+VLOOKUP(CZ$4&amp;"bonus",Aux!$W$1:$X$46,2,0),IF(CZ$3=TotalApuestas!CZ2,CZ$5,0)))</f>
        <v>0</v>
      </c>
      <c r="DA7">
        <f>IF($B7=0,0,IF(DA$3=TotalApuestas!DA2,DA$5,0))</f>
        <v>0</v>
      </c>
      <c r="DB7">
        <f>IF($B7=0,0,IF(DB$3=TotalApuestas!DB2,DB$5,0))</f>
        <v>0</v>
      </c>
      <c r="DC7">
        <f>IF($B7=0,0,IF(AND(DA$3=TotalApuestas!DA2,Resultado!DB$3=TotalApuestas!DB2),Resultado!DC$5+VLOOKUP(DC$4&amp;"bonus",Aux!$W$1:$X$46,2,0),IF(DC$3=TotalApuestas!DC2,DC$5,0)))</f>
        <v>0</v>
      </c>
      <c r="DD7">
        <f>IF($B7=0,0,IF(DD$3=TotalApuestas!DD2,DD$5,0))</f>
        <v>0</v>
      </c>
      <c r="DE7">
        <f>IF($B7=0,0,IF(DE$3=TotalApuestas!DE2,DE$5,0))</f>
        <v>0</v>
      </c>
      <c r="DF7">
        <f>IF($B7=0,0,IF(AND(DD$3=TotalApuestas!DD2,Resultado!DE$3=TotalApuestas!DE2),Resultado!DF$5+VLOOKUP(DF$4&amp;"bonus",Aux!$W$1:$X$46,2,0),IF(DF$3=TotalApuestas!DF2,DF$5,0)))</f>
        <v>0</v>
      </c>
      <c r="DG7">
        <f>IF($B7=0,0,IF(DG$3=TotalApuestas!DG2,DG$5,0))</f>
        <v>0</v>
      </c>
      <c r="DH7">
        <f>IF($B7=0,0,IF(DH$3=TotalApuestas!DH2,DH$5,0))</f>
        <v>0</v>
      </c>
      <c r="DI7">
        <f>IF($B7=0,0,IF(AND(DG$3=TotalApuestas!DG2,Resultado!DH$3=TotalApuestas!DH2),Resultado!DI$5+VLOOKUP(DI$4&amp;"bonus",Aux!$W$1:$X$46,2,0),IF(DI$3=TotalApuestas!DI2,DI$5,0)))</f>
        <v>0</v>
      </c>
      <c r="DJ7">
        <f>IF($B7=0,0,IF(DJ$3=TotalApuestas!DJ2,DJ$5,0))</f>
        <v>0</v>
      </c>
      <c r="DK7">
        <f>IF($B7=0,0,IF(DK$3=TotalApuestas!DK2,DK$5,0))</f>
        <v>0</v>
      </c>
      <c r="DL7">
        <f>IF($B7=0,0,IF(AND(DJ$3=TotalApuestas!DJ2,Resultado!DK$3=TotalApuestas!DK2),Resultado!DL$5+VLOOKUP(DL$4&amp;"bonus",Aux!$W$1:$X$46,2,0),IF(DL$3=TotalApuestas!DL2,DL$5,0)))</f>
        <v>0</v>
      </c>
      <c r="DM7">
        <f>IF($B7=0,0,IF(DM$3=TotalApuestas!DM2,DM$5,0))</f>
        <v>0</v>
      </c>
      <c r="DN7">
        <f>IF($B7=0,0,IF(DN$3=TotalApuestas!DN2,DN$5,0))</f>
        <v>0</v>
      </c>
      <c r="DO7">
        <f>IF($B7=0,0,IF(AND(DM$3=TotalApuestas!DM2,Resultado!DN$3=TotalApuestas!DN2),Resultado!DO$5+VLOOKUP(DO$4&amp;"bonus",Aux!$W$1:$X$46,2,0),IF(DO$3=TotalApuestas!DO2,DO$5,0)))</f>
        <v>0</v>
      </c>
    </row>
    <row r="8" spans="2:119" x14ac:dyDescent="0.2">
      <c r="B8">
        <f>+TotalApuestas!B3</f>
        <v>0</v>
      </c>
      <c r="E8">
        <f>IF($B8=0,0,IF(E$3=TotalApuestas!E3,E$5,0))</f>
        <v>0</v>
      </c>
      <c r="F8">
        <f>IF($B8=0,0,IF(F$3=TotalApuestas!F3,F$5,0))</f>
        <v>0</v>
      </c>
      <c r="G8">
        <f>IF($B8=0,0,IF(AND(E$3=TotalApuestas!E3,Resultado!F$3=TotalApuestas!F3),Resultado!G$5+VLOOKUP(G$4&amp;"bonus",Aux!$W$1:$X$46,2,0),IF(G$3=TotalApuestas!G3,G$5,0)))</f>
        <v>0</v>
      </c>
      <c r="H8">
        <f>IF($B8=0,0,IF(H$3=TotalApuestas!H3,H$5,0))</f>
        <v>0</v>
      </c>
      <c r="I8">
        <f>IF($B8=0,0,IF(I$3=TotalApuestas!I3,I$5,0))</f>
        <v>0</v>
      </c>
      <c r="J8">
        <f>IF($B8=0,0,IF(AND(H$3=TotalApuestas!H3,Resultado!I$3=TotalApuestas!I3),Resultado!J$5+VLOOKUP(J$4&amp;"bonus",Aux!$W$1:$X$46,2,0),IF(J$3=TotalApuestas!J3,J$5,0)))</f>
        <v>0</v>
      </c>
      <c r="K8">
        <f>IF($B8=0,0,IF(K$3=TotalApuestas!K3,K$5,0))</f>
        <v>0</v>
      </c>
      <c r="L8">
        <f>IF($B8=0,0,IF(L$3=TotalApuestas!L3,L$5,0))</f>
        <v>0</v>
      </c>
      <c r="M8">
        <f>IF($B8=0,0,IF(AND(K$3=TotalApuestas!K3,Resultado!L$3=TotalApuestas!L3),Resultado!M$5+VLOOKUP(M$4&amp;"bonus",Aux!$W$1:$X$46,2,0),IF(M$3=TotalApuestas!M3,M$5,0)))</f>
        <v>0</v>
      </c>
      <c r="N8">
        <f>IF($B8=0,0,IF(N$3=TotalApuestas!N3,N$5,0))</f>
        <v>0</v>
      </c>
      <c r="O8">
        <f>IF($B8=0,0,IF(O$3=TotalApuestas!O3,O$5,0))</f>
        <v>0</v>
      </c>
      <c r="P8">
        <f>IF($B8=0,0,IF(AND(N$3=TotalApuestas!N3,Resultado!O$3=TotalApuestas!O3),Resultado!P$5+VLOOKUP(P$4&amp;"bonus",Aux!$W$1:$X$46,2,0),IF(P$3=TotalApuestas!P3,P$5,0)))</f>
        <v>0</v>
      </c>
      <c r="Q8">
        <f>IF($B8=0,0,IF(Q$3=TotalApuestas!Q3,Q$5,0))</f>
        <v>0</v>
      </c>
      <c r="R8">
        <f>IF($B8=0,0,IF(R$3=TotalApuestas!R3,R$5,0))</f>
        <v>0</v>
      </c>
      <c r="S8">
        <f>IF($B8=0,0,IF(AND(Q$3=TotalApuestas!Q3,Resultado!R$3=TotalApuestas!R3),Resultado!S$5+VLOOKUP(S$4&amp;"bonus",Aux!$W$1:$X$46,2,0),IF(S$3=TotalApuestas!S3,S$5,0)))</f>
        <v>0</v>
      </c>
      <c r="T8">
        <f>IF($B8=0,0,IF(T$3=TotalApuestas!T3,T$5,0))</f>
        <v>0</v>
      </c>
      <c r="U8">
        <f>IF($B8=0,0,IF(U$3=TotalApuestas!U3,U$5,0))</f>
        <v>0</v>
      </c>
      <c r="V8">
        <f>IF($B8=0,0,IF(AND(T$3=TotalApuestas!T3,Resultado!U$3=TotalApuestas!U3),Resultado!V$5+VLOOKUP(V$4&amp;"bonus",Aux!$W$1:$X$46,2,0),IF(V$3=TotalApuestas!V3,V$5,0)))</f>
        <v>0</v>
      </c>
      <c r="W8">
        <f>IF($B8=0,0,IF(W$3=TotalApuestas!W3,W$5,0))</f>
        <v>0</v>
      </c>
      <c r="X8">
        <f>IF($B8=0,0,IF(X$3=TotalApuestas!X3,X$5,0))</f>
        <v>0</v>
      </c>
      <c r="Y8">
        <f>IF($B8=0,0,IF(AND(W$3=TotalApuestas!W3,Resultado!X$3=TotalApuestas!X3),Resultado!Y$5+VLOOKUP(Y$4&amp;"bonus",Aux!$W$1:$X$46,2,0),IF(Y$3=TotalApuestas!Y3,Y$5,0)))</f>
        <v>0</v>
      </c>
      <c r="Z8">
        <f>IF($B8=0,0,IF(Z$3=TotalApuestas!Z3,Z$5,0))</f>
        <v>0</v>
      </c>
      <c r="AA8">
        <f>IF($B8=0,0,IF(AA$3=TotalApuestas!AA3,AA$5,0))</f>
        <v>0</v>
      </c>
      <c r="AB8">
        <f>IF($B8=0,0,IF(AND(Z$3=TotalApuestas!Z3,Resultado!AA$3=TotalApuestas!AA3),Resultado!AB$5+VLOOKUP(AB$4&amp;"bonus",Aux!$W$1:$X$46,2,0),IF(AB$3=TotalApuestas!AB3,AB$5,0)))</f>
        <v>0</v>
      </c>
      <c r="AC8">
        <f>IF($B8=0,0,IF(AC$3=TotalApuestas!AC3,AC$5,0))</f>
        <v>0</v>
      </c>
      <c r="AD8">
        <f>IF($B8=0,0,IF(AD$3=TotalApuestas!AD3,AD$5,0))</f>
        <v>0</v>
      </c>
      <c r="AE8">
        <f>IF($B8=0,0,IF(AND(AC$3=TotalApuestas!AC3,Resultado!AD$3=TotalApuestas!AD3),Resultado!AE$5+VLOOKUP(AE$4&amp;"bonus",Aux!$W$1:$X$46,2,0),IF(AE$3=TotalApuestas!AE3,AE$5,0)))</f>
        <v>0</v>
      </c>
      <c r="AF8">
        <f>IF($B8=0,0,IF(AF$3=TotalApuestas!AF3,AF$5,0))</f>
        <v>0</v>
      </c>
      <c r="AG8">
        <f>IF($B8=0,0,IF(AG$3=TotalApuestas!AG3,AG$5,0))</f>
        <v>0</v>
      </c>
      <c r="AH8">
        <f>IF($B8=0,0,IF(AND(AF$3=TotalApuestas!AF3,Resultado!AG$3=TotalApuestas!AG3),Resultado!AH$5+VLOOKUP(AH$4&amp;"bonus",Aux!$W$1:$X$46,2,0),IF(AH$3=TotalApuestas!AH3,AH$5,0)))</f>
        <v>0</v>
      </c>
      <c r="AI8">
        <f>IF($B8=0,0,IF(AI$3=TotalApuestas!AI3,AI$5,0))</f>
        <v>0</v>
      </c>
      <c r="AJ8">
        <f>IF($B8=0,0,IF(AJ$3=TotalApuestas!AJ3,AJ$5,0))</f>
        <v>0</v>
      </c>
      <c r="AK8">
        <f>IF($B8=0,0,IF(AND(AI$3=TotalApuestas!AI3,Resultado!AJ$3=TotalApuestas!AJ3),Resultado!AK$5+VLOOKUP(AK$4&amp;"bonus",Aux!$W$1:$X$46,2,0),IF(AK$3=TotalApuestas!AK3,AK$5,0)))</f>
        <v>0</v>
      </c>
      <c r="AL8">
        <f>IF($B8=0,0,IF(AL$3=TotalApuestas!AL3,AL$5,0))</f>
        <v>0</v>
      </c>
      <c r="AM8">
        <f>IF($B8=0,0,IF(AM$3=TotalApuestas!AM3,AM$5,0))</f>
        <v>0</v>
      </c>
      <c r="AN8">
        <f>IF($B8=0,0,IF(AND(AL$3=TotalApuestas!AL3,Resultado!AM$3=TotalApuestas!AM3),Resultado!AN$5+VLOOKUP(AN$4&amp;"bonus",Aux!$W$1:$X$46,2,0),IF(AN$3=TotalApuestas!AN3,AN$5,0)))</f>
        <v>0</v>
      </c>
      <c r="AO8">
        <f>IF($B8=0,0,IF(AO$3=TotalApuestas!AO3,AO$5,0))</f>
        <v>0</v>
      </c>
      <c r="AP8">
        <f>IF($B8=0,0,IF(AP$3=TotalApuestas!AP3,AP$5,0))</f>
        <v>0</v>
      </c>
      <c r="AQ8">
        <f>IF($B8=0,0,IF(AND(AO$3=TotalApuestas!AO3,Resultado!AP$3=TotalApuestas!AP3),Resultado!AQ$5+VLOOKUP(AQ$4&amp;"bonus",Aux!$W$1:$X$46,2,0),IF(AQ$3=TotalApuestas!AQ3,AQ$5,0)))</f>
        <v>0</v>
      </c>
      <c r="AR8">
        <f>IF($B8=0,0,IF(AR$3=TotalApuestas!AR3,AR$5,0))</f>
        <v>0</v>
      </c>
      <c r="AS8">
        <f>IF($B8=0,0,IF(AS$3=TotalApuestas!AS3,AS$5,0))</f>
        <v>0</v>
      </c>
      <c r="AT8">
        <f>IF($B8=0,0,IF(AND(AR$3=TotalApuestas!AR3,Resultado!AS$3=TotalApuestas!AS3),Resultado!AT$5+VLOOKUP(AT$4&amp;"bonus",Aux!$W$1:$X$46,2,0),IF(AT$3=TotalApuestas!AT3,AT$5,0)))</f>
        <v>0</v>
      </c>
      <c r="AU8">
        <f>IF($B8=0,0,IF(AU$3=TotalApuestas!AU3,AU$5,0))</f>
        <v>0</v>
      </c>
      <c r="AV8">
        <f>IF($B8=0,0,IF(AV$3=TotalApuestas!AV3,AV$5,0))</f>
        <v>0</v>
      </c>
      <c r="AW8">
        <f>IF($B8=0,0,IF(AND(AU$3=TotalApuestas!AU3,Resultado!AV$3=TotalApuestas!AV3),Resultado!AW$5+VLOOKUP(AW$4&amp;"bonus",Aux!$W$1:$X$46,2,0),IF(AW$3=TotalApuestas!AW3,AW$5,0)))</f>
        <v>0</v>
      </c>
      <c r="AX8">
        <f>IF($B8=0,0,IF(AX$3=TotalApuestas!AX3,AX$5,0))</f>
        <v>0</v>
      </c>
      <c r="AY8">
        <f>IF($B8=0,0,IF(AY$3=TotalApuestas!AY3,AY$5,0))</f>
        <v>0</v>
      </c>
      <c r="AZ8">
        <f>IF($B8=0,0,IF(AND(AX$3=TotalApuestas!AX3,Resultado!AY$3=TotalApuestas!AY3),Resultado!AZ$5+VLOOKUP(AZ$4&amp;"bonus",Aux!$W$1:$X$46,2,0),IF(AZ$3=TotalApuestas!AZ3,AZ$5,0)))</f>
        <v>0</v>
      </c>
      <c r="BA8">
        <f>IF($B8=0,0,IF(BA$3=TotalApuestas!BA3,BA$5,0))</f>
        <v>0</v>
      </c>
      <c r="BB8">
        <f>IF($B8=0,0,IF(BB$3=TotalApuestas!BB3,BB$5,0))</f>
        <v>0</v>
      </c>
      <c r="BC8">
        <f>IF($B8=0,0,IF(AND(BA$3=TotalApuestas!BA3,Resultado!BB$3=TotalApuestas!BB3),Resultado!BC$5+VLOOKUP(BC$4&amp;"bonus",Aux!$W$1:$X$46,2,0),IF(BC$3=TotalApuestas!BC3,BC$5,0)))</f>
        <v>0</v>
      </c>
      <c r="BD8">
        <f>IF($B8=0,0,IF(BD$3=TotalApuestas!BD3,BD$5,0))</f>
        <v>0</v>
      </c>
      <c r="BE8">
        <f>IF($B8=0,0,IF(BE$3=TotalApuestas!BE3,BE$5,0))</f>
        <v>0</v>
      </c>
      <c r="BF8">
        <f>IF($B8=0,0,IF(AND(BD$3=TotalApuestas!BD3,Resultado!BE$3=TotalApuestas!BE3),Resultado!BF$5+VLOOKUP(BF$4&amp;"bonus",Aux!$W$1:$X$46,2,0),IF(BF$3=TotalApuestas!BF3,BF$5,0)))</f>
        <v>0</v>
      </c>
      <c r="BG8">
        <f>IF($B8=0,0,IF(BG$3=TotalApuestas!BG3,BG$5,0))</f>
        <v>0</v>
      </c>
      <c r="BH8">
        <f>IF($B8=0,0,IF(BH$3=TotalApuestas!BH3,BH$5,0))</f>
        <v>0</v>
      </c>
      <c r="BI8">
        <f>IF($B8=0,0,IF(AND(BG$3=TotalApuestas!BG3,Resultado!BH$3=TotalApuestas!BH3),Resultado!BI$5+VLOOKUP(BI$4&amp;"bonus",Aux!$W$1:$X$46,2,0),IF(BI$3=TotalApuestas!BI3,BI$5,0)))</f>
        <v>0</v>
      </c>
      <c r="BJ8">
        <f>IF($B8=0,0,IF(BJ$3=TotalApuestas!BJ3,BJ$5,0))</f>
        <v>0</v>
      </c>
      <c r="BK8">
        <f>IF($B8=0,0,IF(BK$3=TotalApuestas!BK3,BK$5,0))</f>
        <v>0</v>
      </c>
      <c r="BL8">
        <f>IF($B8=0,0,IF(AND(BJ$3=TotalApuestas!BJ3,Resultado!BK$3=TotalApuestas!BK3),Resultado!BL$5+VLOOKUP(BL$4&amp;"bonus",Aux!$W$1:$X$46,2,0),IF(BL$3=TotalApuestas!BL3,BL$5,0)))</f>
        <v>0</v>
      </c>
      <c r="BM8">
        <f>IF($B8=0,0,IF(BM$3=TotalApuestas!BM3,BM$5,0))</f>
        <v>0</v>
      </c>
      <c r="BN8">
        <f>IF($B8=0,0,IF(BN$3=TotalApuestas!BN3,BN$5,0))</f>
        <v>0</v>
      </c>
      <c r="BO8">
        <f>IF($B8=0,0,IF(AND(BM$3=TotalApuestas!BM3,Resultado!BN$3=TotalApuestas!BN3),Resultado!BO$5+VLOOKUP(BO$4&amp;"bonus",Aux!$W$1:$X$46,2,0),IF(BO$3=TotalApuestas!BO3,BO$5,0)))</f>
        <v>0</v>
      </c>
      <c r="BP8">
        <f>IF($B8=0,0,IF(BP$3=TotalApuestas!BP3,BP$5,0))</f>
        <v>0</v>
      </c>
      <c r="BQ8">
        <f>IF($B8=0,0,IF(BQ$3=TotalApuestas!BQ3,BQ$5,0))</f>
        <v>0</v>
      </c>
      <c r="BR8">
        <f>IF($B8=0,0,IF(AND(BP$3=TotalApuestas!BP3,Resultado!BQ$3=TotalApuestas!BQ3),Resultado!BR$5+VLOOKUP(BR$4&amp;"bonus",Aux!$W$1:$X$46,2,0),IF(BR$3=TotalApuestas!BR3,BR$5,0)))</f>
        <v>0</v>
      </c>
      <c r="BS8">
        <f>IF($B8=0,0,IF(BS$3=TotalApuestas!BS3,BS$5,0))</f>
        <v>0</v>
      </c>
      <c r="BT8">
        <f>IF($B8=0,0,IF(BT$3=TotalApuestas!BT3,BT$5,0))</f>
        <v>0</v>
      </c>
      <c r="BU8">
        <f>IF($B8=0,0,IF(AND(BS$3=TotalApuestas!BS3,Resultado!BT$3=TotalApuestas!BT3),Resultado!BU$5+VLOOKUP(BU$4&amp;"bonus",Aux!$W$1:$X$46,2,0),IF(BU$3=TotalApuestas!BU3,BU$5,0)))</f>
        <v>0</v>
      </c>
      <c r="BV8">
        <f>IF($B8=0,0,IF(BV$3=TotalApuestas!BV3,BV$5,0))</f>
        <v>0</v>
      </c>
      <c r="BW8">
        <f>IF($B8=0,0,IF(BW$3=TotalApuestas!BW3,BW$5,0))</f>
        <v>0</v>
      </c>
      <c r="BX8">
        <f>IF($B8=0,0,IF(AND(BV$3=TotalApuestas!BV3,Resultado!BW$3=TotalApuestas!BW3),Resultado!BX$5+VLOOKUP(BX$4&amp;"bonus",Aux!$W$1:$X$46,2,0),IF(BX$3=TotalApuestas!BX3,BX$5,0)))</f>
        <v>0</v>
      </c>
      <c r="BY8">
        <f>IF($B8=0,0,IF(BY$3=TotalApuestas!BY3,BY$5,0))</f>
        <v>0</v>
      </c>
      <c r="BZ8">
        <f>IF($B8=0,0,IF(BZ$3=TotalApuestas!BZ3,BZ$5,0))</f>
        <v>0</v>
      </c>
      <c r="CA8">
        <f>IF($B8=0,0,IF(CA$3=TotalApuestas!CA3,CA$5,0))</f>
        <v>0</v>
      </c>
      <c r="CB8">
        <f>IF($B8=0,0,IF(CB$3=TotalApuestas!CB3,CB$5,0))</f>
        <v>0</v>
      </c>
      <c r="CC8">
        <f>IF($B8=0,0,IF(COUNTIF($CC$3:$CJ$3,TotalApuestas!CC3)=1,CC$5,0))</f>
        <v>0</v>
      </c>
      <c r="CD8">
        <f>IF($B8=0,0,IF(COUNTIF($CC$3:$CJ$3,TotalApuestas!CD3)=1,CD$5,0))</f>
        <v>0</v>
      </c>
      <c r="CE8">
        <f>IF($B8=0,0,IF(COUNTIF($CC$3:$CJ$3,TotalApuestas!CE3)=1,CE$5,0))</f>
        <v>0</v>
      </c>
      <c r="CF8">
        <f>IF($B8=0,0,IF(COUNTIF($CC$3:$CJ$3,TotalApuestas!CF3)=1,CF$5,0))</f>
        <v>0</v>
      </c>
      <c r="CG8">
        <f>IF($B8=0,0,IF(COUNTIF($CC$3:$CJ$3,TotalApuestas!CG3)=1,CG$5,0))</f>
        <v>0</v>
      </c>
      <c r="CH8">
        <f>IF($B8=0,0,IF(COUNTIF($CC$3:$CJ$3,TotalApuestas!CH3)=1,CH$5,0))</f>
        <v>0</v>
      </c>
      <c r="CI8">
        <f>IF($B8=0,0,IF(COUNTIF($CC$3:$CJ$3,TotalApuestas!CI3)=1,CI$5,0))</f>
        <v>0</v>
      </c>
      <c r="CJ8">
        <f>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IF($B8=0,0,IF(CR$3=TotalApuestas!CR3,CR$5,0))</f>
        <v>0</v>
      </c>
      <c r="CS8">
        <f>IF($B8=0,0,IF(CS$3=TotalApuestas!CS3,CS$5,0))</f>
        <v>0</v>
      </c>
      <c r="CT8">
        <f>IF($B8=0,0,IF(AND(CR$3=TotalApuestas!CR3,Resultado!CS$3=TotalApuestas!CS3),Resultado!CT$5+VLOOKUP(CT$4&amp;"bonus",Aux!$W$1:$X$46,2,0),IF(CT$3=TotalApuestas!CT3,CT$5,0)))</f>
        <v>0</v>
      </c>
      <c r="CU8">
        <f>IF($B8=0,0,IF(CU$3=TotalApuestas!CU3,CU$5,0))</f>
        <v>0</v>
      </c>
      <c r="CV8">
        <f>IF($B8=0,0,IF(CV$3=TotalApuestas!CV3,CV$5,0))</f>
        <v>0</v>
      </c>
      <c r="CW8">
        <f>IF($B8=0,0,IF(AND(CU$3=TotalApuestas!CU3,Resultado!CV$3=TotalApuestas!CV3),Resultado!CW$5+VLOOKUP(CW$4&amp;"bonus",Aux!$W$1:$X$46,2,0),IF(CW$3=TotalApuestas!CW3,CW$5,0)))</f>
        <v>0</v>
      </c>
      <c r="CX8">
        <f>IF($B8=0,0,IF(CX$3=TotalApuestas!CX3,CX$5,0))</f>
        <v>0</v>
      </c>
      <c r="CY8">
        <f>IF($B8=0,0,IF(CY$3=TotalApuestas!CY3,CY$5,0))</f>
        <v>0</v>
      </c>
      <c r="CZ8">
        <f>IF($B8=0,0,IF(AND(CX$3=TotalApuestas!CX3,Resultado!CY$3=TotalApuestas!CY3),Resultado!CZ$5+VLOOKUP(CZ$4&amp;"bonus",Aux!$W$1:$X$46,2,0),IF(CZ$3=TotalApuestas!CZ3,CZ$5,0)))</f>
        <v>0</v>
      </c>
      <c r="DA8">
        <f>IF($B8=0,0,IF(DA$3=TotalApuestas!DA3,DA$5,0))</f>
        <v>0</v>
      </c>
      <c r="DB8">
        <f>IF($B8=0,0,IF(DB$3=TotalApuestas!DB3,DB$5,0))</f>
        <v>0</v>
      </c>
      <c r="DC8">
        <f>IF($B8=0,0,IF(AND(DA$3=TotalApuestas!DA3,Resultado!DB$3=TotalApuestas!DB3),Resultado!DC$5+VLOOKUP(DC$4&amp;"bonus",Aux!$W$1:$X$46,2,0),IF(DC$3=TotalApuestas!DC3,DC$5,0)))</f>
        <v>0</v>
      </c>
      <c r="DD8">
        <f>IF($B8=0,0,IF(DD$3=TotalApuestas!DD3,DD$5,0))</f>
        <v>0</v>
      </c>
      <c r="DE8">
        <f>IF($B8=0,0,IF(DE$3=TotalApuestas!DE3,DE$5,0))</f>
        <v>0</v>
      </c>
      <c r="DF8">
        <f>IF($B8=0,0,IF(AND(DD$3=TotalApuestas!DD3,Resultado!DE$3=TotalApuestas!DE3),Resultado!DF$5+VLOOKUP(DF$4&amp;"bonus",Aux!$W$1:$X$46,2,0),IF(DF$3=TotalApuestas!DF3,DF$5,0)))</f>
        <v>0</v>
      </c>
      <c r="DG8">
        <f>IF($B8=0,0,IF(DG$3=TotalApuestas!DG3,DG$5,0))</f>
        <v>0</v>
      </c>
      <c r="DH8">
        <f>IF($B8=0,0,IF(DH$3=TotalApuestas!DH3,DH$5,0))</f>
        <v>0</v>
      </c>
      <c r="DI8">
        <f>IF($B8=0,0,IF(AND(DG$3=TotalApuestas!DG3,Resultado!DH$3=TotalApuestas!DH3),Resultado!DI$5+VLOOKUP(DI$4&amp;"bonus",Aux!$W$1:$X$46,2,0),IF(DI$3=TotalApuestas!DI3,DI$5,0)))</f>
        <v>0</v>
      </c>
      <c r="DJ8">
        <f>IF($B8=0,0,IF(DJ$3=TotalApuestas!DJ3,DJ$5,0))</f>
        <v>0</v>
      </c>
      <c r="DK8">
        <f>IF($B8=0,0,IF(DK$3=TotalApuestas!DK3,DK$5,0))</f>
        <v>0</v>
      </c>
      <c r="DL8">
        <f>IF($B8=0,0,IF(AND(DJ$3=TotalApuestas!DJ3,Resultado!DK$3=TotalApuestas!DK3),Resultado!DL$5+VLOOKUP(DL$4&amp;"bonus",Aux!$W$1:$X$46,2,0),IF(DL$3=TotalApuestas!DL3,DL$5,0)))</f>
        <v>0</v>
      </c>
      <c r="DM8">
        <f>IF($B8=0,0,IF(DM$3=TotalApuestas!DM3,DM$5,0))</f>
        <v>0</v>
      </c>
      <c r="DN8">
        <f>IF($B8=0,0,IF(DN$3=TotalApuestas!DN3,DN$5,0))</f>
        <v>0</v>
      </c>
      <c r="DO8">
        <f>IF($B8=0,0,IF(AND(DM$3=TotalApuestas!DM3,Resultado!DN$3=TotalApuestas!DN3),Resultado!DO$5+VLOOKUP(DO$4&amp;"bonus",Aux!$W$1:$X$46,2,0),IF(DO$3=TotalApuestas!DO3,DO$5,0)))</f>
        <v>0</v>
      </c>
    </row>
    <row r="9" spans="2:119" x14ac:dyDescent="0.2">
      <c r="B9">
        <f>+TotalApuestas!B4</f>
        <v>0</v>
      </c>
      <c r="E9">
        <f>IF($B9=0,0,IF(E$3=TotalApuestas!E4,E$5,0))</f>
        <v>0</v>
      </c>
      <c r="F9">
        <f>IF($B9=0,0,IF(F$3=TotalApuestas!F4,F$5,0))</f>
        <v>0</v>
      </c>
      <c r="G9">
        <f>IF($B9=0,0,IF(AND(E$3=TotalApuestas!E4,Resultado!F$3=TotalApuestas!F4),Resultado!G$5+VLOOKUP(G$4&amp;"bonus",Aux!$W$1:$X$46,2,0),IF(G$3=TotalApuestas!G4,G$5,0)))</f>
        <v>0</v>
      </c>
      <c r="H9">
        <f>IF($B9=0,0,IF(H$3=TotalApuestas!H4,H$5,0))</f>
        <v>0</v>
      </c>
      <c r="I9">
        <f>IF($B9=0,0,IF(I$3=TotalApuestas!I4,I$5,0))</f>
        <v>0</v>
      </c>
      <c r="J9">
        <f>IF($B9=0,0,IF(AND(H$3=TotalApuestas!H4,Resultado!I$3=TotalApuestas!I4),Resultado!J$5+VLOOKUP(J$4&amp;"bonus",Aux!$W$1:$X$46,2,0),IF(J$3=TotalApuestas!J4,J$5,0)))</f>
        <v>0</v>
      </c>
      <c r="K9">
        <f>IF($B9=0,0,IF(K$3=TotalApuestas!K4,K$5,0))</f>
        <v>0</v>
      </c>
      <c r="L9">
        <f>IF($B9=0,0,IF(L$3=TotalApuestas!L4,L$5,0))</f>
        <v>0</v>
      </c>
      <c r="M9">
        <f>IF($B9=0,0,IF(AND(K$3=TotalApuestas!K4,Resultado!L$3=TotalApuestas!L4),Resultado!M$5+VLOOKUP(M$4&amp;"bonus",Aux!$W$1:$X$46,2,0),IF(M$3=TotalApuestas!M4,M$5,0)))</f>
        <v>0</v>
      </c>
      <c r="N9">
        <f>IF($B9=0,0,IF(N$3=TotalApuestas!N4,N$5,0))</f>
        <v>0</v>
      </c>
      <c r="O9">
        <f>IF($B9=0,0,IF(O$3=TotalApuestas!O4,O$5,0))</f>
        <v>0</v>
      </c>
      <c r="P9">
        <f>IF($B9=0,0,IF(AND(N$3=TotalApuestas!N4,Resultado!O$3=TotalApuestas!O4),Resultado!P$5+VLOOKUP(P$4&amp;"bonus",Aux!$W$1:$X$46,2,0),IF(P$3=TotalApuestas!P4,P$5,0)))</f>
        <v>0</v>
      </c>
      <c r="Q9">
        <f>IF($B9=0,0,IF(Q$3=TotalApuestas!Q4,Q$5,0))</f>
        <v>0</v>
      </c>
      <c r="R9">
        <f>IF($B9=0,0,IF(R$3=TotalApuestas!R4,R$5,0))</f>
        <v>0</v>
      </c>
      <c r="S9">
        <f>IF($B9=0,0,IF(AND(Q$3=TotalApuestas!Q4,Resultado!R$3=TotalApuestas!R4),Resultado!S$5+VLOOKUP(S$4&amp;"bonus",Aux!$W$1:$X$46,2,0),IF(S$3=TotalApuestas!S4,S$5,0)))</f>
        <v>0</v>
      </c>
      <c r="T9">
        <f>IF($B9=0,0,IF(T$3=TotalApuestas!T4,T$5,0))</f>
        <v>0</v>
      </c>
      <c r="U9">
        <f>IF($B9=0,0,IF(U$3=TotalApuestas!U4,U$5,0))</f>
        <v>0</v>
      </c>
      <c r="V9">
        <f>IF($B9=0,0,IF(AND(T$3=TotalApuestas!T4,Resultado!U$3=TotalApuestas!U4),Resultado!V$5+VLOOKUP(V$4&amp;"bonus",Aux!$W$1:$X$46,2,0),IF(V$3=TotalApuestas!V4,V$5,0)))</f>
        <v>0</v>
      </c>
      <c r="W9">
        <f>IF($B9=0,0,IF(W$3=TotalApuestas!W4,W$5,0))</f>
        <v>0</v>
      </c>
      <c r="X9">
        <f>IF($B9=0,0,IF(X$3=TotalApuestas!X4,X$5,0))</f>
        <v>0</v>
      </c>
      <c r="Y9">
        <f>IF($B9=0,0,IF(AND(W$3=TotalApuestas!W4,Resultado!X$3=TotalApuestas!X4),Resultado!Y$5+VLOOKUP(Y$4&amp;"bonus",Aux!$W$1:$X$46,2,0),IF(Y$3=TotalApuestas!Y4,Y$5,0)))</f>
        <v>0</v>
      </c>
      <c r="Z9">
        <f>IF($B9=0,0,IF(Z$3=TotalApuestas!Z4,Z$5,0))</f>
        <v>0</v>
      </c>
      <c r="AA9">
        <f>IF($B9=0,0,IF(AA$3=TotalApuestas!AA4,AA$5,0))</f>
        <v>0</v>
      </c>
      <c r="AB9">
        <f>IF($B9=0,0,IF(AND(Z$3=TotalApuestas!Z4,Resultado!AA$3=TotalApuestas!AA4),Resultado!AB$5+VLOOKUP(AB$4&amp;"bonus",Aux!$W$1:$X$46,2,0),IF(AB$3=TotalApuestas!AB4,AB$5,0)))</f>
        <v>0</v>
      </c>
      <c r="AC9">
        <f>IF($B9=0,0,IF(AC$3=TotalApuestas!AC4,AC$5,0))</f>
        <v>0</v>
      </c>
      <c r="AD9">
        <f>IF($B9=0,0,IF(AD$3=TotalApuestas!AD4,AD$5,0))</f>
        <v>0</v>
      </c>
      <c r="AE9">
        <f>IF($B9=0,0,IF(AND(AC$3=TotalApuestas!AC4,Resultado!AD$3=TotalApuestas!AD4),Resultado!AE$5+VLOOKUP(AE$4&amp;"bonus",Aux!$W$1:$X$46,2,0),IF(AE$3=TotalApuestas!AE4,AE$5,0)))</f>
        <v>0</v>
      </c>
      <c r="AF9">
        <f>IF($B9=0,0,IF(AF$3=TotalApuestas!AF4,AF$5,0))</f>
        <v>0</v>
      </c>
      <c r="AG9">
        <f>IF($B9=0,0,IF(AG$3=TotalApuestas!AG4,AG$5,0))</f>
        <v>0</v>
      </c>
      <c r="AH9">
        <f>IF($B9=0,0,IF(AND(AF$3=TotalApuestas!AF4,Resultado!AG$3=TotalApuestas!AG4),Resultado!AH$5+VLOOKUP(AH$4&amp;"bonus",Aux!$W$1:$X$46,2,0),IF(AH$3=TotalApuestas!AH4,AH$5,0)))</f>
        <v>0</v>
      </c>
      <c r="AI9">
        <f>IF($B9=0,0,IF(AI$3=TotalApuestas!AI4,AI$5,0))</f>
        <v>0</v>
      </c>
      <c r="AJ9">
        <f>IF($B9=0,0,IF(AJ$3=TotalApuestas!AJ4,AJ$5,0))</f>
        <v>0</v>
      </c>
      <c r="AK9">
        <f>IF($B9=0,0,IF(AND(AI$3=TotalApuestas!AI4,Resultado!AJ$3=TotalApuestas!AJ4),Resultado!AK$5+VLOOKUP(AK$4&amp;"bonus",Aux!$W$1:$X$46,2,0),IF(AK$3=TotalApuestas!AK4,AK$5,0)))</f>
        <v>0</v>
      </c>
      <c r="AL9">
        <f>IF($B9=0,0,IF(AL$3=TotalApuestas!AL4,AL$5,0))</f>
        <v>0</v>
      </c>
      <c r="AM9">
        <f>IF($B9=0,0,IF(AM$3=TotalApuestas!AM4,AM$5,0))</f>
        <v>0</v>
      </c>
      <c r="AN9">
        <f>IF($B9=0,0,IF(AND(AL$3=TotalApuestas!AL4,Resultado!AM$3=TotalApuestas!AM4),Resultado!AN$5+VLOOKUP(AN$4&amp;"bonus",Aux!$W$1:$X$46,2,0),IF(AN$3=TotalApuestas!AN4,AN$5,0)))</f>
        <v>0</v>
      </c>
      <c r="AO9">
        <f>IF($B9=0,0,IF(AO$3=TotalApuestas!AO4,AO$5,0))</f>
        <v>0</v>
      </c>
      <c r="AP9">
        <f>IF($B9=0,0,IF(AP$3=TotalApuestas!AP4,AP$5,0))</f>
        <v>0</v>
      </c>
      <c r="AQ9">
        <f>IF($B9=0,0,IF(AND(AO$3=TotalApuestas!AO4,Resultado!AP$3=TotalApuestas!AP4),Resultado!AQ$5+VLOOKUP(AQ$4&amp;"bonus",Aux!$W$1:$X$46,2,0),IF(AQ$3=TotalApuestas!AQ4,AQ$5,0)))</f>
        <v>0</v>
      </c>
      <c r="AR9">
        <f>IF($B9=0,0,IF(AR$3=TotalApuestas!AR4,AR$5,0))</f>
        <v>0</v>
      </c>
      <c r="AS9">
        <f>IF($B9=0,0,IF(AS$3=TotalApuestas!AS4,AS$5,0))</f>
        <v>0</v>
      </c>
      <c r="AT9">
        <f>IF($B9=0,0,IF(AND(AR$3=TotalApuestas!AR4,Resultado!AS$3=TotalApuestas!AS4),Resultado!AT$5+VLOOKUP(AT$4&amp;"bonus",Aux!$W$1:$X$46,2,0),IF(AT$3=TotalApuestas!AT4,AT$5,0)))</f>
        <v>0</v>
      </c>
      <c r="AU9">
        <f>IF($B9=0,0,IF(AU$3=TotalApuestas!AU4,AU$5,0))</f>
        <v>0</v>
      </c>
      <c r="AV9">
        <f>IF($B9=0,0,IF(AV$3=TotalApuestas!AV4,AV$5,0))</f>
        <v>0</v>
      </c>
      <c r="AW9">
        <f>IF($B9=0,0,IF(AND(AU$3=TotalApuestas!AU4,Resultado!AV$3=TotalApuestas!AV4),Resultado!AW$5+VLOOKUP(AW$4&amp;"bonus",Aux!$W$1:$X$46,2,0),IF(AW$3=TotalApuestas!AW4,AW$5,0)))</f>
        <v>0</v>
      </c>
      <c r="AX9">
        <f>IF($B9=0,0,IF(AX$3=TotalApuestas!AX4,AX$5,0))</f>
        <v>0</v>
      </c>
      <c r="AY9">
        <f>IF($B9=0,0,IF(AY$3=TotalApuestas!AY4,AY$5,0))</f>
        <v>0</v>
      </c>
      <c r="AZ9">
        <f>IF($B9=0,0,IF(AND(AX$3=TotalApuestas!AX4,Resultado!AY$3=TotalApuestas!AY4),Resultado!AZ$5+VLOOKUP(AZ$4&amp;"bonus",Aux!$W$1:$X$46,2,0),IF(AZ$3=TotalApuestas!AZ4,AZ$5,0)))</f>
        <v>0</v>
      </c>
      <c r="BA9">
        <f>IF($B9=0,0,IF(BA$3=TotalApuestas!BA4,BA$5,0))</f>
        <v>0</v>
      </c>
      <c r="BB9">
        <f>IF($B9=0,0,IF(BB$3=TotalApuestas!BB4,BB$5,0))</f>
        <v>0</v>
      </c>
      <c r="BC9">
        <f>IF($B9=0,0,IF(AND(BA$3=TotalApuestas!BA4,Resultado!BB$3=TotalApuestas!BB4),Resultado!BC$5+VLOOKUP(BC$4&amp;"bonus",Aux!$W$1:$X$46,2,0),IF(BC$3=TotalApuestas!BC4,BC$5,0)))</f>
        <v>0</v>
      </c>
      <c r="BD9">
        <f>IF($B9=0,0,IF(BD$3=TotalApuestas!BD4,BD$5,0))</f>
        <v>0</v>
      </c>
      <c r="BE9">
        <f>IF($B9=0,0,IF(BE$3=TotalApuestas!BE4,BE$5,0))</f>
        <v>0</v>
      </c>
      <c r="BF9">
        <f>IF($B9=0,0,IF(AND(BD$3=TotalApuestas!BD4,Resultado!BE$3=TotalApuestas!BE4),Resultado!BF$5+VLOOKUP(BF$4&amp;"bonus",Aux!$W$1:$X$46,2,0),IF(BF$3=TotalApuestas!BF4,BF$5,0)))</f>
        <v>0</v>
      </c>
      <c r="BG9">
        <f>IF($B9=0,0,IF(BG$3=TotalApuestas!BG4,BG$5,0))</f>
        <v>0</v>
      </c>
      <c r="BH9">
        <f>IF($B9=0,0,IF(BH$3=TotalApuestas!BH4,BH$5,0))</f>
        <v>0</v>
      </c>
      <c r="BI9">
        <f>IF($B9=0,0,IF(AND(BG$3=TotalApuestas!BG4,Resultado!BH$3=TotalApuestas!BH4),Resultado!BI$5+VLOOKUP(BI$4&amp;"bonus",Aux!$W$1:$X$46,2,0),IF(BI$3=TotalApuestas!BI4,BI$5,0)))</f>
        <v>0</v>
      </c>
      <c r="BJ9">
        <f>IF($B9=0,0,IF(BJ$3=TotalApuestas!BJ4,BJ$5,0))</f>
        <v>0</v>
      </c>
      <c r="BK9">
        <f>IF($B9=0,0,IF(BK$3=TotalApuestas!BK4,BK$5,0))</f>
        <v>0</v>
      </c>
      <c r="BL9">
        <f>IF($B9=0,0,IF(AND(BJ$3=TotalApuestas!BJ4,Resultado!BK$3=TotalApuestas!BK4),Resultado!BL$5+VLOOKUP(BL$4&amp;"bonus",Aux!$W$1:$X$46,2,0),IF(BL$3=TotalApuestas!BL4,BL$5,0)))</f>
        <v>0</v>
      </c>
      <c r="BM9">
        <f>IF($B9=0,0,IF(BM$3=TotalApuestas!BM4,BM$5,0))</f>
        <v>0</v>
      </c>
      <c r="BN9">
        <f>IF($B9=0,0,IF(BN$3=TotalApuestas!BN4,BN$5,0))</f>
        <v>0</v>
      </c>
      <c r="BO9">
        <f>IF($B9=0,0,IF(AND(BM$3=TotalApuestas!BM4,Resultado!BN$3=TotalApuestas!BN4),Resultado!BO$5+VLOOKUP(BO$4&amp;"bonus",Aux!$W$1:$X$46,2,0),IF(BO$3=TotalApuestas!BO4,BO$5,0)))</f>
        <v>0</v>
      </c>
      <c r="BP9">
        <f>IF($B9=0,0,IF(BP$3=TotalApuestas!BP4,BP$5,0))</f>
        <v>0</v>
      </c>
      <c r="BQ9">
        <f>IF($B9=0,0,IF(BQ$3=TotalApuestas!BQ4,BQ$5,0))</f>
        <v>0</v>
      </c>
      <c r="BR9">
        <f>IF($B9=0,0,IF(AND(BP$3=TotalApuestas!BP4,Resultado!BQ$3=TotalApuestas!BQ4),Resultado!BR$5+VLOOKUP(BR$4&amp;"bonus",Aux!$W$1:$X$46,2,0),IF(BR$3=TotalApuestas!BR4,BR$5,0)))</f>
        <v>0</v>
      </c>
      <c r="BS9">
        <f>IF($B9=0,0,IF(BS$3=TotalApuestas!BS4,BS$5,0))</f>
        <v>0</v>
      </c>
      <c r="BT9">
        <f>IF($B9=0,0,IF(BT$3=TotalApuestas!BT4,BT$5,0))</f>
        <v>0</v>
      </c>
      <c r="BU9">
        <f>IF($B9=0,0,IF(AND(BS$3=TotalApuestas!BS4,Resultado!BT$3=TotalApuestas!BT4),Resultado!BU$5+VLOOKUP(BU$4&amp;"bonus",Aux!$W$1:$X$46,2,0),IF(BU$3=TotalApuestas!BU4,BU$5,0)))</f>
        <v>0</v>
      </c>
      <c r="BV9">
        <f>IF($B9=0,0,IF(BV$3=TotalApuestas!BV4,BV$5,0))</f>
        <v>0</v>
      </c>
      <c r="BW9">
        <f>IF($B9=0,0,IF(BW$3=TotalApuestas!BW4,BW$5,0))</f>
        <v>0</v>
      </c>
      <c r="BX9">
        <f>IF($B9=0,0,IF(AND(BV$3=TotalApuestas!BV4,Resultado!BW$3=TotalApuestas!BW4),Resultado!BX$5+VLOOKUP(BX$4&amp;"bonus",Aux!$W$1:$X$46,2,0),IF(BX$3=TotalApuestas!BX4,BX$5,0)))</f>
        <v>0</v>
      </c>
      <c r="BY9">
        <f>IF($B9=0,0,IF(BY$3=TotalApuestas!BY4,BY$5,0))</f>
        <v>0</v>
      </c>
      <c r="BZ9">
        <f>IF($B9=0,0,IF(BZ$3=TotalApuestas!BZ4,BZ$5,0))</f>
        <v>0</v>
      </c>
      <c r="CA9">
        <f>IF($B9=0,0,IF(CA$3=TotalApuestas!CA4,CA$5,0))</f>
        <v>0</v>
      </c>
      <c r="CB9">
        <f>IF($B9=0,0,IF(CB$3=TotalApuestas!CB4,CB$5,0))</f>
        <v>0</v>
      </c>
      <c r="CC9">
        <f>IF($B9=0,0,IF(COUNTIF($CC$3:$CJ$3,TotalApuestas!CC4)=1,CC$5,0))</f>
        <v>0</v>
      </c>
      <c r="CD9">
        <f>IF($B9=0,0,IF(COUNTIF($CC$3:$CJ$3,TotalApuestas!CD4)=1,CD$5,0))</f>
        <v>0</v>
      </c>
      <c r="CE9">
        <f>IF($B9=0,0,IF(COUNTIF($CC$3:$CJ$3,TotalApuestas!CE4)=1,CE$5,0))</f>
        <v>0</v>
      </c>
      <c r="CF9">
        <f>IF($B9=0,0,IF(COUNTIF($CC$3:$CJ$3,TotalApuestas!CF4)=1,CF$5,0))</f>
        <v>0</v>
      </c>
      <c r="CG9">
        <f>IF($B9=0,0,IF(COUNTIF($CC$3:$CJ$3,TotalApuestas!CG4)=1,CG$5,0))</f>
        <v>0</v>
      </c>
      <c r="CH9">
        <f>IF($B9=0,0,IF(COUNTIF($CC$3:$CJ$3,TotalApuestas!CH4)=1,CH$5,0))</f>
        <v>0</v>
      </c>
      <c r="CI9">
        <f>IF($B9=0,0,IF(COUNTIF($CC$3:$CJ$3,TotalApuestas!CI4)=1,CI$5,0))</f>
        <v>0</v>
      </c>
      <c r="CJ9">
        <f>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IF($B9=0,0,IF(CR$3=TotalApuestas!CR4,CR$5,0))</f>
        <v>0</v>
      </c>
      <c r="CS9">
        <f>IF($B9=0,0,IF(CS$3=TotalApuestas!CS4,CS$5,0))</f>
        <v>0</v>
      </c>
      <c r="CT9">
        <f>IF($B9=0,0,IF(AND(CR$3=TotalApuestas!CR4,Resultado!CS$3=TotalApuestas!CS4),Resultado!CT$5+VLOOKUP(CT$4&amp;"bonus",Aux!$W$1:$X$46,2,0),IF(CT$3=TotalApuestas!CT4,CT$5,0)))</f>
        <v>0</v>
      </c>
      <c r="CU9">
        <f>IF($B9=0,0,IF(CU$3=TotalApuestas!CU4,CU$5,0))</f>
        <v>0</v>
      </c>
      <c r="CV9">
        <f>IF($B9=0,0,IF(CV$3=TotalApuestas!CV4,CV$5,0))</f>
        <v>0</v>
      </c>
      <c r="CW9">
        <f>IF($B9=0,0,IF(AND(CU$3=TotalApuestas!CU4,Resultado!CV$3=TotalApuestas!CV4),Resultado!CW$5+VLOOKUP(CW$4&amp;"bonus",Aux!$W$1:$X$46,2,0),IF(CW$3=TotalApuestas!CW4,CW$5,0)))</f>
        <v>0</v>
      </c>
      <c r="CX9">
        <f>IF($B9=0,0,IF(CX$3=TotalApuestas!CX4,CX$5,0))</f>
        <v>0</v>
      </c>
      <c r="CY9">
        <f>IF($B9=0,0,IF(CY$3=TotalApuestas!CY4,CY$5,0))</f>
        <v>0</v>
      </c>
      <c r="CZ9">
        <f>IF($B9=0,0,IF(AND(CX$3=TotalApuestas!CX4,Resultado!CY$3=TotalApuestas!CY4),Resultado!CZ$5+VLOOKUP(CZ$4&amp;"bonus",Aux!$W$1:$X$46,2,0),IF(CZ$3=TotalApuestas!CZ4,CZ$5,0)))</f>
        <v>0</v>
      </c>
      <c r="DA9">
        <f>IF($B9=0,0,IF(DA$3=TotalApuestas!DA4,DA$5,0))</f>
        <v>0</v>
      </c>
      <c r="DB9">
        <f>IF($B9=0,0,IF(DB$3=TotalApuestas!DB4,DB$5,0))</f>
        <v>0</v>
      </c>
      <c r="DC9">
        <f>IF($B9=0,0,IF(AND(DA$3=TotalApuestas!DA4,Resultado!DB$3=TotalApuestas!DB4),Resultado!DC$5+VLOOKUP(DC$4&amp;"bonus",Aux!$W$1:$X$46,2,0),IF(DC$3=TotalApuestas!DC4,DC$5,0)))</f>
        <v>0</v>
      </c>
      <c r="DD9">
        <f>IF($B9=0,0,IF(DD$3=TotalApuestas!DD4,DD$5,0))</f>
        <v>0</v>
      </c>
      <c r="DE9">
        <f>IF($B9=0,0,IF(DE$3=TotalApuestas!DE4,DE$5,0))</f>
        <v>0</v>
      </c>
      <c r="DF9">
        <f>IF($B9=0,0,IF(AND(DD$3=TotalApuestas!DD4,Resultado!DE$3=TotalApuestas!DE4),Resultado!DF$5+VLOOKUP(DF$4&amp;"bonus",Aux!$W$1:$X$46,2,0),IF(DF$3=TotalApuestas!DF4,DF$5,0)))</f>
        <v>0</v>
      </c>
      <c r="DG9">
        <f>IF($B9=0,0,IF(DG$3=TotalApuestas!DG4,DG$5,0))</f>
        <v>0</v>
      </c>
      <c r="DH9">
        <f>IF($B9=0,0,IF(DH$3=TotalApuestas!DH4,DH$5,0))</f>
        <v>0</v>
      </c>
      <c r="DI9">
        <f>IF($B9=0,0,IF(AND(DG$3=TotalApuestas!DG4,Resultado!DH$3=TotalApuestas!DH4),Resultado!DI$5+VLOOKUP(DI$4&amp;"bonus",Aux!$W$1:$X$46,2,0),IF(DI$3=TotalApuestas!DI4,DI$5,0)))</f>
        <v>0</v>
      </c>
      <c r="DJ9">
        <f>IF($B9=0,0,IF(DJ$3=TotalApuestas!DJ4,DJ$5,0))</f>
        <v>0</v>
      </c>
      <c r="DK9">
        <f>IF($B9=0,0,IF(DK$3=TotalApuestas!DK4,DK$5,0))</f>
        <v>0</v>
      </c>
      <c r="DL9">
        <f>IF($B9=0,0,IF(AND(DJ$3=TotalApuestas!DJ4,Resultado!DK$3=TotalApuestas!DK4),Resultado!DL$5+VLOOKUP(DL$4&amp;"bonus",Aux!$W$1:$X$46,2,0),IF(DL$3=TotalApuestas!DL4,DL$5,0)))</f>
        <v>0</v>
      </c>
      <c r="DM9">
        <f>IF($B9=0,0,IF(DM$3=TotalApuestas!DM4,DM$5,0))</f>
        <v>0</v>
      </c>
      <c r="DN9">
        <f>IF($B9=0,0,IF(DN$3=TotalApuestas!DN4,DN$5,0))</f>
        <v>0</v>
      </c>
      <c r="DO9">
        <f>IF($B9=0,0,IF(AND(DM$3=TotalApuestas!DM4,Resultado!DN$3=TotalApuestas!DN4),Resultado!DO$5+VLOOKUP(DO$4&amp;"bonus",Aux!$W$1:$X$46,2,0),IF(DO$3=TotalApuestas!DO4,DO$5,0)))</f>
        <v>0</v>
      </c>
    </row>
    <row r="10" spans="2:119" x14ac:dyDescent="0.2">
      <c r="B10">
        <f>+TotalApuestas!B5</f>
        <v>0</v>
      </c>
      <c r="E10">
        <f>IF($B10=0,0,IF(E$3=TotalApuestas!E5,E$5,0))</f>
        <v>0</v>
      </c>
      <c r="F10">
        <f>IF($B10=0,0,IF(F$3=TotalApuestas!F5,F$5,0))</f>
        <v>0</v>
      </c>
      <c r="G10">
        <f>IF($B10=0,0,IF(AND(E$3=TotalApuestas!E5,Resultado!F$3=TotalApuestas!F5),Resultado!G$5+VLOOKUP(G$4&amp;"bonus",Aux!$W$1:$X$46,2,0),IF(G$3=TotalApuestas!G5,G$5,0)))</f>
        <v>0</v>
      </c>
      <c r="H10">
        <f>IF($B10=0,0,IF(H$3=TotalApuestas!H5,H$5,0))</f>
        <v>0</v>
      </c>
      <c r="I10">
        <f>IF($B10=0,0,IF(I$3=TotalApuestas!I5,I$5,0))</f>
        <v>0</v>
      </c>
      <c r="J10">
        <f>IF($B10=0,0,IF(AND(H$3=TotalApuestas!H5,Resultado!I$3=TotalApuestas!I5),Resultado!J$5+VLOOKUP(J$4&amp;"bonus",Aux!$W$1:$X$46,2,0),IF(J$3=TotalApuestas!J5,J$5,0)))</f>
        <v>0</v>
      </c>
      <c r="K10">
        <f>IF($B10=0,0,IF(K$3=TotalApuestas!K5,K$5,0))</f>
        <v>0</v>
      </c>
      <c r="L10">
        <f>IF($B10=0,0,IF(L$3=TotalApuestas!L5,L$5,0))</f>
        <v>0</v>
      </c>
      <c r="M10">
        <f>IF($B10=0,0,IF(AND(K$3=TotalApuestas!K5,Resultado!L$3=TotalApuestas!L5),Resultado!M$5+VLOOKUP(M$4&amp;"bonus",Aux!$W$1:$X$46,2,0),IF(M$3=TotalApuestas!M5,M$5,0)))</f>
        <v>0</v>
      </c>
      <c r="N10">
        <f>IF($B10=0,0,IF(N$3=TotalApuestas!N5,N$5,0))</f>
        <v>0</v>
      </c>
      <c r="O10">
        <f>IF($B10=0,0,IF(O$3=TotalApuestas!O5,O$5,0))</f>
        <v>0</v>
      </c>
      <c r="P10">
        <f>IF($B10=0,0,IF(AND(N$3=TotalApuestas!N5,Resultado!O$3=TotalApuestas!O5),Resultado!P$5+VLOOKUP(P$4&amp;"bonus",Aux!$W$1:$X$46,2,0),IF(P$3=TotalApuestas!P5,P$5,0)))</f>
        <v>0</v>
      </c>
      <c r="Q10">
        <f>IF($B10=0,0,IF(Q$3=TotalApuestas!Q5,Q$5,0))</f>
        <v>0</v>
      </c>
      <c r="R10">
        <f>IF($B10=0,0,IF(R$3=TotalApuestas!R5,R$5,0))</f>
        <v>0</v>
      </c>
      <c r="S10">
        <f>IF($B10=0,0,IF(AND(Q$3=TotalApuestas!Q5,Resultado!R$3=TotalApuestas!R5),Resultado!S$5+VLOOKUP(S$4&amp;"bonus",Aux!$W$1:$X$46,2,0),IF(S$3=TotalApuestas!S5,S$5,0)))</f>
        <v>0</v>
      </c>
      <c r="T10">
        <f>IF($B10=0,0,IF(T$3=TotalApuestas!T5,T$5,0))</f>
        <v>0</v>
      </c>
      <c r="U10">
        <f>IF($B10=0,0,IF(U$3=TotalApuestas!U5,U$5,0))</f>
        <v>0</v>
      </c>
      <c r="V10">
        <f>IF($B10=0,0,IF(AND(T$3=TotalApuestas!T5,Resultado!U$3=TotalApuestas!U5),Resultado!V$5+VLOOKUP(V$4&amp;"bonus",Aux!$W$1:$X$46,2,0),IF(V$3=TotalApuestas!V5,V$5,0)))</f>
        <v>0</v>
      </c>
      <c r="W10">
        <f>IF($B10=0,0,IF(W$3=TotalApuestas!W5,W$5,0))</f>
        <v>0</v>
      </c>
      <c r="X10">
        <f>IF($B10=0,0,IF(X$3=TotalApuestas!X5,X$5,0))</f>
        <v>0</v>
      </c>
      <c r="Y10">
        <f>IF($B10=0,0,IF(AND(W$3=TotalApuestas!W5,Resultado!X$3=TotalApuestas!X5),Resultado!Y$5+VLOOKUP(Y$4&amp;"bonus",Aux!$W$1:$X$46,2,0),IF(Y$3=TotalApuestas!Y5,Y$5,0)))</f>
        <v>0</v>
      </c>
      <c r="Z10">
        <f>IF($B10=0,0,IF(Z$3=TotalApuestas!Z5,Z$5,0))</f>
        <v>0</v>
      </c>
      <c r="AA10">
        <f>IF($B10=0,0,IF(AA$3=TotalApuestas!AA5,AA$5,0))</f>
        <v>0</v>
      </c>
      <c r="AB10">
        <f>IF($B10=0,0,IF(AND(Z$3=TotalApuestas!Z5,Resultado!AA$3=TotalApuestas!AA5),Resultado!AB$5+VLOOKUP(AB$4&amp;"bonus",Aux!$W$1:$X$46,2,0),IF(AB$3=TotalApuestas!AB5,AB$5,0)))</f>
        <v>0</v>
      </c>
      <c r="AC10">
        <f>IF($B10=0,0,IF(AC$3=TotalApuestas!AC5,AC$5,0))</f>
        <v>0</v>
      </c>
      <c r="AD10">
        <f>IF($B10=0,0,IF(AD$3=TotalApuestas!AD5,AD$5,0))</f>
        <v>0</v>
      </c>
      <c r="AE10">
        <f>IF($B10=0,0,IF(AND(AC$3=TotalApuestas!AC5,Resultado!AD$3=TotalApuestas!AD5),Resultado!AE$5+VLOOKUP(AE$4&amp;"bonus",Aux!$W$1:$X$46,2,0),IF(AE$3=TotalApuestas!AE5,AE$5,0)))</f>
        <v>0</v>
      </c>
      <c r="AF10">
        <f>IF($B10=0,0,IF(AF$3=TotalApuestas!AF5,AF$5,0))</f>
        <v>0</v>
      </c>
      <c r="AG10">
        <f>IF($B10=0,0,IF(AG$3=TotalApuestas!AG5,AG$5,0))</f>
        <v>0</v>
      </c>
      <c r="AH10">
        <f>IF($B10=0,0,IF(AND(AF$3=TotalApuestas!AF5,Resultado!AG$3=TotalApuestas!AG5),Resultado!AH$5+VLOOKUP(AH$4&amp;"bonus",Aux!$W$1:$X$46,2,0),IF(AH$3=TotalApuestas!AH5,AH$5,0)))</f>
        <v>0</v>
      </c>
      <c r="AI10">
        <f>IF($B10=0,0,IF(AI$3=TotalApuestas!AI5,AI$5,0))</f>
        <v>0</v>
      </c>
      <c r="AJ10">
        <f>IF($B10=0,0,IF(AJ$3=TotalApuestas!AJ5,AJ$5,0))</f>
        <v>0</v>
      </c>
      <c r="AK10">
        <f>IF($B10=0,0,IF(AND(AI$3=TotalApuestas!AI5,Resultado!AJ$3=TotalApuestas!AJ5),Resultado!AK$5+VLOOKUP(AK$4&amp;"bonus",Aux!$W$1:$X$46,2,0),IF(AK$3=TotalApuestas!AK5,AK$5,0)))</f>
        <v>0</v>
      </c>
      <c r="AL10">
        <f>IF($B10=0,0,IF(AL$3=TotalApuestas!AL5,AL$5,0))</f>
        <v>0</v>
      </c>
      <c r="AM10">
        <f>IF($B10=0,0,IF(AM$3=TotalApuestas!AM5,AM$5,0))</f>
        <v>0</v>
      </c>
      <c r="AN10">
        <f>IF($B10=0,0,IF(AND(AL$3=TotalApuestas!AL5,Resultado!AM$3=TotalApuestas!AM5),Resultado!AN$5+VLOOKUP(AN$4&amp;"bonus",Aux!$W$1:$X$46,2,0),IF(AN$3=TotalApuestas!AN5,AN$5,0)))</f>
        <v>0</v>
      </c>
      <c r="AO10">
        <f>IF($B10=0,0,IF(AO$3=TotalApuestas!AO5,AO$5,0))</f>
        <v>0</v>
      </c>
      <c r="AP10">
        <f>IF($B10=0,0,IF(AP$3=TotalApuestas!AP5,AP$5,0))</f>
        <v>0</v>
      </c>
      <c r="AQ10">
        <f>IF($B10=0,0,IF(AND(AO$3=TotalApuestas!AO5,Resultado!AP$3=TotalApuestas!AP5),Resultado!AQ$5+VLOOKUP(AQ$4&amp;"bonus",Aux!$W$1:$X$46,2,0),IF(AQ$3=TotalApuestas!AQ5,AQ$5,0)))</f>
        <v>0</v>
      </c>
      <c r="AR10">
        <f>IF($B10=0,0,IF(AR$3=TotalApuestas!AR5,AR$5,0))</f>
        <v>0</v>
      </c>
      <c r="AS10">
        <f>IF($B10=0,0,IF(AS$3=TotalApuestas!AS5,AS$5,0))</f>
        <v>0</v>
      </c>
      <c r="AT10">
        <f>IF($B10=0,0,IF(AND(AR$3=TotalApuestas!AR5,Resultado!AS$3=TotalApuestas!AS5),Resultado!AT$5+VLOOKUP(AT$4&amp;"bonus",Aux!$W$1:$X$46,2,0),IF(AT$3=TotalApuestas!AT5,AT$5,0)))</f>
        <v>0</v>
      </c>
      <c r="AU10">
        <f>IF($B10=0,0,IF(AU$3=TotalApuestas!AU5,AU$5,0))</f>
        <v>0</v>
      </c>
      <c r="AV10">
        <f>IF($B10=0,0,IF(AV$3=TotalApuestas!AV5,AV$5,0))</f>
        <v>0</v>
      </c>
      <c r="AW10">
        <f>IF($B10=0,0,IF(AND(AU$3=TotalApuestas!AU5,Resultado!AV$3=TotalApuestas!AV5),Resultado!AW$5+VLOOKUP(AW$4&amp;"bonus",Aux!$W$1:$X$46,2,0),IF(AW$3=TotalApuestas!AW5,AW$5,0)))</f>
        <v>0</v>
      </c>
      <c r="AX10">
        <f>IF($B10=0,0,IF(AX$3=TotalApuestas!AX5,AX$5,0))</f>
        <v>0</v>
      </c>
      <c r="AY10">
        <f>IF($B10=0,0,IF(AY$3=TotalApuestas!AY5,AY$5,0))</f>
        <v>0</v>
      </c>
      <c r="AZ10">
        <f>IF($B10=0,0,IF(AND(AX$3=TotalApuestas!AX5,Resultado!AY$3=TotalApuestas!AY5),Resultado!AZ$5+VLOOKUP(AZ$4&amp;"bonus",Aux!$W$1:$X$46,2,0),IF(AZ$3=TotalApuestas!AZ5,AZ$5,0)))</f>
        <v>0</v>
      </c>
      <c r="BA10">
        <f>IF($B10=0,0,IF(BA$3=TotalApuestas!BA5,BA$5,0))</f>
        <v>0</v>
      </c>
      <c r="BB10">
        <f>IF($B10=0,0,IF(BB$3=TotalApuestas!BB5,BB$5,0))</f>
        <v>0</v>
      </c>
      <c r="BC10">
        <f>IF($B10=0,0,IF(AND(BA$3=TotalApuestas!BA5,Resultado!BB$3=TotalApuestas!BB5),Resultado!BC$5+VLOOKUP(BC$4&amp;"bonus",Aux!$W$1:$X$46,2,0),IF(BC$3=TotalApuestas!BC5,BC$5,0)))</f>
        <v>0</v>
      </c>
      <c r="BD10">
        <f>IF($B10=0,0,IF(BD$3=TotalApuestas!BD5,BD$5,0))</f>
        <v>0</v>
      </c>
      <c r="BE10">
        <f>IF($B10=0,0,IF(BE$3=TotalApuestas!BE5,BE$5,0))</f>
        <v>0</v>
      </c>
      <c r="BF10">
        <f>IF($B10=0,0,IF(AND(BD$3=TotalApuestas!BD5,Resultado!BE$3=TotalApuestas!BE5),Resultado!BF$5+VLOOKUP(BF$4&amp;"bonus",Aux!$W$1:$X$46,2,0),IF(BF$3=TotalApuestas!BF5,BF$5,0)))</f>
        <v>0</v>
      </c>
      <c r="BG10">
        <f>IF($B10=0,0,IF(BG$3=TotalApuestas!BG5,BG$5,0))</f>
        <v>0</v>
      </c>
      <c r="BH10">
        <f>IF($B10=0,0,IF(BH$3=TotalApuestas!BH5,BH$5,0))</f>
        <v>0</v>
      </c>
      <c r="BI10">
        <f>IF($B10=0,0,IF(AND(BG$3=TotalApuestas!BG5,Resultado!BH$3=TotalApuestas!BH5),Resultado!BI$5+VLOOKUP(BI$4&amp;"bonus",Aux!$W$1:$X$46,2,0),IF(BI$3=TotalApuestas!BI5,BI$5,0)))</f>
        <v>0</v>
      </c>
      <c r="BJ10">
        <f>IF($B10=0,0,IF(BJ$3=TotalApuestas!BJ5,BJ$5,0))</f>
        <v>0</v>
      </c>
      <c r="BK10">
        <f>IF($B10=0,0,IF(BK$3=TotalApuestas!BK5,BK$5,0))</f>
        <v>0</v>
      </c>
      <c r="BL10">
        <f>IF($B10=0,0,IF(AND(BJ$3=TotalApuestas!BJ5,Resultado!BK$3=TotalApuestas!BK5),Resultado!BL$5+VLOOKUP(BL$4&amp;"bonus",Aux!$W$1:$X$46,2,0),IF(BL$3=TotalApuestas!BL5,BL$5,0)))</f>
        <v>0</v>
      </c>
      <c r="BM10">
        <f>IF($B10=0,0,IF(BM$3=TotalApuestas!BM5,BM$5,0))</f>
        <v>0</v>
      </c>
      <c r="BN10">
        <f>IF($B10=0,0,IF(BN$3=TotalApuestas!BN5,BN$5,0))</f>
        <v>0</v>
      </c>
      <c r="BO10">
        <f>IF($B10=0,0,IF(AND(BM$3=TotalApuestas!BM5,Resultado!BN$3=TotalApuestas!BN5),Resultado!BO$5+VLOOKUP(BO$4&amp;"bonus",Aux!$W$1:$X$46,2,0),IF(BO$3=TotalApuestas!BO5,BO$5,0)))</f>
        <v>0</v>
      </c>
      <c r="BP10">
        <f>IF($B10=0,0,IF(BP$3=TotalApuestas!BP5,BP$5,0))</f>
        <v>0</v>
      </c>
      <c r="BQ10">
        <f>IF($B10=0,0,IF(BQ$3=TotalApuestas!BQ5,BQ$5,0))</f>
        <v>0</v>
      </c>
      <c r="BR10">
        <f>IF($B10=0,0,IF(AND(BP$3=TotalApuestas!BP5,Resultado!BQ$3=TotalApuestas!BQ5),Resultado!BR$5+VLOOKUP(BR$4&amp;"bonus",Aux!$W$1:$X$46,2,0),IF(BR$3=TotalApuestas!BR5,BR$5,0)))</f>
        <v>0</v>
      </c>
      <c r="BS10">
        <f>IF($B10=0,0,IF(BS$3=TotalApuestas!BS5,BS$5,0))</f>
        <v>0</v>
      </c>
      <c r="BT10">
        <f>IF($B10=0,0,IF(BT$3=TotalApuestas!BT5,BT$5,0))</f>
        <v>0</v>
      </c>
      <c r="BU10">
        <f>IF($B10=0,0,IF(AND(BS$3=TotalApuestas!BS5,Resultado!BT$3=TotalApuestas!BT5),Resultado!BU$5+VLOOKUP(BU$4&amp;"bonus",Aux!$W$1:$X$46,2,0),IF(BU$3=TotalApuestas!BU5,BU$5,0)))</f>
        <v>0</v>
      </c>
      <c r="BV10">
        <f>IF($B10=0,0,IF(BV$3=TotalApuestas!BV5,BV$5,0))</f>
        <v>0</v>
      </c>
      <c r="BW10">
        <f>IF($B10=0,0,IF(BW$3=TotalApuestas!BW5,BW$5,0))</f>
        <v>0</v>
      </c>
      <c r="BX10">
        <f>IF($B10=0,0,IF(AND(BV$3=TotalApuestas!BV5,Resultado!BW$3=TotalApuestas!BW5),Resultado!BX$5+VLOOKUP(BX$4&amp;"bonus",Aux!$W$1:$X$46,2,0),IF(BX$3=TotalApuestas!BX5,BX$5,0)))</f>
        <v>0</v>
      </c>
      <c r="BY10">
        <f>IF($B10=0,0,IF(BY$3=TotalApuestas!BY5,BY$5,0))</f>
        <v>0</v>
      </c>
      <c r="BZ10">
        <f>IF($B10=0,0,IF(BZ$3=TotalApuestas!BZ5,BZ$5,0))</f>
        <v>0</v>
      </c>
      <c r="CA10">
        <f>IF($B10=0,0,IF(CA$3=TotalApuestas!CA5,CA$5,0))</f>
        <v>0</v>
      </c>
      <c r="CB10">
        <f>IF($B10=0,0,IF(CB$3=TotalApuestas!CB5,CB$5,0))</f>
        <v>0</v>
      </c>
      <c r="CC10">
        <f>IF($B10=0,0,IF(COUNTIF($CC$3:$CJ$3,TotalApuestas!CC5)=1,CC$5,0))</f>
        <v>0</v>
      </c>
      <c r="CD10">
        <f>IF($B10=0,0,IF(COUNTIF($CC$3:$CJ$3,TotalApuestas!CD5)=1,CD$5,0))</f>
        <v>0</v>
      </c>
      <c r="CE10">
        <f>IF($B10=0,0,IF(COUNTIF($CC$3:$CJ$3,TotalApuestas!CE5)=1,CE$5,0))</f>
        <v>0</v>
      </c>
      <c r="CF10">
        <f>IF($B10=0,0,IF(COUNTIF($CC$3:$CJ$3,TotalApuestas!CF5)=1,CF$5,0))</f>
        <v>0</v>
      </c>
      <c r="CG10">
        <f>IF($B10=0,0,IF(COUNTIF($CC$3:$CJ$3,TotalApuestas!CG5)=1,CG$5,0))</f>
        <v>0</v>
      </c>
      <c r="CH10">
        <f>IF($B10=0,0,IF(COUNTIF($CC$3:$CJ$3,TotalApuestas!CH5)=1,CH$5,0))</f>
        <v>0</v>
      </c>
      <c r="CI10">
        <f>IF($B10=0,0,IF(COUNTIF($CC$3:$CJ$3,TotalApuestas!CI5)=1,CI$5,0))</f>
        <v>0</v>
      </c>
      <c r="CJ10">
        <f>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IF($B10=0,0,IF(CR$3=TotalApuestas!CR5,CR$5,0))</f>
        <v>0</v>
      </c>
      <c r="CS10">
        <f>IF($B10=0,0,IF(CS$3=TotalApuestas!CS5,CS$5,0))</f>
        <v>0</v>
      </c>
      <c r="CT10">
        <f>IF($B10=0,0,IF(AND(CR$3=TotalApuestas!CR5,Resultado!CS$3=TotalApuestas!CS5),Resultado!CT$5+VLOOKUP(CT$4&amp;"bonus",Aux!$W$1:$X$46,2,0),IF(CT$3=TotalApuestas!CT5,CT$5,0)))</f>
        <v>0</v>
      </c>
      <c r="CU10">
        <f>IF($B10=0,0,IF(CU$3=TotalApuestas!CU5,CU$5,0))</f>
        <v>0</v>
      </c>
      <c r="CV10">
        <f>IF($B10=0,0,IF(CV$3=TotalApuestas!CV5,CV$5,0))</f>
        <v>0</v>
      </c>
      <c r="CW10">
        <f>IF($B10=0,0,IF(AND(CU$3=TotalApuestas!CU5,Resultado!CV$3=TotalApuestas!CV5),Resultado!CW$5+VLOOKUP(CW$4&amp;"bonus",Aux!$W$1:$X$46,2,0),IF(CW$3=TotalApuestas!CW5,CW$5,0)))</f>
        <v>0</v>
      </c>
      <c r="CX10">
        <f>IF($B10=0,0,IF(CX$3=TotalApuestas!CX5,CX$5,0))</f>
        <v>0</v>
      </c>
      <c r="CY10">
        <f>IF($B10=0,0,IF(CY$3=TotalApuestas!CY5,CY$5,0))</f>
        <v>0</v>
      </c>
      <c r="CZ10">
        <f>IF($B10=0,0,IF(AND(CX$3=TotalApuestas!CX5,Resultado!CY$3=TotalApuestas!CY5),Resultado!CZ$5+VLOOKUP(CZ$4&amp;"bonus",Aux!$W$1:$X$46,2,0),IF(CZ$3=TotalApuestas!CZ5,CZ$5,0)))</f>
        <v>0</v>
      </c>
      <c r="DA10">
        <f>IF($B10=0,0,IF(DA$3=TotalApuestas!DA5,DA$5,0))</f>
        <v>0</v>
      </c>
      <c r="DB10">
        <f>IF($B10=0,0,IF(DB$3=TotalApuestas!DB5,DB$5,0))</f>
        <v>0</v>
      </c>
      <c r="DC10">
        <f>IF($B10=0,0,IF(AND(DA$3=TotalApuestas!DA5,Resultado!DB$3=TotalApuestas!DB5),Resultado!DC$5+VLOOKUP(DC$4&amp;"bonus",Aux!$W$1:$X$46,2,0),IF(DC$3=TotalApuestas!DC5,DC$5,0)))</f>
        <v>0</v>
      </c>
      <c r="DD10">
        <f>IF($B10=0,0,IF(DD$3=TotalApuestas!DD5,DD$5,0))</f>
        <v>0</v>
      </c>
      <c r="DE10">
        <f>IF($B10=0,0,IF(DE$3=TotalApuestas!DE5,DE$5,0))</f>
        <v>0</v>
      </c>
      <c r="DF10">
        <f>IF($B10=0,0,IF(AND(DD$3=TotalApuestas!DD5,Resultado!DE$3=TotalApuestas!DE5),Resultado!DF$5+VLOOKUP(DF$4&amp;"bonus",Aux!$W$1:$X$46,2,0),IF(DF$3=TotalApuestas!DF5,DF$5,0)))</f>
        <v>0</v>
      </c>
      <c r="DG10">
        <f>IF($B10=0,0,IF(DG$3=TotalApuestas!DG5,DG$5,0))</f>
        <v>0</v>
      </c>
      <c r="DH10">
        <f>IF($B10=0,0,IF(DH$3=TotalApuestas!DH5,DH$5,0))</f>
        <v>0</v>
      </c>
      <c r="DI10">
        <f>IF($B10=0,0,IF(AND(DG$3=TotalApuestas!DG5,Resultado!DH$3=TotalApuestas!DH5),Resultado!DI$5+VLOOKUP(DI$4&amp;"bonus",Aux!$W$1:$X$46,2,0),IF(DI$3=TotalApuestas!DI5,DI$5,0)))</f>
        <v>0</v>
      </c>
      <c r="DJ10">
        <f>IF($B10=0,0,IF(DJ$3=TotalApuestas!DJ5,DJ$5,0))</f>
        <v>0</v>
      </c>
      <c r="DK10">
        <f>IF($B10=0,0,IF(DK$3=TotalApuestas!DK5,DK$5,0))</f>
        <v>0</v>
      </c>
      <c r="DL10">
        <f>IF($B10=0,0,IF(AND(DJ$3=TotalApuestas!DJ5,Resultado!DK$3=TotalApuestas!DK5),Resultado!DL$5+VLOOKUP(DL$4&amp;"bonus",Aux!$W$1:$X$46,2,0),IF(DL$3=TotalApuestas!DL5,DL$5,0)))</f>
        <v>0</v>
      </c>
      <c r="DM10">
        <f>IF($B10=0,0,IF(DM$3=TotalApuestas!DM5,DM$5,0))</f>
        <v>0</v>
      </c>
      <c r="DN10">
        <f>IF($B10=0,0,IF(DN$3=TotalApuestas!DN5,DN$5,0))</f>
        <v>0</v>
      </c>
      <c r="DO10">
        <f>IF($B10=0,0,IF(AND(DM$3=TotalApuestas!DM5,Resultado!DN$3=TotalApuestas!DN5),Resultado!DO$5+VLOOKUP(DO$4&amp;"bonus",Aux!$W$1:$X$46,2,0),IF(DO$3=TotalApuestas!DO5,DO$5,0)))</f>
        <v>0</v>
      </c>
    </row>
    <row r="11" spans="2:119" x14ac:dyDescent="0.2">
      <c r="B11">
        <f>+TotalApuestas!B6</f>
        <v>0</v>
      </c>
      <c r="E11">
        <f>IF($B11=0,0,IF(E$3=TotalApuestas!E6,E$5,0))</f>
        <v>0</v>
      </c>
      <c r="F11">
        <f>IF($B11=0,0,IF(F$3=TotalApuestas!F6,F$5,0))</f>
        <v>0</v>
      </c>
      <c r="G11">
        <f>IF($B11=0,0,IF(AND(E$3=TotalApuestas!E6,Resultado!F$3=TotalApuestas!F6),Resultado!G$5+VLOOKUP(G$4&amp;"bonus",Aux!$W$1:$X$46,2,0),IF(G$3=TotalApuestas!G6,G$5,0)))</f>
        <v>0</v>
      </c>
      <c r="H11">
        <f>IF($B11=0,0,IF(H$3=TotalApuestas!H6,H$5,0))</f>
        <v>0</v>
      </c>
      <c r="I11">
        <f>IF($B11=0,0,IF(I$3=TotalApuestas!I6,I$5,0))</f>
        <v>0</v>
      </c>
      <c r="J11">
        <f>IF($B11=0,0,IF(AND(H$3=TotalApuestas!H6,Resultado!I$3=TotalApuestas!I6),Resultado!J$5+VLOOKUP(J$4&amp;"bonus",Aux!$W$1:$X$46,2,0),IF(J$3=TotalApuestas!J6,J$5,0)))</f>
        <v>0</v>
      </c>
      <c r="K11">
        <f>IF($B11=0,0,IF(K$3=TotalApuestas!K6,K$5,0))</f>
        <v>0</v>
      </c>
      <c r="L11">
        <f>IF($B11=0,0,IF(L$3=TotalApuestas!L6,L$5,0))</f>
        <v>0</v>
      </c>
      <c r="M11">
        <f>IF($B11=0,0,IF(AND(K$3=TotalApuestas!K6,Resultado!L$3=TotalApuestas!L6),Resultado!M$5+VLOOKUP(M$4&amp;"bonus",Aux!$W$1:$X$46,2,0),IF(M$3=TotalApuestas!M6,M$5,0)))</f>
        <v>0</v>
      </c>
      <c r="N11">
        <f>IF($B11=0,0,IF(N$3=TotalApuestas!N6,N$5,0))</f>
        <v>0</v>
      </c>
      <c r="O11">
        <f>IF($B11=0,0,IF(O$3=TotalApuestas!O6,O$5,0))</f>
        <v>0</v>
      </c>
      <c r="P11">
        <f>IF($B11=0,0,IF(AND(N$3=TotalApuestas!N6,Resultado!O$3=TotalApuestas!O6),Resultado!P$5+VLOOKUP(P$4&amp;"bonus",Aux!$W$1:$X$46,2,0),IF(P$3=TotalApuestas!P6,P$5,0)))</f>
        <v>0</v>
      </c>
      <c r="Q11">
        <f>IF($B11=0,0,IF(Q$3=TotalApuestas!Q6,Q$5,0))</f>
        <v>0</v>
      </c>
      <c r="R11">
        <f>IF($B11=0,0,IF(R$3=TotalApuestas!R6,R$5,0))</f>
        <v>0</v>
      </c>
      <c r="S11">
        <f>IF($B11=0,0,IF(AND(Q$3=TotalApuestas!Q6,Resultado!R$3=TotalApuestas!R6),Resultado!S$5+VLOOKUP(S$4&amp;"bonus",Aux!$W$1:$X$46,2,0),IF(S$3=TotalApuestas!S6,S$5,0)))</f>
        <v>0</v>
      </c>
      <c r="T11">
        <f>IF($B11=0,0,IF(T$3=TotalApuestas!T6,T$5,0))</f>
        <v>0</v>
      </c>
      <c r="U11">
        <f>IF($B11=0,0,IF(U$3=TotalApuestas!U6,U$5,0))</f>
        <v>0</v>
      </c>
      <c r="V11">
        <f>IF($B11=0,0,IF(AND(T$3=TotalApuestas!T6,Resultado!U$3=TotalApuestas!U6),Resultado!V$5+VLOOKUP(V$4&amp;"bonus",Aux!$W$1:$X$46,2,0),IF(V$3=TotalApuestas!V6,V$5,0)))</f>
        <v>0</v>
      </c>
      <c r="W11">
        <f>IF($B11=0,0,IF(W$3=TotalApuestas!W6,W$5,0))</f>
        <v>0</v>
      </c>
      <c r="X11">
        <f>IF($B11=0,0,IF(X$3=TotalApuestas!X6,X$5,0))</f>
        <v>0</v>
      </c>
      <c r="Y11">
        <f>IF($B11=0,0,IF(AND(W$3=TotalApuestas!W6,Resultado!X$3=TotalApuestas!X6),Resultado!Y$5+VLOOKUP(Y$4&amp;"bonus",Aux!$W$1:$X$46,2,0),IF(Y$3=TotalApuestas!Y6,Y$5,0)))</f>
        <v>0</v>
      </c>
      <c r="Z11">
        <f>IF($B11=0,0,IF(Z$3=TotalApuestas!Z6,Z$5,0))</f>
        <v>0</v>
      </c>
      <c r="AA11">
        <f>IF($B11=0,0,IF(AA$3=TotalApuestas!AA6,AA$5,0))</f>
        <v>0</v>
      </c>
      <c r="AB11">
        <f>IF($B11=0,0,IF(AND(Z$3=TotalApuestas!Z6,Resultado!AA$3=TotalApuestas!AA6),Resultado!AB$5+VLOOKUP(AB$4&amp;"bonus",Aux!$W$1:$X$46,2,0),IF(AB$3=TotalApuestas!AB6,AB$5,0)))</f>
        <v>0</v>
      </c>
      <c r="AC11">
        <f>IF($B11=0,0,IF(AC$3=TotalApuestas!AC6,AC$5,0))</f>
        <v>0</v>
      </c>
      <c r="AD11">
        <f>IF($B11=0,0,IF(AD$3=TotalApuestas!AD6,AD$5,0))</f>
        <v>0</v>
      </c>
      <c r="AE11">
        <f>IF($B11=0,0,IF(AND(AC$3=TotalApuestas!AC6,Resultado!AD$3=TotalApuestas!AD6),Resultado!AE$5+VLOOKUP(AE$4&amp;"bonus",Aux!$W$1:$X$46,2,0),IF(AE$3=TotalApuestas!AE6,AE$5,0)))</f>
        <v>0</v>
      </c>
      <c r="AF11">
        <f>IF($B11=0,0,IF(AF$3=TotalApuestas!AF6,AF$5,0))</f>
        <v>0</v>
      </c>
      <c r="AG11">
        <f>IF($B11=0,0,IF(AG$3=TotalApuestas!AG6,AG$5,0))</f>
        <v>0</v>
      </c>
      <c r="AH11">
        <f>IF($B11=0,0,IF(AND(AF$3=TotalApuestas!AF6,Resultado!AG$3=TotalApuestas!AG6),Resultado!AH$5+VLOOKUP(AH$4&amp;"bonus",Aux!$W$1:$X$46,2,0),IF(AH$3=TotalApuestas!AH6,AH$5,0)))</f>
        <v>0</v>
      </c>
      <c r="AI11">
        <f>IF($B11=0,0,IF(AI$3=TotalApuestas!AI6,AI$5,0))</f>
        <v>0</v>
      </c>
      <c r="AJ11">
        <f>IF($B11=0,0,IF(AJ$3=TotalApuestas!AJ6,AJ$5,0))</f>
        <v>0</v>
      </c>
      <c r="AK11">
        <f>IF($B11=0,0,IF(AND(AI$3=TotalApuestas!AI6,Resultado!AJ$3=TotalApuestas!AJ6),Resultado!AK$5+VLOOKUP(AK$4&amp;"bonus",Aux!$W$1:$X$46,2,0),IF(AK$3=TotalApuestas!AK6,AK$5,0)))</f>
        <v>0</v>
      </c>
      <c r="AL11">
        <f>IF($B11=0,0,IF(AL$3=TotalApuestas!AL6,AL$5,0))</f>
        <v>0</v>
      </c>
      <c r="AM11">
        <f>IF($B11=0,0,IF(AM$3=TotalApuestas!AM6,AM$5,0))</f>
        <v>0</v>
      </c>
      <c r="AN11">
        <f>IF($B11=0,0,IF(AND(AL$3=TotalApuestas!AL6,Resultado!AM$3=TotalApuestas!AM6),Resultado!AN$5+VLOOKUP(AN$4&amp;"bonus",Aux!$W$1:$X$46,2,0),IF(AN$3=TotalApuestas!AN6,AN$5,0)))</f>
        <v>0</v>
      </c>
      <c r="AO11">
        <f>IF($B11=0,0,IF(AO$3=TotalApuestas!AO6,AO$5,0))</f>
        <v>0</v>
      </c>
      <c r="AP11">
        <f>IF($B11=0,0,IF(AP$3=TotalApuestas!AP6,AP$5,0))</f>
        <v>0</v>
      </c>
      <c r="AQ11">
        <f>IF($B11=0,0,IF(AND(AO$3=TotalApuestas!AO6,Resultado!AP$3=TotalApuestas!AP6),Resultado!AQ$5+VLOOKUP(AQ$4&amp;"bonus",Aux!$W$1:$X$46,2,0),IF(AQ$3=TotalApuestas!AQ6,AQ$5,0)))</f>
        <v>0</v>
      </c>
      <c r="AR11">
        <f>IF($B11=0,0,IF(AR$3=TotalApuestas!AR6,AR$5,0))</f>
        <v>0</v>
      </c>
      <c r="AS11">
        <f>IF($B11=0,0,IF(AS$3=TotalApuestas!AS6,AS$5,0))</f>
        <v>0</v>
      </c>
      <c r="AT11">
        <f>IF($B11=0,0,IF(AND(AR$3=TotalApuestas!AR6,Resultado!AS$3=TotalApuestas!AS6),Resultado!AT$5+VLOOKUP(AT$4&amp;"bonus",Aux!$W$1:$X$46,2,0),IF(AT$3=TotalApuestas!AT6,AT$5,0)))</f>
        <v>0</v>
      </c>
      <c r="AU11">
        <f>IF($B11=0,0,IF(AU$3=TotalApuestas!AU6,AU$5,0))</f>
        <v>0</v>
      </c>
      <c r="AV11">
        <f>IF($B11=0,0,IF(AV$3=TotalApuestas!AV6,AV$5,0))</f>
        <v>0</v>
      </c>
      <c r="AW11">
        <f>IF($B11=0,0,IF(AND(AU$3=TotalApuestas!AU6,Resultado!AV$3=TotalApuestas!AV6),Resultado!AW$5+VLOOKUP(AW$4&amp;"bonus",Aux!$W$1:$X$46,2,0),IF(AW$3=TotalApuestas!AW6,AW$5,0)))</f>
        <v>0</v>
      </c>
      <c r="AX11">
        <f>IF($B11=0,0,IF(AX$3=TotalApuestas!AX6,AX$5,0))</f>
        <v>0</v>
      </c>
      <c r="AY11">
        <f>IF($B11=0,0,IF(AY$3=TotalApuestas!AY6,AY$5,0))</f>
        <v>0</v>
      </c>
      <c r="AZ11">
        <f>IF($B11=0,0,IF(AND(AX$3=TotalApuestas!AX6,Resultado!AY$3=TotalApuestas!AY6),Resultado!AZ$5+VLOOKUP(AZ$4&amp;"bonus",Aux!$W$1:$X$46,2,0),IF(AZ$3=TotalApuestas!AZ6,AZ$5,0)))</f>
        <v>0</v>
      </c>
      <c r="BA11">
        <f>IF($B11=0,0,IF(BA$3=TotalApuestas!BA6,BA$5,0))</f>
        <v>0</v>
      </c>
      <c r="BB11">
        <f>IF($B11=0,0,IF(BB$3=TotalApuestas!BB6,BB$5,0))</f>
        <v>0</v>
      </c>
      <c r="BC11">
        <f>IF($B11=0,0,IF(AND(BA$3=TotalApuestas!BA6,Resultado!BB$3=TotalApuestas!BB6),Resultado!BC$5+VLOOKUP(BC$4&amp;"bonus",Aux!$W$1:$X$46,2,0),IF(BC$3=TotalApuestas!BC6,BC$5,0)))</f>
        <v>0</v>
      </c>
      <c r="BD11">
        <f>IF($B11=0,0,IF(BD$3=TotalApuestas!BD6,BD$5,0))</f>
        <v>0</v>
      </c>
      <c r="BE11">
        <f>IF($B11=0,0,IF(BE$3=TotalApuestas!BE6,BE$5,0))</f>
        <v>0</v>
      </c>
      <c r="BF11">
        <f>IF($B11=0,0,IF(AND(BD$3=TotalApuestas!BD6,Resultado!BE$3=TotalApuestas!BE6),Resultado!BF$5+VLOOKUP(BF$4&amp;"bonus",Aux!$W$1:$X$46,2,0),IF(BF$3=TotalApuestas!BF6,BF$5,0)))</f>
        <v>0</v>
      </c>
      <c r="BG11">
        <f>IF($B11=0,0,IF(BG$3=TotalApuestas!BG6,BG$5,0))</f>
        <v>0</v>
      </c>
      <c r="BH11">
        <f>IF($B11=0,0,IF(BH$3=TotalApuestas!BH6,BH$5,0))</f>
        <v>0</v>
      </c>
      <c r="BI11">
        <f>IF($B11=0,0,IF(AND(BG$3=TotalApuestas!BG6,Resultado!BH$3=TotalApuestas!BH6),Resultado!BI$5+VLOOKUP(BI$4&amp;"bonus",Aux!$W$1:$X$46,2,0),IF(BI$3=TotalApuestas!BI6,BI$5,0)))</f>
        <v>0</v>
      </c>
      <c r="BJ11">
        <f>IF($B11=0,0,IF(BJ$3=TotalApuestas!BJ6,BJ$5,0))</f>
        <v>0</v>
      </c>
      <c r="BK11">
        <f>IF($B11=0,0,IF(BK$3=TotalApuestas!BK6,BK$5,0))</f>
        <v>0</v>
      </c>
      <c r="BL11">
        <f>IF($B11=0,0,IF(AND(BJ$3=TotalApuestas!BJ6,Resultado!BK$3=TotalApuestas!BK6),Resultado!BL$5+VLOOKUP(BL$4&amp;"bonus",Aux!$W$1:$X$46,2,0),IF(BL$3=TotalApuestas!BL6,BL$5,0)))</f>
        <v>0</v>
      </c>
      <c r="BM11">
        <f>IF($B11=0,0,IF(BM$3=TotalApuestas!BM6,BM$5,0))</f>
        <v>0</v>
      </c>
      <c r="BN11">
        <f>IF($B11=0,0,IF(BN$3=TotalApuestas!BN6,BN$5,0))</f>
        <v>0</v>
      </c>
      <c r="BO11">
        <f>IF($B11=0,0,IF(AND(BM$3=TotalApuestas!BM6,Resultado!BN$3=TotalApuestas!BN6),Resultado!BO$5+VLOOKUP(BO$4&amp;"bonus",Aux!$W$1:$X$46,2,0),IF(BO$3=TotalApuestas!BO6,BO$5,0)))</f>
        <v>0</v>
      </c>
      <c r="BP11">
        <f>IF($B11=0,0,IF(BP$3=TotalApuestas!BP6,BP$5,0))</f>
        <v>0</v>
      </c>
      <c r="BQ11">
        <f>IF($B11=0,0,IF(BQ$3=TotalApuestas!BQ6,BQ$5,0))</f>
        <v>0</v>
      </c>
      <c r="BR11">
        <f>IF($B11=0,0,IF(AND(BP$3=TotalApuestas!BP6,Resultado!BQ$3=TotalApuestas!BQ6),Resultado!BR$5+VLOOKUP(BR$4&amp;"bonus",Aux!$W$1:$X$46,2,0),IF(BR$3=TotalApuestas!BR6,BR$5,0)))</f>
        <v>0</v>
      </c>
      <c r="BS11">
        <f>IF($B11=0,0,IF(BS$3=TotalApuestas!BS6,BS$5,0))</f>
        <v>0</v>
      </c>
      <c r="BT11">
        <f>IF($B11=0,0,IF(BT$3=TotalApuestas!BT6,BT$5,0))</f>
        <v>0</v>
      </c>
      <c r="BU11">
        <f>IF($B11=0,0,IF(AND(BS$3=TotalApuestas!BS6,Resultado!BT$3=TotalApuestas!BT6),Resultado!BU$5+VLOOKUP(BU$4&amp;"bonus",Aux!$W$1:$X$46,2,0),IF(BU$3=TotalApuestas!BU6,BU$5,0)))</f>
        <v>0</v>
      </c>
      <c r="BV11">
        <f>IF($B11=0,0,IF(BV$3=TotalApuestas!BV6,BV$5,0))</f>
        <v>0</v>
      </c>
      <c r="BW11">
        <f>IF($B11=0,0,IF(BW$3=TotalApuestas!BW6,BW$5,0))</f>
        <v>0</v>
      </c>
      <c r="BX11">
        <f>IF($B11=0,0,IF(AND(BV$3=TotalApuestas!BV6,Resultado!BW$3=TotalApuestas!BW6),Resultado!BX$5+VLOOKUP(BX$4&amp;"bonus",Aux!$W$1:$X$46,2,0),IF(BX$3=TotalApuestas!BX6,BX$5,0)))</f>
        <v>0</v>
      </c>
      <c r="BY11">
        <f>IF($B11=0,0,IF(BY$3=TotalApuestas!BY6,BY$5,0))</f>
        <v>0</v>
      </c>
      <c r="BZ11">
        <f>IF($B11=0,0,IF(BZ$3=TotalApuestas!BZ6,BZ$5,0))</f>
        <v>0</v>
      </c>
      <c r="CA11">
        <f>IF($B11=0,0,IF(CA$3=TotalApuestas!CA6,CA$5,0))</f>
        <v>0</v>
      </c>
      <c r="CB11">
        <f>IF($B11=0,0,IF(CB$3=TotalApuestas!CB6,CB$5,0))</f>
        <v>0</v>
      </c>
      <c r="CC11">
        <f>IF($B11=0,0,IF(COUNTIF($CC$3:$CJ$3,TotalApuestas!CC6)=1,CC$5,0))</f>
        <v>0</v>
      </c>
      <c r="CD11">
        <f>IF($B11=0,0,IF(COUNTIF($CC$3:$CJ$3,TotalApuestas!CD6)=1,CD$5,0))</f>
        <v>0</v>
      </c>
      <c r="CE11">
        <f>IF($B11=0,0,IF(COUNTIF($CC$3:$CJ$3,TotalApuestas!CE6)=1,CE$5,0))</f>
        <v>0</v>
      </c>
      <c r="CF11">
        <f>IF($B11=0,0,IF(COUNTIF($CC$3:$CJ$3,TotalApuestas!CF6)=1,CF$5,0))</f>
        <v>0</v>
      </c>
      <c r="CG11">
        <f>IF($B11=0,0,IF(COUNTIF($CC$3:$CJ$3,TotalApuestas!CG6)=1,CG$5,0))</f>
        <v>0</v>
      </c>
      <c r="CH11">
        <f>IF($B11=0,0,IF(COUNTIF($CC$3:$CJ$3,TotalApuestas!CH6)=1,CH$5,0))</f>
        <v>0</v>
      </c>
      <c r="CI11">
        <f>IF($B11=0,0,IF(COUNTIF($CC$3:$CJ$3,TotalApuestas!CI6)=1,CI$5,0))</f>
        <v>0</v>
      </c>
      <c r="CJ11">
        <f>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IF($B11=0,0,IF(CR$3=TotalApuestas!CR6,CR$5,0))</f>
        <v>0</v>
      </c>
      <c r="CS11">
        <f>IF($B11=0,0,IF(CS$3=TotalApuestas!CS6,CS$5,0))</f>
        <v>0</v>
      </c>
      <c r="CT11">
        <f>IF($B11=0,0,IF(AND(CR$3=TotalApuestas!CR6,Resultado!CS$3=TotalApuestas!CS6),Resultado!CT$5+VLOOKUP(CT$4&amp;"bonus",Aux!$W$1:$X$46,2,0),IF(CT$3=TotalApuestas!CT6,CT$5,0)))</f>
        <v>0</v>
      </c>
      <c r="CU11">
        <f>IF($B11=0,0,IF(CU$3=TotalApuestas!CU6,CU$5,0))</f>
        <v>0</v>
      </c>
      <c r="CV11">
        <f>IF($B11=0,0,IF(CV$3=TotalApuestas!CV6,CV$5,0))</f>
        <v>0</v>
      </c>
      <c r="CW11">
        <f>IF($B11=0,0,IF(AND(CU$3=TotalApuestas!CU6,Resultado!CV$3=TotalApuestas!CV6),Resultado!CW$5+VLOOKUP(CW$4&amp;"bonus",Aux!$W$1:$X$46,2,0),IF(CW$3=TotalApuestas!CW6,CW$5,0)))</f>
        <v>0</v>
      </c>
      <c r="CX11">
        <f>IF($B11=0,0,IF(CX$3=TotalApuestas!CX6,CX$5,0))</f>
        <v>0</v>
      </c>
      <c r="CY11">
        <f>IF($B11=0,0,IF(CY$3=TotalApuestas!CY6,CY$5,0))</f>
        <v>0</v>
      </c>
      <c r="CZ11">
        <f>IF($B11=0,0,IF(AND(CX$3=TotalApuestas!CX6,Resultado!CY$3=TotalApuestas!CY6),Resultado!CZ$5+VLOOKUP(CZ$4&amp;"bonus",Aux!$W$1:$X$46,2,0),IF(CZ$3=TotalApuestas!CZ6,CZ$5,0)))</f>
        <v>0</v>
      </c>
      <c r="DA11">
        <f>IF($B11=0,0,IF(DA$3=TotalApuestas!DA6,DA$5,0))</f>
        <v>0</v>
      </c>
      <c r="DB11">
        <f>IF($B11=0,0,IF(DB$3=TotalApuestas!DB6,DB$5,0))</f>
        <v>0</v>
      </c>
      <c r="DC11">
        <f>IF($B11=0,0,IF(AND(DA$3=TotalApuestas!DA6,Resultado!DB$3=TotalApuestas!DB6),Resultado!DC$5+VLOOKUP(DC$4&amp;"bonus",Aux!$W$1:$X$46,2,0),IF(DC$3=TotalApuestas!DC6,DC$5,0)))</f>
        <v>0</v>
      </c>
      <c r="DD11">
        <f>IF($B11=0,0,IF(DD$3=TotalApuestas!DD6,DD$5,0))</f>
        <v>0</v>
      </c>
      <c r="DE11">
        <f>IF($B11=0,0,IF(DE$3=TotalApuestas!DE6,DE$5,0))</f>
        <v>0</v>
      </c>
      <c r="DF11">
        <f>IF($B11=0,0,IF(AND(DD$3=TotalApuestas!DD6,Resultado!DE$3=TotalApuestas!DE6),Resultado!DF$5+VLOOKUP(DF$4&amp;"bonus",Aux!$W$1:$X$46,2,0),IF(DF$3=TotalApuestas!DF6,DF$5,0)))</f>
        <v>0</v>
      </c>
      <c r="DG11">
        <f>IF($B11=0,0,IF(DG$3=TotalApuestas!DG6,DG$5,0))</f>
        <v>0</v>
      </c>
      <c r="DH11">
        <f>IF($B11=0,0,IF(DH$3=TotalApuestas!DH6,DH$5,0))</f>
        <v>0</v>
      </c>
      <c r="DI11">
        <f>IF($B11=0,0,IF(AND(DG$3=TotalApuestas!DG6,Resultado!DH$3=TotalApuestas!DH6),Resultado!DI$5+VLOOKUP(DI$4&amp;"bonus",Aux!$W$1:$X$46,2,0),IF(DI$3=TotalApuestas!DI6,DI$5,0)))</f>
        <v>0</v>
      </c>
      <c r="DJ11">
        <f>IF($B11=0,0,IF(DJ$3=TotalApuestas!DJ6,DJ$5,0))</f>
        <v>0</v>
      </c>
      <c r="DK11">
        <f>IF($B11=0,0,IF(DK$3=TotalApuestas!DK6,DK$5,0))</f>
        <v>0</v>
      </c>
      <c r="DL11">
        <f>IF($B11=0,0,IF(AND(DJ$3=TotalApuestas!DJ6,Resultado!DK$3=TotalApuestas!DK6),Resultado!DL$5+VLOOKUP(DL$4&amp;"bonus",Aux!$W$1:$X$46,2,0),IF(DL$3=TotalApuestas!DL6,DL$5,0)))</f>
        <v>0</v>
      </c>
      <c r="DM11">
        <f>IF($B11=0,0,IF(DM$3=TotalApuestas!DM6,DM$5,0))</f>
        <v>0</v>
      </c>
      <c r="DN11">
        <f>IF($B11=0,0,IF(DN$3=TotalApuestas!DN6,DN$5,0))</f>
        <v>0</v>
      </c>
      <c r="DO11">
        <f>IF($B11=0,0,IF(AND(DM$3=TotalApuestas!DM6,Resultado!DN$3=TotalApuestas!DN6),Resultado!DO$5+VLOOKUP(DO$4&amp;"bonus",Aux!$W$1:$X$46,2,0),IF(DO$3=TotalApuestas!DO6,DO$5,0)))</f>
        <v>0</v>
      </c>
    </row>
    <row r="12" spans="2:119" x14ac:dyDescent="0.2">
      <c r="B12">
        <f>+TotalApuestas!B7</f>
        <v>0</v>
      </c>
      <c r="E12">
        <f>IF($B12=0,0,IF(E$3=TotalApuestas!E7,E$5,0))</f>
        <v>0</v>
      </c>
      <c r="F12">
        <f>IF($B12=0,0,IF(F$3=TotalApuestas!F7,F$5,0))</f>
        <v>0</v>
      </c>
      <c r="G12">
        <f>IF($B12=0,0,IF(AND(E$3=TotalApuestas!E7,Resultado!F$3=TotalApuestas!F7),Resultado!G$5+VLOOKUP(G$4&amp;"bonus",Aux!$W$1:$X$46,2,0),IF(G$3=TotalApuestas!G7,G$5,0)))</f>
        <v>0</v>
      </c>
      <c r="H12">
        <f>IF($B12=0,0,IF(H$3=TotalApuestas!H7,H$5,0))</f>
        <v>0</v>
      </c>
      <c r="I12">
        <f>IF($B12=0,0,IF(I$3=TotalApuestas!I7,I$5,0))</f>
        <v>0</v>
      </c>
      <c r="J12">
        <f>IF($B12=0,0,IF(AND(H$3=TotalApuestas!H7,Resultado!I$3=TotalApuestas!I7),Resultado!J$5+VLOOKUP(J$4&amp;"bonus",Aux!$W$1:$X$46,2,0),IF(J$3=TotalApuestas!J7,J$5,0)))</f>
        <v>0</v>
      </c>
      <c r="K12">
        <f>IF($B12=0,0,IF(K$3=TotalApuestas!K7,K$5,0))</f>
        <v>0</v>
      </c>
      <c r="L12">
        <f>IF($B12=0,0,IF(L$3=TotalApuestas!L7,L$5,0))</f>
        <v>0</v>
      </c>
      <c r="M12">
        <f>IF($B12=0,0,IF(AND(K$3=TotalApuestas!K7,Resultado!L$3=TotalApuestas!L7),Resultado!M$5+VLOOKUP(M$4&amp;"bonus",Aux!$W$1:$X$46,2,0),IF(M$3=TotalApuestas!M7,M$5,0)))</f>
        <v>0</v>
      </c>
      <c r="N12">
        <f>IF($B12=0,0,IF(N$3=TotalApuestas!N7,N$5,0))</f>
        <v>0</v>
      </c>
      <c r="O12">
        <f>IF($B12=0,0,IF(O$3=TotalApuestas!O7,O$5,0))</f>
        <v>0</v>
      </c>
      <c r="P12">
        <f>IF($B12=0,0,IF(AND(N$3=TotalApuestas!N7,Resultado!O$3=TotalApuestas!O7),Resultado!P$5+VLOOKUP(P$4&amp;"bonus",Aux!$W$1:$X$46,2,0),IF(P$3=TotalApuestas!P7,P$5,0)))</f>
        <v>0</v>
      </c>
      <c r="Q12">
        <f>IF($B12=0,0,IF(Q$3=TotalApuestas!Q7,Q$5,0))</f>
        <v>0</v>
      </c>
      <c r="R12">
        <f>IF($B12=0,0,IF(R$3=TotalApuestas!R7,R$5,0))</f>
        <v>0</v>
      </c>
      <c r="S12">
        <f>IF($B12=0,0,IF(AND(Q$3=TotalApuestas!Q7,Resultado!R$3=TotalApuestas!R7),Resultado!S$5+VLOOKUP(S$4&amp;"bonus",Aux!$W$1:$X$46,2,0),IF(S$3=TotalApuestas!S7,S$5,0)))</f>
        <v>0</v>
      </c>
      <c r="T12">
        <f>IF($B12=0,0,IF(T$3=TotalApuestas!T7,T$5,0))</f>
        <v>0</v>
      </c>
      <c r="U12">
        <f>IF($B12=0,0,IF(U$3=TotalApuestas!U7,U$5,0))</f>
        <v>0</v>
      </c>
      <c r="V12">
        <f>IF($B12=0,0,IF(AND(T$3=TotalApuestas!T7,Resultado!U$3=TotalApuestas!U7),Resultado!V$5+VLOOKUP(V$4&amp;"bonus",Aux!$W$1:$X$46,2,0),IF(V$3=TotalApuestas!V7,V$5,0)))</f>
        <v>0</v>
      </c>
      <c r="W12">
        <f>IF($B12=0,0,IF(W$3=TotalApuestas!W7,W$5,0))</f>
        <v>0</v>
      </c>
      <c r="X12">
        <f>IF($B12=0,0,IF(X$3=TotalApuestas!X7,X$5,0))</f>
        <v>0</v>
      </c>
      <c r="Y12">
        <f>IF($B12=0,0,IF(AND(W$3=TotalApuestas!W7,Resultado!X$3=TotalApuestas!X7),Resultado!Y$5+VLOOKUP(Y$4&amp;"bonus",Aux!$W$1:$X$46,2,0),IF(Y$3=TotalApuestas!Y7,Y$5,0)))</f>
        <v>0</v>
      </c>
      <c r="Z12">
        <f>IF($B12=0,0,IF(Z$3=TotalApuestas!Z7,Z$5,0))</f>
        <v>0</v>
      </c>
      <c r="AA12">
        <f>IF($B12=0,0,IF(AA$3=TotalApuestas!AA7,AA$5,0))</f>
        <v>0</v>
      </c>
      <c r="AB12">
        <f>IF($B12=0,0,IF(AND(Z$3=TotalApuestas!Z7,Resultado!AA$3=TotalApuestas!AA7),Resultado!AB$5+VLOOKUP(AB$4&amp;"bonus",Aux!$W$1:$X$46,2,0),IF(AB$3=TotalApuestas!AB7,AB$5,0)))</f>
        <v>0</v>
      </c>
      <c r="AC12">
        <f>IF($B12=0,0,IF(AC$3=TotalApuestas!AC7,AC$5,0))</f>
        <v>0</v>
      </c>
      <c r="AD12">
        <f>IF($B12=0,0,IF(AD$3=TotalApuestas!AD7,AD$5,0))</f>
        <v>0</v>
      </c>
      <c r="AE12">
        <f>IF($B12=0,0,IF(AND(AC$3=TotalApuestas!AC7,Resultado!AD$3=TotalApuestas!AD7),Resultado!AE$5+VLOOKUP(AE$4&amp;"bonus",Aux!$W$1:$X$46,2,0),IF(AE$3=TotalApuestas!AE7,AE$5,0)))</f>
        <v>0</v>
      </c>
      <c r="AF12">
        <f>IF($B12=0,0,IF(AF$3=TotalApuestas!AF7,AF$5,0))</f>
        <v>0</v>
      </c>
      <c r="AG12">
        <f>IF($B12=0,0,IF(AG$3=TotalApuestas!AG7,AG$5,0))</f>
        <v>0</v>
      </c>
      <c r="AH12">
        <f>IF($B12=0,0,IF(AND(AF$3=TotalApuestas!AF7,Resultado!AG$3=TotalApuestas!AG7),Resultado!AH$5+VLOOKUP(AH$4&amp;"bonus",Aux!$W$1:$X$46,2,0),IF(AH$3=TotalApuestas!AH7,AH$5,0)))</f>
        <v>0</v>
      </c>
      <c r="AI12">
        <f>IF($B12=0,0,IF(AI$3=TotalApuestas!AI7,AI$5,0))</f>
        <v>0</v>
      </c>
      <c r="AJ12">
        <f>IF($B12=0,0,IF(AJ$3=TotalApuestas!AJ7,AJ$5,0))</f>
        <v>0</v>
      </c>
      <c r="AK12">
        <f>IF($B12=0,0,IF(AND(AI$3=TotalApuestas!AI7,Resultado!AJ$3=TotalApuestas!AJ7),Resultado!AK$5+VLOOKUP(AK$4&amp;"bonus",Aux!$W$1:$X$46,2,0),IF(AK$3=TotalApuestas!AK7,AK$5,0)))</f>
        <v>0</v>
      </c>
      <c r="AL12">
        <f>IF($B12=0,0,IF(AL$3=TotalApuestas!AL7,AL$5,0))</f>
        <v>0</v>
      </c>
      <c r="AM12">
        <f>IF($B12=0,0,IF(AM$3=TotalApuestas!AM7,AM$5,0))</f>
        <v>0</v>
      </c>
      <c r="AN12">
        <f>IF($B12=0,0,IF(AND(AL$3=TotalApuestas!AL7,Resultado!AM$3=TotalApuestas!AM7),Resultado!AN$5+VLOOKUP(AN$4&amp;"bonus",Aux!$W$1:$X$46,2,0),IF(AN$3=TotalApuestas!AN7,AN$5,0)))</f>
        <v>0</v>
      </c>
      <c r="AO12">
        <f>IF($B12=0,0,IF(AO$3=TotalApuestas!AO7,AO$5,0))</f>
        <v>0</v>
      </c>
      <c r="AP12">
        <f>IF($B12=0,0,IF(AP$3=TotalApuestas!AP7,AP$5,0))</f>
        <v>0</v>
      </c>
      <c r="AQ12">
        <f>IF($B12=0,0,IF(AND(AO$3=TotalApuestas!AO7,Resultado!AP$3=TotalApuestas!AP7),Resultado!AQ$5+VLOOKUP(AQ$4&amp;"bonus",Aux!$W$1:$X$46,2,0),IF(AQ$3=TotalApuestas!AQ7,AQ$5,0)))</f>
        <v>0</v>
      </c>
      <c r="AR12">
        <f>IF($B12=0,0,IF(AR$3=TotalApuestas!AR7,AR$5,0))</f>
        <v>0</v>
      </c>
      <c r="AS12">
        <f>IF($B12=0,0,IF(AS$3=TotalApuestas!AS7,AS$5,0))</f>
        <v>0</v>
      </c>
      <c r="AT12">
        <f>IF($B12=0,0,IF(AND(AR$3=TotalApuestas!AR7,Resultado!AS$3=TotalApuestas!AS7),Resultado!AT$5+VLOOKUP(AT$4&amp;"bonus",Aux!$W$1:$X$46,2,0),IF(AT$3=TotalApuestas!AT7,AT$5,0)))</f>
        <v>0</v>
      </c>
      <c r="AU12">
        <f>IF($B12=0,0,IF(AU$3=TotalApuestas!AU7,AU$5,0))</f>
        <v>0</v>
      </c>
      <c r="AV12">
        <f>IF($B12=0,0,IF(AV$3=TotalApuestas!AV7,AV$5,0))</f>
        <v>0</v>
      </c>
      <c r="AW12">
        <f>IF($B12=0,0,IF(AND(AU$3=TotalApuestas!AU7,Resultado!AV$3=TotalApuestas!AV7),Resultado!AW$5+VLOOKUP(AW$4&amp;"bonus",Aux!$W$1:$X$46,2,0),IF(AW$3=TotalApuestas!AW7,AW$5,0)))</f>
        <v>0</v>
      </c>
      <c r="AX12">
        <f>IF($B12=0,0,IF(AX$3=TotalApuestas!AX7,AX$5,0))</f>
        <v>0</v>
      </c>
      <c r="AY12">
        <f>IF($B12=0,0,IF(AY$3=TotalApuestas!AY7,AY$5,0))</f>
        <v>0</v>
      </c>
      <c r="AZ12">
        <f>IF($B12=0,0,IF(AND(AX$3=TotalApuestas!AX7,Resultado!AY$3=TotalApuestas!AY7),Resultado!AZ$5+VLOOKUP(AZ$4&amp;"bonus",Aux!$W$1:$X$46,2,0),IF(AZ$3=TotalApuestas!AZ7,AZ$5,0)))</f>
        <v>0</v>
      </c>
      <c r="BA12">
        <f>IF($B12=0,0,IF(BA$3=TotalApuestas!BA7,BA$5,0))</f>
        <v>0</v>
      </c>
      <c r="BB12">
        <f>IF($B12=0,0,IF(BB$3=TotalApuestas!BB7,BB$5,0))</f>
        <v>0</v>
      </c>
      <c r="BC12">
        <f>IF($B12=0,0,IF(AND(BA$3=TotalApuestas!BA7,Resultado!BB$3=TotalApuestas!BB7),Resultado!BC$5+VLOOKUP(BC$4&amp;"bonus",Aux!$W$1:$X$46,2,0),IF(BC$3=TotalApuestas!BC7,BC$5,0)))</f>
        <v>0</v>
      </c>
      <c r="BD12">
        <f>IF($B12=0,0,IF(BD$3=TotalApuestas!BD7,BD$5,0))</f>
        <v>0</v>
      </c>
      <c r="BE12">
        <f>IF($B12=0,0,IF(BE$3=TotalApuestas!BE7,BE$5,0))</f>
        <v>0</v>
      </c>
      <c r="BF12">
        <f>IF($B12=0,0,IF(AND(BD$3=TotalApuestas!BD7,Resultado!BE$3=TotalApuestas!BE7),Resultado!BF$5+VLOOKUP(BF$4&amp;"bonus",Aux!$W$1:$X$46,2,0),IF(BF$3=TotalApuestas!BF7,BF$5,0)))</f>
        <v>0</v>
      </c>
      <c r="BG12">
        <f>IF($B12=0,0,IF(BG$3=TotalApuestas!BG7,BG$5,0))</f>
        <v>0</v>
      </c>
      <c r="BH12">
        <f>IF($B12=0,0,IF(BH$3=TotalApuestas!BH7,BH$5,0))</f>
        <v>0</v>
      </c>
      <c r="BI12">
        <f>IF($B12=0,0,IF(AND(BG$3=TotalApuestas!BG7,Resultado!BH$3=TotalApuestas!BH7),Resultado!BI$5+VLOOKUP(BI$4&amp;"bonus",Aux!$W$1:$X$46,2,0),IF(BI$3=TotalApuestas!BI7,BI$5,0)))</f>
        <v>0</v>
      </c>
      <c r="BJ12">
        <f>IF($B12=0,0,IF(BJ$3=TotalApuestas!BJ7,BJ$5,0))</f>
        <v>0</v>
      </c>
      <c r="BK12">
        <f>IF($B12=0,0,IF(BK$3=TotalApuestas!BK7,BK$5,0))</f>
        <v>0</v>
      </c>
      <c r="BL12">
        <f>IF($B12=0,0,IF(AND(BJ$3=TotalApuestas!BJ7,Resultado!BK$3=TotalApuestas!BK7),Resultado!BL$5+VLOOKUP(BL$4&amp;"bonus",Aux!$W$1:$X$46,2,0),IF(BL$3=TotalApuestas!BL7,BL$5,0)))</f>
        <v>0</v>
      </c>
      <c r="BM12">
        <f>IF($B12=0,0,IF(BM$3=TotalApuestas!BM7,BM$5,0))</f>
        <v>0</v>
      </c>
      <c r="BN12">
        <f>IF($B12=0,0,IF(BN$3=TotalApuestas!BN7,BN$5,0))</f>
        <v>0</v>
      </c>
      <c r="BO12">
        <f>IF($B12=0,0,IF(AND(BM$3=TotalApuestas!BM7,Resultado!BN$3=TotalApuestas!BN7),Resultado!BO$5+VLOOKUP(BO$4&amp;"bonus",Aux!$W$1:$X$46,2,0),IF(BO$3=TotalApuestas!BO7,BO$5,0)))</f>
        <v>0</v>
      </c>
      <c r="BP12">
        <f>IF($B12=0,0,IF(BP$3=TotalApuestas!BP7,BP$5,0))</f>
        <v>0</v>
      </c>
      <c r="BQ12">
        <f>IF($B12=0,0,IF(BQ$3=TotalApuestas!BQ7,BQ$5,0))</f>
        <v>0</v>
      </c>
      <c r="BR12">
        <f>IF($B12=0,0,IF(AND(BP$3=TotalApuestas!BP7,Resultado!BQ$3=TotalApuestas!BQ7),Resultado!BR$5+VLOOKUP(BR$4&amp;"bonus",Aux!$W$1:$X$46,2,0),IF(BR$3=TotalApuestas!BR7,BR$5,0)))</f>
        <v>0</v>
      </c>
      <c r="BS12">
        <f>IF($B12=0,0,IF(BS$3=TotalApuestas!BS7,BS$5,0))</f>
        <v>0</v>
      </c>
      <c r="BT12">
        <f>IF($B12=0,0,IF(BT$3=TotalApuestas!BT7,BT$5,0))</f>
        <v>0</v>
      </c>
      <c r="BU12">
        <f>IF($B12=0,0,IF(AND(BS$3=TotalApuestas!BS7,Resultado!BT$3=TotalApuestas!BT7),Resultado!BU$5+VLOOKUP(BU$4&amp;"bonus",Aux!$W$1:$X$46,2,0),IF(BU$3=TotalApuestas!BU7,BU$5,0)))</f>
        <v>0</v>
      </c>
      <c r="BV12">
        <f>IF($B12=0,0,IF(BV$3=TotalApuestas!BV7,BV$5,0))</f>
        <v>0</v>
      </c>
      <c r="BW12">
        <f>IF($B12=0,0,IF(BW$3=TotalApuestas!BW7,BW$5,0))</f>
        <v>0</v>
      </c>
      <c r="BX12">
        <f>IF($B12=0,0,IF(AND(BV$3=TotalApuestas!BV7,Resultado!BW$3=TotalApuestas!BW7),Resultado!BX$5+VLOOKUP(BX$4&amp;"bonus",Aux!$W$1:$X$46,2,0),IF(BX$3=TotalApuestas!BX7,BX$5,0)))</f>
        <v>0</v>
      </c>
      <c r="BY12">
        <f>IF($B12=0,0,IF(BY$3=TotalApuestas!BY7,BY$5,0))</f>
        <v>0</v>
      </c>
      <c r="BZ12">
        <f>IF($B12=0,0,IF(BZ$3=TotalApuestas!BZ7,BZ$5,0))</f>
        <v>0</v>
      </c>
      <c r="CA12">
        <f>IF($B12=0,0,IF(CA$3=TotalApuestas!CA7,CA$5,0))</f>
        <v>0</v>
      </c>
      <c r="CB12">
        <f>IF($B12=0,0,IF(CB$3=TotalApuestas!CB7,CB$5,0))</f>
        <v>0</v>
      </c>
      <c r="CC12">
        <f>IF($B12=0,0,IF(COUNTIF($CC$3:$CJ$3,TotalApuestas!CC7)=1,CC$5,0))</f>
        <v>0</v>
      </c>
      <c r="CD12">
        <f>IF($B12=0,0,IF(COUNTIF($CC$3:$CJ$3,TotalApuestas!CD7)=1,CD$5,0))</f>
        <v>0</v>
      </c>
      <c r="CE12">
        <f>IF($B12=0,0,IF(COUNTIF($CC$3:$CJ$3,TotalApuestas!CE7)=1,CE$5,0))</f>
        <v>0</v>
      </c>
      <c r="CF12">
        <f>IF($B12=0,0,IF(COUNTIF($CC$3:$CJ$3,TotalApuestas!CF7)=1,CF$5,0))</f>
        <v>0</v>
      </c>
      <c r="CG12">
        <f>IF($B12=0,0,IF(COUNTIF($CC$3:$CJ$3,TotalApuestas!CG7)=1,CG$5,0))</f>
        <v>0</v>
      </c>
      <c r="CH12">
        <f>IF($B12=0,0,IF(COUNTIF($CC$3:$CJ$3,TotalApuestas!CH7)=1,CH$5,0))</f>
        <v>0</v>
      </c>
      <c r="CI12">
        <f>IF($B12=0,0,IF(COUNTIF($CC$3:$CJ$3,TotalApuestas!CI7)=1,CI$5,0))</f>
        <v>0</v>
      </c>
      <c r="CJ12">
        <f>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IF($B12=0,0,IF(CR$3=TotalApuestas!CR7,CR$5,0))</f>
        <v>0</v>
      </c>
      <c r="CS12">
        <f>IF($B12=0,0,IF(CS$3=TotalApuestas!CS7,CS$5,0))</f>
        <v>0</v>
      </c>
      <c r="CT12">
        <f>IF($B12=0,0,IF(AND(CR$3=TotalApuestas!CR7,Resultado!CS$3=TotalApuestas!CS7),Resultado!CT$5+VLOOKUP(CT$4&amp;"bonus",Aux!$W$1:$X$46,2,0),IF(CT$3=TotalApuestas!CT7,CT$5,0)))</f>
        <v>0</v>
      </c>
      <c r="CU12">
        <f>IF($B12=0,0,IF(CU$3=TotalApuestas!CU7,CU$5,0))</f>
        <v>0</v>
      </c>
      <c r="CV12">
        <f>IF($B12=0,0,IF(CV$3=TotalApuestas!CV7,CV$5,0))</f>
        <v>0</v>
      </c>
      <c r="CW12">
        <f>IF($B12=0,0,IF(AND(CU$3=TotalApuestas!CU7,Resultado!CV$3=TotalApuestas!CV7),Resultado!CW$5+VLOOKUP(CW$4&amp;"bonus",Aux!$W$1:$X$46,2,0),IF(CW$3=TotalApuestas!CW7,CW$5,0)))</f>
        <v>0</v>
      </c>
      <c r="CX12">
        <f>IF($B12=0,0,IF(CX$3=TotalApuestas!CX7,CX$5,0))</f>
        <v>0</v>
      </c>
      <c r="CY12">
        <f>IF($B12=0,0,IF(CY$3=TotalApuestas!CY7,CY$5,0))</f>
        <v>0</v>
      </c>
      <c r="CZ12">
        <f>IF($B12=0,0,IF(AND(CX$3=TotalApuestas!CX7,Resultado!CY$3=TotalApuestas!CY7),Resultado!CZ$5+VLOOKUP(CZ$4&amp;"bonus",Aux!$W$1:$X$46,2,0),IF(CZ$3=TotalApuestas!CZ7,CZ$5,0)))</f>
        <v>0</v>
      </c>
      <c r="DA12">
        <f>IF($B12=0,0,IF(DA$3=TotalApuestas!DA7,DA$5,0))</f>
        <v>0</v>
      </c>
      <c r="DB12">
        <f>IF($B12=0,0,IF(DB$3=TotalApuestas!DB7,DB$5,0))</f>
        <v>0</v>
      </c>
      <c r="DC12">
        <f>IF($B12=0,0,IF(AND(DA$3=TotalApuestas!DA7,Resultado!DB$3=TotalApuestas!DB7),Resultado!DC$5+VLOOKUP(DC$4&amp;"bonus",Aux!$W$1:$X$46,2,0),IF(DC$3=TotalApuestas!DC7,DC$5,0)))</f>
        <v>0</v>
      </c>
      <c r="DD12">
        <f>IF($B12=0,0,IF(DD$3=TotalApuestas!DD7,DD$5,0))</f>
        <v>0</v>
      </c>
      <c r="DE12">
        <f>IF($B12=0,0,IF(DE$3=TotalApuestas!DE7,DE$5,0))</f>
        <v>0</v>
      </c>
      <c r="DF12">
        <f>IF($B12=0,0,IF(AND(DD$3=TotalApuestas!DD7,Resultado!DE$3=TotalApuestas!DE7),Resultado!DF$5+VLOOKUP(DF$4&amp;"bonus",Aux!$W$1:$X$46,2,0),IF(DF$3=TotalApuestas!DF7,DF$5,0)))</f>
        <v>0</v>
      </c>
      <c r="DG12">
        <f>IF($B12=0,0,IF(DG$3=TotalApuestas!DG7,DG$5,0))</f>
        <v>0</v>
      </c>
      <c r="DH12">
        <f>IF($B12=0,0,IF(DH$3=TotalApuestas!DH7,DH$5,0))</f>
        <v>0</v>
      </c>
      <c r="DI12">
        <f>IF($B12=0,0,IF(AND(DG$3=TotalApuestas!DG7,Resultado!DH$3=TotalApuestas!DH7),Resultado!DI$5+VLOOKUP(DI$4&amp;"bonus",Aux!$W$1:$X$46,2,0),IF(DI$3=TotalApuestas!DI7,DI$5,0)))</f>
        <v>0</v>
      </c>
      <c r="DJ12">
        <f>IF($B12=0,0,IF(DJ$3=TotalApuestas!DJ7,DJ$5,0))</f>
        <v>0</v>
      </c>
      <c r="DK12">
        <f>IF($B12=0,0,IF(DK$3=TotalApuestas!DK7,DK$5,0))</f>
        <v>0</v>
      </c>
      <c r="DL12">
        <f>IF($B12=0,0,IF(AND(DJ$3=TotalApuestas!DJ7,Resultado!DK$3=TotalApuestas!DK7),Resultado!DL$5+VLOOKUP(DL$4&amp;"bonus",Aux!$W$1:$X$46,2,0),IF(DL$3=TotalApuestas!DL7,DL$5,0)))</f>
        <v>0</v>
      </c>
      <c r="DM12">
        <f>IF($B12=0,0,IF(DM$3=TotalApuestas!DM7,DM$5,0))</f>
        <v>0</v>
      </c>
      <c r="DN12">
        <f>IF($B12=0,0,IF(DN$3=TotalApuestas!DN7,DN$5,0))</f>
        <v>0</v>
      </c>
      <c r="DO12">
        <f>IF($B12=0,0,IF(AND(DM$3=TotalApuestas!DM7,Resultado!DN$3=TotalApuestas!DN7),Resultado!DO$5+VLOOKUP(DO$4&amp;"bonus",Aux!$W$1:$X$46,2,0),IF(DO$3=TotalApuestas!DO7,DO$5,0)))</f>
        <v>0</v>
      </c>
    </row>
    <row r="13" spans="2:119" x14ac:dyDescent="0.2">
      <c r="B13">
        <f>+TotalApuestas!B8</f>
        <v>0</v>
      </c>
      <c r="E13">
        <f>IF($B13=0,0,IF(E$3=TotalApuestas!E8,E$5,0))</f>
        <v>0</v>
      </c>
      <c r="F13">
        <f>IF($B13=0,0,IF(F$3=TotalApuestas!F8,F$5,0))</f>
        <v>0</v>
      </c>
      <c r="G13">
        <f>IF($B13=0,0,IF(AND(E$3=TotalApuestas!E8,Resultado!F$3=TotalApuestas!F8),Resultado!G$5+VLOOKUP(G$4&amp;"bonus",Aux!$W$1:$X$46,2,0),IF(G$3=TotalApuestas!G8,G$5,0)))</f>
        <v>0</v>
      </c>
      <c r="H13">
        <f>IF($B13=0,0,IF(H$3=TotalApuestas!H8,H$5,0))</f>
        <v>0</v>
      </c>
      <c r="I13">
        <f>IF($B13=0,0,IF(I$3=TotalApuestas!I8,I$5,0))</f>
        <v>0</v>
      </c>
      <c r="J13">
        <f>IF($B13=0,0,IF(AND(H$3=TotalApuestas!H8,Resultado!I$3=TotalApuestas!I8),Resultado!J$5+VLOOKUP(J$4&amp;"bonus",Aux!$W$1:$X$46,2,0),IF(J$3=TotalApuestas!J8,J$5,0)))</f>
        <v>0</v>
      </c>
      <c r="K13">
        <f>IF($B13=0,0,IF(K$3=TotalApuestas!K8,K$5,0))</f>
        <v>0</v>
      </c>
      <c r="L13">
        <f>IF($B13=0,0,IF(L$3=TotalApuestas!L8,L$5,0))</f>
        <v>0</v>
      </c>
      <c r="M13">
        <f>IF($B13=0,0,IF(AND(K$3=TotalApuestas!K8,Resultado!L$3=TotalApuestas!L8),Resultado!M$5+VLOOKUP(M$4&amp;"bonus",Aux!$W$1:$X$46,2,0),IF(M$3=TotalApuestas!M8,M$5,0)))</f>
        <v>0</v>
      </c>
      <c r="N13">
        <f>IF($B13=0,0,IF(N$3=TotalApuestas!N8,N$5,0))</f>
        <v>0</v>
      </c>
      <c r="O13">
        <f>IF($B13=0,0,IF(O$3=TotalApuestas!O8,O$5,0))</f>
        <v>0</v>
      </c>
      <c r="P13">
        <f>IF($B13=0,0,IF(AND(N$3=TotalApuestas!N8,Resultado!O$3=TotalApuestas!O8),Resultado!P$5+VLOOKUP(P$4&amp;"bonus",Aux!$W$1:$X$46,2,0),IF(P$3=TotalApuestas!P8,P$5,0)))</f>
        <v>0</v>
      </c>
      <c r="Q13">
        <f>IF($B13=0,0,IF(Q$3=TotalApuestas!Q8,Q$5,0))</f>
        <v>0</v>
      </c>
      <c r="R13">
        <f>IF($B13=0,0,IF(R$3=TotalApuestas!R8,R$5,0))</f>
        <v>0</v>
      </c>
      <c r="S13">
        <f>IF($B13=0,0,IF(AND(Q$3=TotalApuestas!Q8,Resultado!R$3=TotalApuestas!R8),Resultado!S$5+VLOOKUP(S$4&amp;"bonus",Aux!$W$1:$X$46,2,0),IF(S$3=TotalApuestas!S8,S$5,0)))</f>
        <v>0</v>
      </c>
      <c r="T13">
        <f>IF($B13=0,0,IF(T$3=TotalApuestas!T8,T$5,0))</f>
        <v>0</v>
      </c>
      <c r="U13">
        <f>IF($B13=0,0,IF(U$3=TotalApuestas!U8,U$5,0))</f>
        <v>0</v>
      </c>
      <c r="V13">
        <f>IF($B13=0,0,IF(AND(T$3=TotalApuestas!T8,Resultado!U$3=TotalApuestas!U8),Resultado!V$5+VLOOKUP(V$4&amp;"bonus",Aux!$W$1:$X$46,2,0),IF(V$3=TotalApuestas!V8,V$5,0)))</f>
        <v>0</v>
      </c>
      <c r="W13">
        <f>IF($B13=0,0,IF(W$3=TotalApuestas!W8,W$5,0))</f>
        <v>0</v>
      </c>
      <c r="X13">
        <f>IF($B13=0,0,IF(X$3=TotalApuestas!X8,X$5,0))</f>
        <v>0</v>
      </c>
      <c r="Y13">
        <f>IF($B13=0,0,IF(AND(W$3=TotalApuestas!W8,Resultado!X$3=TotalApuestas!X8),Resultado!Y$5+VLOOKUP(Y$4&amp;"bonus",Aux!$W$1:$X$46,2,0),IF(Y$3=TotalApuestas!Y8,Y$5,0)))</f>
        <v>0</v>
      </c>
      <c r="Z13">
        <f>IF($B13=0,0,IF(Z$3=TotalApuestas!Z8,Z$5,0))</f>
        <v>0</v>
      </c>
      <c r="AA13">
        <f>IF($B13=0,0,IF(AA$3=TotalApuestas!AA8,AA$5,0))</f>
        <v>0</v>
      </c>
      <c r="AB13">
        <f>IF($B13=0,0,IF(AND(Z$3=TotalApuestas!Z8,Resultado!AA$3=TotalApuestas!AA8),Resultado!AB$5+VLOOKUP(AB$4&amp;"bonus",Aux!$W$1:$X$46,2,0),IF(AB$3=TotalApuestas!AB8,AB$5,0)))</f>
        <v>0</v>
      </c>
      <c r="AC13">
        <f>IF($B13=0,0,IF(AC$3=TotalApuestas!AC8,AC$5,0))</f>
        <v>0</v>
      </c>
      <c r="AD13">
        <f>IF($B13=0,0,IF(AD$3=TotalApuestas!AD8,AD$5,0))</f>
        <v>0</v>
      </c>
      <c r="AE13">
        <f>IF($B13=0,0,IF(AND(AC$3=TotalApuestas!AC8,Resultado!AD$3=TotalApuestas!AD8),Resultado!AE$5+VLOOKUP(AE$4&amp;"bonus",Aux!$W$1:$X$46,2,0),IF(AE$3=TotalApuestas!AE8,AE$5,0)))</f>
        <v>0</v>
      </c>
      <c r="AF13">
        <f>IF($B13=0,0,IF(AF$3=TotalApuestas!AF8,AF$5,0))</f>
        <v>0</v>
      </c>
      <c r="AG13">
        <f>IF($B13=0,0,IF(AG$3=TotalApuestas!AG8,AG$5,0))</f>
        <v>0</v>
      </c>
      <c r="AH13">
        <f>IF($B13=0,0,IF(AND(AF$3=TotalApuestas!AF8,Resultado!AG$3=TotalApuestas!AG8),Resultado!AH$5+VLOOKUP(AH$4&amp;"bonus",Aux!$W$1:$X$46,2,0),IF(AH$3=TotalApuestas!AH8,AH$5,0)))</f>
        <v>0</v>
      </c>
      <c r="AI13">
        <f>IF($B13=0,0,IF(AI$3=TotalApuestas!AI8,AI$5,0))</f>
        <v>0</v>
      </c>
      <c r="AJ13">
        <f>IF($B13=0,0,IF(AJ$3=TotalApuestas!AJ8,AJ$5,0))</f>
        <v>0</v>
      </c>
      <c r="AK13">
        <f>IF($B13=0,0,IF(AND(AI$3=TotalApuestas!AI8,Resultado!AJ$3=TotalApuestas!AJ8),Resultado!AK$5+VLOOKUP(AK$4&amp;"bonus",Aux!$W$1:$X$46,2,0),IF(AK$3=TotalApuestas!AK8,AK$5,0)))</f>
        <v>0</v>
      </c>
      <c r="AL13">
        <f>IF($B13=0,0,IF(AL$3=TotalApuestas!AL8,AL$5,0))</f>
        <v>0</v>
      </c>
      <c r="AM13">
        <f>IF($B13=0,0,IF(AM$3=TotalApuestas!AM8,AM$5,0))</f>
        <v>0</v>
      </c>
      <c r="AN13">
        <f>IF($B13=0,0,IF(AND(AL$3=TotalApuestas!AL8,Resultado!AM$3=TotalApuestas!AM8),Resultado!AN$5+VLOOKUP(AN$4&amp;"bonus",Aux!$W$1:$X$46,2,0),IF(AN$3=TotalApuestas!AN8,AN$5,0)))</f>
        <v>0</v>
      </c>
      <c r="AO13">
        <f>IF($B13=0,0,IF(AO$3=TotalApuestas!AO8,AO$5,0))</f>
        <v>0</v>
      </c>
      <c r="AP13">
        <f>IF($B13=0,0,IF(AP$3=TotalApuestas!AP8,AP$5,0))</f>
        <v>0</v>
      </c>
      <c r="AQ13">
        <f>IF($B13=0,0,IF(AND(AO$3=TotalApuestas!AO8,Resultado!AP$3=TotalApuestas!AP8),Resultado!AQ$5+VLOOKUP(AQ$4&amp;"bonus",Aux!$W$1:$X$46,2,0),IF(AQ$3=TotalApuestas!AQ8,AQ$5,0)))</f>
        <v>0</v>
      </c>
      <c r="AR13">
        <f>IF($B13=0,0,IF(AR$3=TotalApuestas!AR8,AR$5,0))</f>
        <v>0</v>
      </c>
      <c r="AS13">
        <f>IF($B13=0,0,IF(AS$3=TotalApuestas!AS8,AS$5,0))</f>
        <v>0</v>
      </c>
      <c r="AT13">
        <f>IF($B13=0,0,IF(AND(AR$3=TotalApuestas!AR8,Resultado!AS$3=TotalApuestas!AS8),Resultado!AT$5+VLOOKUP(AT$4&amp;"bonus",Aux!$W$1:$X$46,2,0),IF(AT$3=TotalApuestas!AT8,AT$5,0)))</f>
        <v>0</v>
      </c>
      <c r="AU13">
        <f>IF($B13=0,0,IF(AU$3=TotalApuestas!AU8,AU$5,0))</f>
        <v>0</v>
      </c>
      <c r="AV13">
        <f>IF($B13=0,0,IF(AV$3=TotalApuestas!AV8,AV$5,0))</f>
        <v>0</v>
      </c>
      <c r="AW13">
        <f>IF($B13=0,0,IF(AND(AU$3=TotalApuestas!AU8,Resultado!AV$3=TotalApuestas!AV8),Resultado!AW$5+VLOOKUP(AW$4&amp;"bonus",Aux!$W$1:$X$46,2,0),IF(AW$3=TotalApuestas!AW8,AW$5,0)))</f>
        <v>0</v>
      </c>
      <c r="AX13">
        <f>IF($B13=0,0,IF(AX$3=TotalApuestas!AX8,AX$5,0))</f>
        <v>0</v>
      </c>
      <c r="AY13">
        <f>IF($B13=0,0,IF(AY$3=TotalApuestas!AY8,AY$5,0))</f>
        <v>0</v>
      </c>
      <c r="AZ13">
        <f>IF($B13=0,0,IF(AND(AX$3=TotalApuestas!AX8,Resultado!AY$3=TotalApuestas!AY8),Resultado!AZ$5+VLOOKUP(AZ$4&amp;"bonus",Aux!$W$1:$X$46,2,0),IF(AZ$3=TotalApuestas!AZ8,AZ$5,0)))</f>
        <v>0</v>
      </c>
      <c r="BA13">
        <f>IF($B13=0,0,IF(BA$3=TotalApuestas!BA8,BA$5,0))</f>
        <v>0</v>
      </c>
      <c r="BB13">
        <f>IF($B13=0,0,IF(BB$3=TotalApuestas!BB8,BB$5,0))</f>
        <v>0</v>
      </c>
      <c r="BC13">
        <f>IF($B13=0,0,IF(AND(BA$3=TotalApuestas!BA8,Resultado!BB$3=TotalApuestas!BB8),Resultado!BC$5+VLOOKUP(BC$4&amp;"bonus",Aux!$W$1:$X$46,2,0),IF(BC$3=TotalApuestas!BC8,BC$5,0)))</f>
        <v>0</v>
      </c>
      <c r="BD13">
        <f>IF($B13=0,0,IF(BD$3=TotalApuestas!BD8,BD$5,0))</f>
        <v>0</v>
      </c>
      <c r="BE13">
        <f>IF($B13=0,0,IF(BE$3=TotalApuestas!BE8,BE$5,0))</f>
        <v>0</v>
      </c>
      <c r="BF13">
        <f>IF($B13=0,0,IF(AND(BD$3=TotalApuestas!BD8,Resultado!BE$3=TotalApuestas!BE8),Resultado!BF$5+VLOOKUP(BF$4&amp;"bonus",Aux!$W$1:$X$46,2,0),IF(BF$3=TotalApuestas!BF8,BF$5,0)))</f>
        <v>0</v>
      </c>
      <c r="BG13">
        <f>IF($B13=0,0,IF(BG$3=TotalApuestas!BG8,BG$5,0))</f>
        <v>0</v>
      </c>
      <c r="BH13">
        <f>IF($B13=0,0,IF(BH$3=TotalApuestas!BH8,BH$5,0))</f>
        <v>0</v>
      </c>
      <c r="BI13">
        <f>IF($B13=0,0,IF(AND(BG$3=TotalApuestas!BG8,Resultado!BH$3=TotalApuestas!BH8),Resultado!BI$5+VLOOKUP(BI$4&amp;"bonus",Aux!$W$1:$X$46,2,0),IF(BI$3=TotalApuestas!BI8,BI$5,0)))</f>
        <v>0</v>
      </c>
      <c r="BJ13">
        <f>IF($B13=0,0,IF(BJ$3=TotalApuestas!BJ8,BJ$5,0))</f>
        <v>0</v>
      </c>
      <c r="BK13">
        <f>IF($B13=0,0,IF(BK$3=TotalApuestas!BK8,BK$5,0))</f>
        <v>0</v>
      </c>
      <c r="BL13">
        <f>IF($B13=0,0,IF(AND(BJ$3=TotalApuestas!BJ8,Resultado!BK$3=TotalApuestas!BK8),Resultado!BL$5+VLOOKUP(BL$4&amp;"bonus",Aux!$W$1:$X$46,2,0),IF(BL$3=TotalApuestas!BL8,BL$5,0)))</f>
        <v>0</v>
      </c>
      <c r="BM13">
        <f>IF($B13=0,0,IF(BM$3=TotalApuestas!BM8,BM$5,0))</f>
        <v>0</v>
      </c>
      <c r="BN13">
        <f>IF($B13=0,0,IF(BN$3=TotalApuestas!BN8,BN$5,0))</f>
        <v>0</v>
      </c>
      <c r="BO13">
        <f>IF($B13=0,0,IF(AND(BM$3=TotalApuestas!BM8,Resultado!BN$3=TotalApuestas!BN8),Resultado!BO$5+VLOOKUP(BO$4&amp;"bonus",Aux!$W$1:$X$46,2,0),IF(BO$3=TotalApuestas!BO8,BO$5,0)))</f>
        <v>0</v>
      </c>
      <c r="BP13">
        <f>IF($B13=0,0,IF(BP$3=TotalApuestas!BP8,BP$5,0))</f>
        <v>0</v>
      </c>
      <c r="BQ13">
        <f>IF($B13=0,0,IF(BQ$3=TotalApuestas!BQ8,BQ$5,0))</f>
        <v>0</v>
      </c>
      <c r="BR13">
        <f>IF($B13=0,0,IF(AND(BP$3=TotalApuestas!BP8,Resultado!BQ$3=TotalApuestas!BQ8),Resultado!BR$5+VLOOKUP(BR$4&amp;"bonus",Aux!$W$1:$X$46,2,0),IF(BR$3=TotalApuestas!BR8,BR$5,0)))</f>
        <v>0</v>
      </c>
      <c r="BS13">
        <f>IF($B13=0,0,IF(BS$3=TotalApuestas!BS8,BS$5,0))</f>
        <v>0</v>
      </c>
      <c r="BT13">
        <f>IF($B13=0,0,IF(BT$3=TotalApuestas!BT8,BT$5,0))</f>
        <v>0</v>
      </c>
      <c r="BU13">
        <f>IF($B13=0,0,IF(AND(BS$3=TotalApuestas!BS8,Resultado!BT$3=TotalApuestas!BT8),Resultado!BU$5+VLOOKUP(BU$4&amp;"bonus",Aux!$W$1:$X$46,2,0),IF(BU$3=TotalApuestas!BU8,BU$5,0)))</f>
        <v>0</v>
      </c>
      <c r="BV13">
        <f>IF($B13=0,0,IF(BV$3=TotalApuestas!BV8,BV$5,0))</f>
        <v>0</v>
      </c>
      <c r="BW13">
        <f>IF($B13=0,0,IF(BW$3=TotalApuestas!BW8,BW$5,0))</f>
        <v>0</v>
      </c>
      <c r="BX13">
        <f>IF($B13=0,0,IF(AND(BV$3=TotalApuestas!BV8,Resultado!BW$3=TotalApuestas!BW8),Resultado!BX$5+VLOOKUP(BX$4&amp;"bonus",Aux!$W$1:$X$46,2,0),IF(BX$3=TotalApuestas!BX8,BX$5,0)))</f>
        <v>0</v>
      </c>
      <c r="BY13">
        <f>IF($B13=0,0,IF(BY$3=TotalApuestas!BY8,BY$5,0))</f>
        <v>0</v>
      </c>
      <c r="BZ13">
        <f>IF($B13=0,0,IF(BZ$3=TotalApuestas!BZ8,BZ$5,0))</f>
        <v>0</v>
      </c>
      <c r="CA13">
        <f>IF($B13=0,0,IF(CA$3=TotalApuestas!CA8,CA$5,0))</f>
        <v>0</v>
      </c>
      <c r="CB13">
        <f>IF($B13=0,0,IF(CB$3=TotalApuestas!CB8,CB$5,0))</f>
        <v>0</v>
      </c>
      <c r="CC13">
        <f>IF($B13=0,0,IF(COUNTIF($CC$3:$CJ$3,TotalApuestas!CC8)=1,CC$5,0))</f>
        <v>0</v>
      </c>
      <c r="CD13">
        <f>IF($B13=0,0,IF(COUNTIF($CC$3:$CJ$3,TotalApuestas!CD8)=1,CD$5,0))</f>
        <v>0</v>
      </c>
      <c r="CE13">
        <f>IF($B13=0,0,IF(COUNTIF($CC$3:$CJ$3,TotalApuestas!CE8)=1,CE$5,0))</f>
        <v>0</v>
      </c>
      <c r="CF13">
        <f>IF($B13=0,0,IF(COUNTIF($CC$3:$CJ$3,TotalApuestas!CF8)=1,CF$5,0))</f>
        <v>0</v>
      </c>
      <c r="CG13">
        <f>IF($B13=0,0,IF(COUNTIF($CC$3:$CJ$3,TotalApuestas!CG8)=1,CG$5,0))</f>
        <v>0</v>
      </c>
      <c r="CH13">
        <f>IF($B13=0,0,IF(COUNTIF($CC$3:$CJ$3,TotalApuestas!CH8)=1,CH$5,0))</f>
        <v>0</v>
      </c>
      <c r="CI13">
        <f>IF($B13=0,0,IF(COUNTIF($CC$3:$CJ$3,TotalApuestas!CI8)=1,CI$5,0))</f>
        <v>0</v>
      </c>
      <c r="CJ13">
        <f>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IF($B13=0,0,IF(CR$3=TotalApuestas!CR8,CR$5,0))</f>
        <v>0</v>
      </c>
      <c r="CS13">
        <f>IF($B13=0,0,IF(CS$3=TotalApuestas!CS8,CS$5,0))</f>
        <v>0</v>
      </c>
      <c r="CT13">
        <f>IF($B13=0,0,IF(AND(CR$3=TotalApuestas!CR8,Resultado!CS$3=TotalApuestas!CS8),Resultado!CT$5+VLOOKUP(CT$4&amp;"bonus",Aux!$W$1:$X$46,2,0),IF(CT$3=TotalApuestas!CT8,CT$5,0)))</f>
        <v>0</v>
      </c>
      <c r="CU13">
        <f>IF($B13=0,0,IF(CU$3=TotalApuestas!CU8,CU$5,0))</f>
        <v>0</v>
      </c>
      <c r="CV13">
        <f>IF($B13=0,0,IF(CV$3=TotalApuestas!CV8,CV$5,0))</f>
        <v>0</v>
      </c>
      <c r="CW13">
        <f>IF($B13=0,0,IF(AND(CU$3=TotalApuestas!CU8,Resultado!CV$3=TotalApuestas!CV8),Resultado!CW$5+VLOOKUP(CW$4&amp;"bonus",Aux!$W$1:$X$46,2,0),IF(CW$3=TotalApuestas!CW8,CW$5,0)))</f>
        <v>0</v>
      </c>
      <c r="CX13">
        <f>IF($B13=0,0,IF(CX$3=TotalApuestas!CX8,CX$5,0))</f>
        <v>0</v>
      </c>
      <c r="CY13">
        <f>IF($B13=0,0,IF(CY$3=TotalApuestas!CY8,CY$5,0))</f>
        <v>0</v>
      </c>
      <c r="CZ13">
        <f>IF($B13=0,0,IF(AND(CX$3=TotalApuestas!CX8,Resultado!CY$3=TotalApuestas!CY8),Resultado!CZ$5+VLOOKUP(CZ$4&amp;"bonus",Aux!$W$1:$X$46,2,0),IF(CZ$3=TotalApuestas!CZ8,CZ$5,0)))</f>
        <v>0</v>
      </c>
      <c r="DA13">
        <f>IF($B13=0,0,IF(DA$3=TotalApuestas!DA8,DA$5,0))</f>
        <v>0</v>
      </c>
      <c r="DB13">
        <f>IF($B13=0,0,IF(DB$3=TotalApuestas!DB8,DB$5,0))</f>
        <v>0</v>
      </c>
      <c r="DC13">
        <f>IF($B13=0,0,IF(AND(DA$3=TotalApuestas!DA8,Resultado!DB$3=TotalApuestas!DB8),Resultado!DC$5+VLOOKUP(DC$4&amp;"bonus",Aux!$W$1:$X$46,2,0),IF(DC$3=TotalApuestas!DC8,DC$5,0)))</f>
        <v>0</v>
      </c>
      <c r="DD13">
        <f>IF($B13=0,0,IF(DD$3=TotalApuestas!DD8,DD$5,0))</f>
        <v>0</v>
      </c>
      <c r="DE13">
        <f>IF($B13=0,0,IF(DE$3=TotalApuestas!DE8,DE$5,0))</f>
        <v>0</v>
      </c>
      <c r="DF13">
        <f>IF($B13=0,0,IF(AND(DD$3=TotalApuestas!DD8,Resultado!DE$3=TotalApuestas!DE8),Resultado!DF$5+VLOOKUP(DF$4&amp;"bonus",Aux!$W$1:$X$46,2,0),IF(DF$3=TotalApuestas!DF8,DF$5,0)))</f>
        <v>0</v>
      </c>
      <c r="DG13">
        <f>IF($B13=0,0,IF(DG$3=TotalApuestas!DG8,DG$5,0))</f>
        <v>0</v>
      </c>
      <c r="DH13">
        <f>IF($B13=0,0,IF(DH$3=TotalApuestas!DH8,DH$5,0))</f>
        <v>0</v>
      </c>
      <c r="DI13">
        <f>IF($B13=0,0,IF(AND(DG$3=TotalApuestas!DG8,Resultado!DH$3=TotalApuestas!DH8),Resultado!DI$5+VLOOKUP(DI$4&amp;"bonus",Aux!$W$1:$X$46,2,0),IF(DI$3=TotalApuestas!DI8,DI$5,0)))</f>
        <v>0</v>
      </c>
      <c r="DJ13">
        <f>IF($B13=0,0,IF(DJ$3=TotalApuestas!DJ8,DJ$5,0))</f>
        <v>0</v>
      </c>
      <c r="DK13">
        <f>IF($B13=0,0,IF(DK$3=TotalApuestas!DK8,DK$5,0))</f>
        <v>0</v>
      </c>
      <c r="DL13">
        <f>IF($B13=0,0,IF(AND(DJ$3=TotalApuestas!DJ8,Resultado!DK$3=TotalApuestas!DK8),Resultado!DL$5+VLOOKUP(DL$4&amp;"bonus",Aux!$W$1:$X$46,2,0),IF(DL$3=TotalApuestas!DL8,DL$5,0)))</f>
        <v>0</v>
      </c>
      <c r="DM13">
        <f>IF($B13=0,0,IF(DM$3=TotalApuestas!DM8,DM$5,0))</f>
        <v>0</v>
      </c>
      <c r="DN13">
        <f>IF($B13=0,0,IF(DN$3=TotalApuestas!DN8,DN$5,0))</f>
        <v>0</v>
      </c>
      <c r="DO13">
        <f>IF($B13=0,0,IF(AND(DM$3=TotalApuestas!DM8,Resultado!DN$3=TotalApuestas!DN8),Resultado!DO$5+VLOOKUP(DO$4&amp;"bonus",Aux!$W$1:$X$46,2,0),IF(DO$3=TotalApuestas!DO8,DO$5,0)))</f>
        <v>0</v>
      </c>
    </row>
    <row r="14" spans="2:119" x14ac:dyDescent="0.2">
      <c r="B14">
        <f>+TotalApuestas!B9</f>
        <v>0</v>
      </c>
      <c r="E14">
        <f>IF($B14=0,0,IF(E$3=TotalApuestas!E9,E$5,0))</f>
        <v>0</v>
      </c>
      <c r="F14">
        <f>IF($B14=0,0,IF(F$3=TotalApuestas!F9,F$5,0))</f>
        <v>0</v>
      </c>
      <c r="G14">
        <f>IF($B14=0,0,IF(AND(E$3=TotalApuestas!E9,Resultado!F$3=TotalApuestas!F9),Resultado!G$5+VLOOKUP(G$4&amp;"bonus",Aux!$W$1:$X$46,2,0),IF(G$3=TotalApuestas!G9,G$5,0)))</f>
        <v>0</v>
      </c>
      <c r="H14">
        <f>IF($B14=0,0,IF(H$3=TotalApuestas!H9,H$5,0))</f>
        <v>0</v>
      </c>
      <c r="I14">
        <f>IF($B14=0,0,IF(I$3=TotalApuestas!I9,I$5,0))</f>
        <v>0</v>
      </c>
      <c r="J14">
        <f>IF($B14=0,0,IF(AND(H$3=TotalApuestas!H9,Resultado!I$3=TotalApuestas!I9),Resultado!J$5+VLOOKUP(J$4&amp;"bonus",Aux!$W$1:$X$46,2,0),IF(J$3=TotalApuestas!J9,J$5,0)))</f>
        <v>0</v>
      </c>
      <c r="K14">
        <f>IF($B14=0,0,IF(K$3=TotalApuestas!K9,K$5,0))</f>
        <v>0</v>
      </c>
      <c r="L14">
        <f>IF($B14=0,0,IF(L$3=TotalApuestas!L9,L$5,0))</f>
        <v>0</v>
      </c>
      <c r="M14">
        <f>IF($B14=0,0,IF(AND(K$3=TotalApuestas!K9,Resultado!L$3=TotalApuestas!L9),Resultado!M$5+VLOOKUP(M$4&amp;"bonus",Aux!$W$1:$X$46,2,0),IF(M$3=TotalApuestas!M9,M$5,0)))</f>
        <v>0</v>
      </c>
      <c r="N14">
        <f>IF($B14=0,0,IF(N$3=TotalApuestas!N9,N$5,0))</f>
        <v>0</v>
      </c>
      <c r="O14">
        <f>IF($B14=0,0,IF(O$3=TotalApuestas!O9,O$5,0))</f>
        <v>0</v>
      </c>
      <c r="P14">
        <f>IF($B14=0,0,IF(AND(N$3=TotalApuestas!N9,Resultado!O$3=TotalApuestas!O9),Resultado!P$5+VLOOKUP(P$4&amp;"bonus",Aux!$W$1:$X$46,2,0),IF(P$3=TotalApuestas!P9,P$5,0)))</f>
        <v>0</v>
      </c>
      <c r="Q14">
        <f>IF($B14=0,0,IF(Q$3=TotalApuestas!Q9,Q$5,0))</f>
        <v>0</v>
      </c>
      <c r="R14">
        <f>IF($B14=0,0,IF(R$3=TotalApuestas!R9,R$5,0))</f>
        <v>0</v>
      </c>
      <c r="S14">
        <f>IF($B14=0,0,IF(AND(Q$3=TotalApuestas!Q9,Resultado!R$3=TotalApuestas!R9),Resultado!S$5+VLOOKUP(S$4&amp;"bonus",Aux!$W$1:$X$46,2,0),IF(S$3=TotalApuestas!S9,S$5,0)))</f>
        <v>0</v>
      </c>
      <c r="T14">
        <f>IF($B14=0,0,IF(T$3=TotalApuestas!T9,T$5,0))</f>
        <v>0</v>
      </c>
      <c r="U14">
        <f>IF($B14=0,0,IF(U$3=TotalApuestas!U9,U$5,0))</f>
        <v>0</v>
      </c>
      <c r="V14">
        <f>IF($B14=0,0,IF(AND(T$3=TotalApuestas!T9,Resultado!U$3=TotalApuestas!U9),Resultado!V$5+VLOOKUP(V$4&amp;"bonus",Aux!$W$1:$X$46,2,0),IF(V$3=TotalApuestas!V9,V$5,0)))</f>
        <v>0</v>
      </c>
      <c r="W14">
        <f>IF($B14=0,0,IF(W$3=TotalApuestas!W9,W$5,0))</f>
        <v>0</v>
      </c>
      <c r="X14">
        <f>IF($B14=0,0,IF(X$3=TotalApuestas!X9,X$5,0))</f>
        <v>0</v>
      </c>
      <c r="Y14">
        <f>IF($B14=0,0,IF(AND(W$3=TotalApuestas!W9,Resultado!X$3=TotalApuestas!X9),Resultado!Y$5+VLOOKUP(Y$4&amp;"bonus",Aux!$W$1:$X$46,2,0),IF(Y$3=TotalApuestas!Y9,Y$5,0)))</f>
        <v>0</v>
      </c>
      <c r="Z14">
        <f>IF($B14=0,0,IF(Z$3=TotalApuestas!Z9,Z$5,0))</f>
        <v>0</v>
      </c>
      <c r="AA14">
        <f>IF($B14=0,0,IF(AA$3=TotalApuestas!AA9,AA$5,0))</f>
        <v>0</v>
      </c>
      <c r="AB14">
        <f>IF($B14=0,0,IF(AND(Z$3=TotalApuestas!Z9,Resultado!AA$3=TotalApuestas!AA9),Resultado!AB$5+VLOOKUP(AB$4&amp;"bonus",Aux!$W$1:$X$46,2,0),IF(AB$3=TotalApuestas!AB9,AB$5,0)))</f>
        <v>0</v>
      </c>
      <c r="AC14">
        <f>IF($B14=0,0,IF(AC$3=TotalApuestas!AC9,AC$5,0))</f>
        <v>0</v>
      </c>
      <c r="AD14">
        <f>IF($B14=0,0,IF(AD$3=TotalApuestas!AD9,AD$5,0))</f>
        <v>0</v>
      </c>
      <c r="AE14">
        <f>IF($B14=0,0,IF(AND(AC$3=TotalApuestas!AC9,Resultado!AD$3=TotalApuestas!AD9),Resultado!AE$5+VLOOKUP(AE$4&amp;"bonus",Aux!$W$1:$X$46,2,0),IF(AE$3=TotalApuestas!AE9,AE$5,0)))</f>
        <v>0</v>
      </c>
      <c r="AF14">
        <f>IF($B14=0,0,IF(AF$3=TotalApuestas!AF9,AF$5,0))</f>
        <v>0</v>
      </c>
      <c r="AG14">
        <f>IF($B14=0,0,IF(AG$3=TotalApuestas!AG9,AG$5,0))</f>
        <v>0</v>
      </c>
      <c r="AH14">
        <f>IF($B14=0,0,IF(AND(AF$3=TotalApuestas!AF9,Resultado!AG$3=TotalApuestas!AG9),Resultado!AH$5+VLOOKUP(AH$4&amp;"bonus",Aux!$W$1:$X$46,2,0),IF(AH$3=TotalApuestas!AH9,AH$5,0)))</f>
        <v>0</v>
      </c>
      <c r="AI14">
        <f>IF($B14=0,0,IF(AI$3=TotalApuestas!AI9,AI$5,0))</f>
        <v>0</v>
      </c>
      <c r="AJ14">
        <f>IF($B14=0,0,IF(AJ$3=TotalApuestas!AJ9,AJ$5,0))</f>
        <v>0</v>
      </c>
      <c r="AK14">
        <f>IF($B14=0,0,IF(AND(AI$3=TotalApuestas!AI9,Resultado!AJ$3=TotalApuestas!AJ9),Resultado!AK$5+VLOOKUP(AK$4&amp;"bonus",Aux!$W$1:$X$46,2,0),IF(AK$3=TotalApuestas!AK9,AK$5,0)))</f>
        <v>0</v>
      </c>
      <c r="AL14">
        <f>IF($B14=0,0,IF(AL$3=TotalApuestas!AL9,AL$5,0))</f>
        <v>0</v>
      </c>
      <c r="AM14">
        <f>IF($B14=0,0,IF(AM$3=TotalApuestas!AM9,AM$5,0))</f>
        <v>0</v>
      </c>
      <c r="AN14">
        <f>IF($B14=0,0,IF(AND(AL$3=TotalApuestas!AL9,Resultado!AM$3=TotalApuestas!AM9),Resultado!AN$5+VLOOKUP(AN$4&amp;"bonus",Aux!$W$1:$X$46,2,0),IF(AN$3=TotalApuestas!AN9,AN$5,0)))</f>
        <v>0</v>
      </c>
      <c r="AO14">
        <f>IF($B14=0,0,IF(AO$3=TotalApuestas!AO9,AO$5,0))</f>
        <v>0</v>
      </c>
      <c r="AP14">
        <f>IF($B14=0,0,IF(AP$3=TotalApuestas!AP9,AP$5,0))</f>
        <v>0</v>
      </c>
      <c r="AQ14">
        <f>IF($B14=0,0,IF(AND(AO$3=TotalApuestas!AO9,Resultado!AP$3=TotalApuestas!AP9),Resultado!AQ$5+VLOOKUP(AQ$4&amp;"bonus",Aux!$W$1:$X$46,2,0),IF(AQ$3=TotalApuestas!AQ9,AQ$5,0)))</f>
        <v>0</v>
      </c>
      <c r="AR14">
        <f>IF($B14=0,0,IF(AR$3=TotalApuestas!AR9,AR$5,0))</f>
        <v>0</v>
      </c>
      <c r="AS14">
        <f>IF($B14=0,0,IF(AS$3=TotalApuestas!AS9,AS$5,0))</f>
        <v>0</v>
      </c>
      <c r="AT14">
        <f>IF($B14=0,0,IF(AND(AR$3=TotalApuestas!AR9,Resultado!AS$3=TotalApuestas!AS9),Resultado!AT$5+VLOOKUP(AT$4&amp;"bonus",Aux!$W$1:$X$46,2,0),IF(AT$3=TotalApuestas!AT9,AT$5,0)))</f>
        <v>0</v>
      </c>
      <c r="AU14">
        <f>IF($B14=0,0,IF(AU$3=TotalApuestas!AU9,AU$5,0))</f>
        <v>0</v>
      </c>
      <c r="AV14">
        <f>IF($B14=0,0,IF(AV$3=TotalApuestas!AV9,AV$5,0))</f>
        <v>0</v>
      </c>
      <c r="AW14">
        <f>IF($B14=0,0,IF(AND(AU$3=TotalApuestas!AU9,Resultado!AV$3=TotalApuestas!AV9),Resultado!AW$5+VLOOKUP(AW$4&amp;"bonus",Aux!$W$1:$X$46,2,0),IF(AW$3=TotalApuestas!AW9,AW$5,0)))</f>
        <v>0</v>
      </c>
      <c r="AX14">
        <f>IF($B14=0,0,IF(AX$3=TotalApuestas!AX9,AX$5,0))</f>
        <v>0</v>
      </c>
      <c r="AY14">
        <f>IF($B14=0,0,IF(AY$3=TotalApuestas!AY9,AY$5,0))</f>
        <v>0</v>
      </c>
      <c r="AZ14">
        <f>IF($B14=0,0,IF(AND(AX$3=TotalApuestas!AX9,Resultado!AY$3=TotalApuestas!AY9),Resultado!AZ$5+VLOOKUP(AZ$4&amp;"bonus",Aux!$W$1:$X$46,2,0),IF(AZ$3=TotalApuestas!AZ9,AZ$5,0)))</f>
        <v>0</v>
      </c>
      <c r="BA14">
        <f>IF($B14=0,0,IF(BA$3=TotalApuestas!BA9,BA$5,0))</f>
        <v>0</v>
      </c>
      <c r="BB14">
        <f>IF($B14=0,0,IF(BB$3=TotalApuestas!BB9,BB$5,0))</f>
        <v>0</v>
      </c>
      <c r="BC14">
        <f>IF($B14=0,0,IF(AND(BA$3=TotalApuestas!BA9,Resultado!BB$3=TotalApuestas!BB9),Resultado!BC$5+VLOOKUP(BC$4&amp;"bonus",Aux!$W$1:$X$46,2,0),IF(BC$3=TotalApuestas!BC9,BC$5,0)))</f>
        <v>0</v>
      </c>
      <c r="BD14">
        <f>IF($B14=0,0,IF(BD$3=TotalApuestas!BD9,BD$5,0))</f>
        <v>0</v>
      </c>
      <c r="BE14">
        <f>IF($B14=0,0,IF(BE$3=TotalApuestas!BE9,BE$5,0))</f>
        <v>0</v>
      </c>
      <c r="BF14">
        <f>IF($B14=0,0,IF(AND(BD$3=TotalApuestas!BD9,Resultado!BE$3=TotalApuestas!BE9),Resultado!BF$5+VLOOKUP(BF$4&amp;"bonus",Aux!$W$1:$X$46,2,0),IF(BF$3=TotalApuestas!BF9,BF$5,0)))</f>
        <v>0</v>
      </c>
      <c r="BG14">
        <f>IF($B14=0,0,IF(BG$3=TotalApuestas!BG9,BG$5,0))</f>
        <v>0</v>
      </c>
      <c r="BH14">
        <f>IF($B14=0,0,IF(BH$3=TotalApuestas!BH9,BH$5,0))</f>
        <v>0</v>
      </c>
      <c r="BI14">
        <f>IF($B14=0,0,IF(AND(BG$3=TotalApuestas!BG9,Resultado!BH$3=TotalApuestas!BH9),Resultado!BI$5+VLOOKUP(BI$4&amp;"bonus",Aux!$W$1:$X$46,2,0),IF(BI$3=TotalApuestas!BI9,BI$5,0)))</f>
        <v>0</v>
      </c>
      <c r="BJ14">
        <f>IF($B14=0,0,IF(BJ$3=TotalApuestas!BJ9,BJ$5,0))</f>
        <v>0</v>
      </c>
      <c r="BK14">
        <f>IF($B14=0,0,IF(BK$3=TotalApuestas!BK9,BK$5,0))</f>
        <v>0</v>
      </c>
      <c r="BL14">
        <f>IF($B14=0,0,IF(AND(BJ$3=TotalApuestas!BJ9,Resultado!BK$3=TotalApuestas!BK9),Resultado!BL$5+VLOOKUP(BL$4&amp;"bonus",Aux!$W$1:$X$46,2,0),IF(BL$3=TotalApuestas!BL9,BL$5,0)))</f>
        <v>0</v>
      </c>
      <c r="BM14">
        <f>IF($B14=0,0,IF(BM$3=TotalApuestas!BM9,BM$5,0))</f>
        <v>0</v>
      </c>
      <c r="BN14">
        <f>IF($B14=0,0,IF(BN$3=TotalApuestas!BN9,BN$5,0))</f>
        <v>0</v>
      </c>
      <c r="BO14">
        <f>IF($B14=0,0,IF(AND(BM$3=TotalApuestas!BM9,Resultado!BN$3=TotalApuestas!BN9),Resultado!BO$5+VLOOKUP(BO$4&amp;"bonus",Aux!$W$1:$X$46,2,0),IF(BO$3=TotalApuestas!BO9,BO$5,0)))</f>
        <v>0</v>
      </c>
      <c r="BP14">
        <f>IF($B14=0,0,IF(BP$3=TotalApuestas!BP9,BP$5,0))</f>
        <v>0</v>
      </c>
      <c r="BQ14">
        <f>IF($B14=0,0,IF(BQ$3=TotalApuestas!BQ9,BQ$5,0))</f>
        <v>0</v>
      </c>
      <c r="BR14">
        <f>IF($B14=0,0,IF(AND(BP$3=TotalApuestas!BP9,Resultado!BQ$3=TotalApuestas!BQ9),Resultado!BR$5+VLOOKUP(BR$4&amp;"bonus",Aux!$W$1:$X$46,2,0),IF(BR$3=TotalApuestas!BR9,BR$5,0)))</f>
        <v>0</v>
      </c>
      <c r="BS14">
        <f>IF($B14=0,0,IF(BS$3=TotalApuestas!BS9,BS$5,0))</f>
        <v>0</v>
      </c>
      <c r="BT14">
        <f>IF($B14=0,0,IF(BT$3=TotalApuestas!BT9,BT$5,0))</f>
        <v>0</v>
      </c>
      <c r="BU14">
        <f>IF($B14=0,0,IF(AND(BS$3=TotalApuestas!BS9,Resultado!BT$3=TotalApuestas!BT9),Resultado!BU$5+VLOOKUP(BU$4&amp;"bonus",Aux!$W$1:$X$46,2,0),IF(BU$3=TotalApuestas!BU9,BU$5,0)))</f>
        <v>0</v>
      </c>
      <c r="BV14">
        <f>IF($B14=0,0,IF(BV$3=TotalApuestas!BV9,BV$5,0))</f>
        <v>0</v>
      </c>
      <c r="BW14">
        <f>IF($B14=0,0,IF(BW$3=TotalApuestas!BW9,BW$5,0))</f>
        <v>0</v>
      </c>
      <c r="BX14">
        <f>IF($B14=0,0,IF(AND(BV$3=TotalApuestas!BV9,Resultado!BW$3=TotalApuestas!BW9),Resultado!BX$5+VLOOKUP(BX$4&amp;"bonus",Aux!$W$1:$X$46,2,0),IF(BX$3=TotalApuestas!BX9,BX$5,0)))</f>
        <v>0</v>
      </c>
      <c r="BY14">
        <f>IF($B14=0,0,IF(BY$3=TotalApuestas!BY9,BY$5,0))</f>
        <v>0</v>
      </c>
      <c r="BZ14">
        <f>IF($B14=0,0,IF(BZ$3=TotalApuestas!BZ9,BZ$5,0))</f>
        <v>0</v>
      </c>
      <c r="CA14">
        <f>IF($B14=0,0,IF(CA$3=TotalApuestas!CA9,CA$5,0))</f>
        <v>0</v>
      </c>
      <c r="CB14">
        <f>IF($B14=0,0,IF(CB$3=TotalApuestas!CB9,CB$5,0))</f>
        <v>0</v>
      </c>
      <c r="CC14">
        <f>IF($B14=0,0,IF(COUNTIF($CC$3:$CJ$3,TotalApuestas!CC9)=1,CC$5,0))</f>
        <v>0</v>
      </c>
      <c r="CD14">
        <f>IF($B14=0,0,IF(COUNTIF($CC$3:$CJ$3,TotalApuestas!CD9)=1,CD$5,0))</f>
        <v>0</v>
      </c>
      <c r="CE14">
        <f>IF($B14=0,0,IF(COUNTIF($CC$3:$CJ$3,TotalApuestas!CE9)=1,CE$5,0))</f>
        <v>0</v>
      </c>
      <c r="CF14">
        <f>IF($B14=0,0,IF(COUNTIF($CC$3:$CJ$3,TotalApuestas!CF9)=1,CF$5,0))</f>
        <v>0</v>
      </c>
      <c r="CG14">
        <f>IF($B14=0,0,IF(COUNTIF($CC$3:$CJ$3,TotalApuestas!CG9)=1,CG$5,0))</f>
        <v>0</v>
      </c>
      <c r="CH14">
        <f>IF($B14=0,0,IF(COUNTIF($CC$3:$CJ$3,TotalApuestas!CH9)=1,CH$5,0))</f>
        <v>0</v>
      </c>
      <c r="CI14">
        <f>IF($B14=0,0,IF(COUNTIF($CC$3:$CJ$3,TotalApuestas!CI9)=1,CI$5,0))</f>
        <v>0</v>
      </c>
      <c r="CJ14">
        <f>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IF($B14=0,0,IF(CR$3=TotalApuestas!CR9,CR$5,0))</f>
        <v>0</v>
      </c>
      <c r="CS14">
        <f>IF($B14=0,0,IF(CS$3=TotalApuestas!CS9,CS$5,0))</f>
        <v>0</v>
      </c>
      <c r="CT14">
        <f>IF($B14=0,0,IF(AND(CR$3=TotalApuestas!CR9,Resultado!CS$3=TotalApuestas!CS9),Resultado!CT$5+VLOOKUP(CT$4&amp;"bonus",Aux!$W$1:$X$46,2,0),IF(CT$3=TotalApuestas!CT9,CT$5,0)))</f>
        <v>0</v>
      </c>
      <c r="CU14">
        <f>IF($B14=0,0,IF(CU$3=TotalApuestas!CU9,CU$5,0))</f>
        <v>0</v>
      </c>
      <c r="CV14">
        <f>IF($B14=0,0,IF(CV$3=TotalApuestas!CV9,CV$5,0))</f>
        <v>0</v>
      </c>
      <c r="CW14">
        <f>IF($B14=0,0,IF(AND(CU$3=TotalApuestas!CU9,Resultado!CV$3=TotalApuestas!CV9),Resultado!CW$5+VLOOKUP(CW$4&amp;"bonus",Aux!$W$1:$X$46,2,0),IF(CW$3=TotalApuestas!CW9,CW$5,0)))</f>
        <v>0</v>
      </c>
      <c r="CX14">
        <f>IF($B14=0,0,IF(CX$3=TotalApuestas!CX9,CX$5,0))</f>
        <v>0</v>
      </c>
      <c r="CY14">
        <f>IF($B14=0,0,IF(CY$3=TotalApuestas!CY9,CY$5,0))</f>
        <v>0</v>
      </c>
      <c r="CZ14">
        <f>IF($B14=0,0,IF(AND(CX$3=TotalApuestas!CX9,Resultado!CY$3=TotalApuestas!CY9),Resultado!CZ$5+VLOOKUP(CZ$4&amp;"bonus",Aux!$W$1:$X$46,2,0),IF(CZ$3=TotalApuestas!CZ9,CZ$5,0)))</f>
        <v>0</v>
      </c>
      <c r="DA14">
        <f>IF($B14=0,0,IF(DA$3=TotalApuestas!DA9,DA$5,0))</f>
        <v>0</v>
      </c>
      <c r="DB14">
        <f>IF($B14=0,0,IF(DB$3=TotalApuestas!DB9,DB$5,0))</f>
        <v>0</v>
      </c>
      <c r="DC14">
        <f>IF($B14=0,0,IF(AND(DA$3=TotalApuestas!DA9,Resultado!DB$3=TotalApuestas!DB9),Resultado!DC$5+VLOOKUP(DC$4&amp;"bonus",Aux!$W$1:$X$46,2,0),IF(DC$3=TotalApuestas!DC9,DC$5,0)))</f>
        <v>0</v>
      </c>
      <c r="DD14">
        <f>IF($B14=0,0,IF(DD$3=TotalApuestas!DD9,DD$5,0))</f>
        <v>0</v>
      </c>
      <c r="DE14">
        <f>IF($B14=0,0,IF(DE$3=TotalApuestas!DE9,DE$5,0))</f>
        <v>0</v>
      </c>
      <c r="DF14">
        <f>IF($B14=0,0,IF(AND(DD$3=TotalApuestas!DD9,Resultado!DE$3=TotalApuestas!DE9),Resultado!DF$5+VLOOKUP(DF$4&amp;"bonus",Aux!$W$1:$X$46,2,0),IF(DF$3=TotalApuestas!DF9,DF$5,0)))</f>
        <v>0</v>
      </c>
      <c r="DG14">
        <f>IF($B14=0,0,IF(DG$3=TotalApuestas!DG9,DG$5,0))</f>
        <v>0</v>
      </c>
      <c r="DH14">
        <f>IF($B14=0,0,IF(DH$3=TotalApuestas!DH9,DH$5,0))</f>
        <v>0</v>
      </c>
      <c r="DI14">
        <f>IF($B14=0,0,IF(AND(DG$3=TotalApuestas!DG9,Resultado!DH$3=TotalApuestas!DH9),Resultado!DI$5+VLOOKUP(DI$4&amp;"bonus",Aux!$W$1:$X$46,2,0),IF(DI$3=TotalApuestas!DI9,DI$5,0)))</f>
        <v>0</v>
      </c>
      <c r="DJ14">
        <f>IF($B14=0,0,IF(DJ$3=TotalApuestas!DJ9,DJ$5,0))</f>
        <v>0</v>
      </c>
      <c r="DK14">
        <f>IF($B14=0,0,IF(DK$3=TotalApuestas!DK9,DK$5,0))</f>
        <v>0</v>
      </c>
      <c r="DL14">
        <f>IF($B14=0,0,IF(AND(DJ$3=TotalApuestas!DJ9,Resultado!DK$3=TotalApuestas!DK9),Resultado!DL$5+VLOOKUP(DL$4&amp;"bonus",Aux!$W$1:$X$46,2,0),IF(DL$3=TotalApuestas!DL9,DL$5,0)))</f>
        <v>0</v>
      </c>
      <c r="DM14">
        <f>IF($B14=0,0,IF(DM$3=TotalApuestas!DM9,DM$5,0))</f>
        <v>0</v>
      </c>
      <c r="DN14">
        <f>IF($B14=0,0,IF(DN$3=TotalApuestas!DN9,DN$5,0))</f>
        <v>0</v>
      </c>
      <c r="DO14">
        <f>IF($B14=0,0,IF(AND(DM$3=TotalApuestas!DM9,Resultado!DN$3=TotalApuestas!DN9),Resultado!DO$5+VLOOKUP(DO$4&amp;"bonus",Aux!$W$1:$X$46,2,0),IF(DO$3=TotalApuestas!DO9,DO$5,0)))</f>
        <v>0</v>
      </c>
    </row>
    <row r="15" spans="2:119" x14ac:dyDescent="0.2">
      <c r="B15">
        <f>+TotalApuestas!B10</f>
        <v>0</v>
      </c>
      <c r="E15">
        <f>IF($B15=0,0,IF(E$3=TotalApuestas!E10,E$5,0))</f>
        <v>0</v>
      </c>
      <c r="F15">
        <f>IF($B15=0,0,IF(F$3=TotalApuestas!F10,F$5,0))</f>
        <v>0</v>
      </c>
      <c r="G15">
        <f>IF($B15=0,0,IF(AND(E$3=TotalApuestas!E10,Resultado!F$3=TotalApuestas!F10),Resultado!G$5+VLOOKUP(G$4&amp;"bonus",Aux!$W$1:$X$46,2,0),IF(G$3=TotalApuestas!G10,G$5,0)))</f>
        <v>0</v>
      </c>
      <c r="H15">
        <f>IF($B15=0,0,IF(H$3=TotalApuestas!H10,H$5,0))</f>
        <v>0</v>
      </c>
      <c r="I15">
        <f>IF($B15=0,0,IF(I$3=TotalApuestas!I10,I$5,0))</f>
        <v>0</v>
      </c>
      <c r="J15">
        <f>IF($B15=0,0,IF(AND(H$3=TotalApuestas!H10,Resultado!I$3=TotalApuestas!I10),Resultado!J$5+VLOOKUP(J$4&amp;"bonus",Aux!$W$1:$X$46,2,0),IF(J$3=TotalApuestas!J10,J$5,0)))</f>
        <v>0</v>
      </c>
      <c r="K15">
        <f>IF($B15=0,0,IF(K$3=TotalApuestas!K10,K$5,0))</f>
        <v>0</v>
      </c>
      <c r="L15">
        <f>IF($B15=0,0,IF(L$3=TotalApuestas!L10,L$5,0))</f>
        <v>0</v>
      </c>
      <c r="M15">
        <f>IF($B15=0,0,IF(AND(K$3=TotalApuestas!K10,Resultado!L$3=TotalApuestas!L10),Resultado!M$5+VLOOKUP(M$4&amp;"bonus",Aux!$W$1:$X$46,2,0),IF(M$3=TotalApuestas!M10,M$5,0)))</f>
        <v>0</v>
      </c>
      <c r="N15">
        <f>IF($B15=0,0,IF(N$3=TotalApuestas!N10,N$5,0))</f>
        <v>0</v>
      </c>
      <c r="O15">
        <f>IF($B15=0,0,IF(O$3=TotalApuestas!O10,O$5,0))</f>
        <v>0</v>
      </c>
      <c r="P15">
        <f>IF($B15=0,0,IF(AND(N$3=TotalApuestas!N10,Resultado!O$3=TotalApuestas!O10),Resultado!P$5+VLOOKUP(P$4&amp;"bonus",Aux!$W$1:$X$46,2,0),IF(P$3=TotalApuestas!P10,P$5,0)))</f>
        <v>0</v>
      </c>
      <c r="Q15">
        <f>IF($B15=0,0,IF(Q$3=TotalApuestas!Q10,Q$5,0))</f>
        <v>0</v>
      </c>
      <c r="R15">
        <f>IF($B15=0,0,IF(R$3=TotalApuestas!R10,R$5,0))</f>
        <v>0</v>
      </c>
      <c r="S15">
        <f>IF($B15=0,0,IF(AND(Q$3=TotalApuestas!Q10,Resultado!R$3=TotalApuestas!R10),Resultado!S$5+VLOOKUP(S$4&amp;"bonus",Aux!$W$1:$X$46,2,0),IF(S$3=TotalApuestas!S10,S$5,0)))</f>
        <v>0</v>
      </c>
      <c r="T15">
        <f>IF($B15=0,0,IF(T$3=TotalApuestas!T10,T$5,0))</f>
        <v>0</v>
      </c>
      <c r="U15">
        <f>IF($B15=0,0,IF(U$3=TotalApuestas!U10,U$5,0))</f>
        <v>0</v>
      </c>
      <c r="V15">
        <f>IF($B15=0,0,IF(AND(T$3=TotalApuestas!T10,Resultado!U$3=TotalApuestas!U10),Resultado!V$5+VLOOKUP(V$4&amp;"bonus",Aux!$W$1:$X$46,2,0),IF(V$3=TotalApuestas!V10,V$5,0)))</f>
        <v>0</v>
      </c>
      <c r="W15">
        <f>IF($B15=0,0,IF(W$3=TotalApuestas!W10,W$5,0))</f>
        <v>0</v>
      </c>
      <c r="X15">
        <f>IF($B15=0,0,IF(X$3=TotalApuestas!X10,X$5,0))</f>
        <v>0</v>
      </c>
      <c r="Y15">
        <f>IF($B15=0,0,IF(AND(W$3=TotalApuestas!W10,Resultado!X$3=TotalApuestas!X10),Resultado!Y$5+VLOOKUP(Y$4&amp;"bonus",Aux!$W$1:$X$46,2,0),IF(Y$3=TotalApuestas!Y10,Y$5,0)))</f>
        <v>0</v>
      </c>
      <c r="Z15">
        <f>IF($B15=0,0,IF(Z$3=TotalApuestas!Z10,Z$5,0))</f>
        <v>0</v>
      </c>
      <c r="AA15">
        <f>IF($B15=0,0,IF(AA$3=TotalApuestas!AA10,AA$5,0))</f>
        <v>0</v>
      </c>
      <c r="AB15">
        <f>IF($B15=0,0,IF(AND(Z$3=TotalApuestas!Z10,Resultado!AA$3=TotalApuestas!AA10),Resultado!AB$5+VLOOKUP(AB$4&amp;"bonus",Aux!$W$1:$X$46,2,0),IF(AB$3=TotalApuestas!AB10,AB$5,0)))</f>
        <v>0</v>
      </c>
      <c r="AC15">
        <f>IF($B15=0,0,IF(AC$3=TotalApuestas!AC10,AC$5,0))</f>
        <v>0</v>
      </c>
      <c r="AD15">
        <f>IF($B15=0,0,IF(AD$3=TotalApuestas!AD10,AD$5,0))</f>
        <v>0</v>
      </c>
      <c r="AE15">
        <f>IF($B15=0,0,IF(AND(AC$3=TotalApuestas!AC10,Resultado!AD$3=TotalApuestas!AD10),Resultado!AE$5+VLOOKUP(AE$4&amp;"bonus",Aux!$W$1:$X$46,2,0),IF(AE$3=TotalApuestas!AE10,AE$5,0)))</f>
        <v>0</v>
      </c>
      <c r="AF15">
        <f>IF($B15=0,0,IF(AF$3=TotalApuestas!AF10,AF$5,0))</f>
        <v>0</v>
      </c>
      <c r="AG15">
        <f>IF($B15=0,0,IF(AG$3=TotalApuestas!AG10,AG$5,0))</f>
        <v>0</v>
      </c>
      <c r="AH15">
        <f>IF($B15=0,0,IF(AND(AF$3=TotalApuestas!AF10,Resultado!AG$3=TotalApuestas!AG10),Resultado!AH$5+VLOOKUP(AH$4&amp;"bonus",Aux!$W$1:$X$46,2,0),IF(AH$3=TotalApuestas!AH10,AH$5,0)))</f>
        <v>0</v>
      </c>
      <c r="AI15">
        <f>IF($B15=0,0,IF(AI$3=TotalApuestas!AI10,AI$5,0))</f>
        <v>0</v>
      </c>
      <c r="AJ15">
        <f>IF($B15=0,0,IF(AJ$3=TotalApuestas!AJ10,AJ$5,0))</f>
        <v>0</v>
      </c>
      <c r="AK15">
        <f>IF($B15=0,0,IF(AND(AI$3=TotalApuestas!AI10,Resultado!AJ$3=TotalApuestas!AJ10),Resultado!AK$5+VLOOKUP(AK$4&amp;"bonus",Aux!$W$1:$X$46,2,0),IF(AK$3=TotalApuestas!AK10,AK$5,0)))</f>
        <v>0</v>
      </c>
      <c r="AL15">
        <f>IF($B15=0,0,IF(AL$3=TotalApuestas!AL10,AL$5,0))</f>
        <v>0</v>
      </c>
      <c r="AM15">
        <f>IF($B15=0,0,IF(AM$3=TotalApuestas!AM10,AM$5,0))</f>
        <v>0</v>
      </c>
      <c r="AN15">
        <f>IF($B15=0,0,IF(AND(AL$3=TotalApuestas!AL10,Resultado!AM$3=TotalApuestas!AM10),Resultado!AN$5+VLOOKUP(AN$4&amp;"bonus",Aux!$W$1:$X$46,2,0),IF(AN$3=TotalApuestas!AN10,AN$5,0)))</f>
        <v>0</v>
      </c>
      <c r="AO15">
        <f>IF($B15=0,0,IF(AO$3=TotalApuestas!AO10,AO$5,0))</f>
        <v>0</v>
      </c>
      <c r="AP15">
        <f>IF($B15=0,0,IF(AP$3=TotalApuestas!AP10,AP$5,0))</f>
        <v>0</v>
      </c>
      <c r="AQ15">
        <f>IF($B15=0,0,IF(AND(AO$3=TotalApuestas!AO10,Resultado!AP$3=TotalApuestas!AP10),Resultado!AQ$5+VLOOKUP(AQ$4&amp;"bonus",Aux!$W$1:$X$46,2,0),IF(AQ$3=TotalApuestas!AQ10,AQ$5,0)))</f>
        <v>0</v>
      </c>
      <c r="AR15">
        <f>IF($B15=0,0,IF(AR$3=TotalApuestas!AR10,AR$5,0))</f>
        <v>0</v>
      </c>
      <c r="AS15">
        <f>IF($B15=0,0,IF(AS$3=TotalApuestas!AS10,AS$5,0))</f>
        <v>0</v>
      </c>
      <c r="AT15">
        <f>IF($B15=0,0,IF(AND(AR$3=TotalApuestas!AR10,Resultado!AS$3=TotalApuestas!AS10),Resultado!AT$5+VLOOKUP(AT$4&amp;"bonus",Aux!$W$1:$X$46,2,0),IF(AT$3=TotalApuestas!AT10,AT$5,0)))</f>
        <v>0</v>
      </c>
      <c r="AU15">
        <f>IF($B15=0,0,IF(AU$3=TotalApuestas!AU10,AU$5,0))</f>
        <v>0</v>
      </c>
      <c r="AV15">
        <f>IF($B15=0,0,IF(AV$3=TotalApuestas!AV10,AV$5,0))</f>
        <v>0</v>
      </c>
      <c r="AW15">
        <f>IF($B15=0,0,IF(AND(AU$3=TotalApuestas!AU10,Resultado!AV$3=TotalApuestas!AV10),Resultado!AW$5+VLOOKUP(AW$4&amp;"bonus",Aux!$W$1:$X$46,2,0),IF(AW$3=TotalApuestas!AW10,AW$5,0)))</f>
        <v>0</v>
      </c>
      <c r="AX15">
        <f>IF($B15=0,0,IF(AX$3=TotalApuestas!AX10,AX$5,0))</f>
        <v>0</v>
      </c>
      <c r="AY15">
        <f>IF($B15=0,0,IF(AY$3=TotalApuestas!AY10,AY$5,0))</f>
        <v>0</v>
      </c>
      <c r="AZ15">
        <f>IF($B15=0,0,IF(AND(AX$3=TotalApuestas!AX10,Resultado!AY$3=TotalApuestas!AY10),Resultado!AZ$5+VLOOKUP(AZ$4&amp;"bonus",Aux!$W$1:$X$46,2,0),IF(AZ$3=TotalApuestas!AZ10,AZ$5,0)))</f>
        <v>0</v>
      </c>
      <c r="BA15">
        <f>IF($B15=0,0,IF(BA$3=TotalApuestas!BA10,BA$5,0))</f>
        <v>0</v>
      </c>
      <c r="BB15">
        <f>IF($B15=0,0,IF(BB$3=TotalApuestas!BB10,BB$5,0))</f>
        <v>0</v>
      </c>
      <c r="BC15">
        <f>IF($B15=0,0,IF(AND(BA$3=TotalApuestas!BA10,Resultado!BB$3=TotalApuestas!BB10),Resultado!BC$5+VLOOKUP(BC$4&amp;"bonus",Aux!$W$1:$X$46,2,0),IF(BC$3=TotalApuestas!BC10,BC$5,0)))</f>
        <v>0</v>
      </c>
      <c r="BD15">
        <f>IF($B15=0,0,IF(BD$3=TotalApuestas!BD10,BD$5,0))</f>
        <v>0</v>
      </c>
      <c r="BE15">
        <f>IF($B15=0,0,IF(BE$3=TotalApuestas!BE10,BE$5,0))</f>
        <v>0</v>
      </c>
      <c r="BF15">
        <f>IF($B15=0,0,IF(AND(BD$3=TotalApuestas!BD10,Resultado!BE$3=TotalApuestas!BE10),Resultado!BF$5+VLOOKUP(BF$4&amp;"bonus",Aux!$W$1:$X$46,2,0),IF(BF$3=TotalApuestas!BF10,BF$5,0)))</f>
        <v>0</v>
      </c>
      <c r="BG15">
        <f>IF($B15=0,0,IF(BG$3=TotalApuestas!BG10,BG$5,0))</f>
        <v>0</v>
      </c>
      <c r="BH15">
        <f>IF($B15=0,0,IF(BH$3=TotalApuestas!BH10,BH$5,0))</f>
        <v>0</v>
      </c>
      <c r="BI15">
        <f>IF($B15=0,0,IF(AND(BG$3=TotalApuestas!BG10,Resultado!BH$3=TotalApuestas!BH10),Resultado!BI$5+VLOOKUP(BI$4&amp;"bonus",Aux!$W$1:$X$46,2,0),IF(BI$3=TotalApuestas!BI10,BI$5,0)))</f>
        <v>0</v>
      </c>
      <c r="BJ15">
        <f>IF($B15=0,0,IF(BJ$3=TotalApuestas!BJ10,BJ$5,0))</f>
        <v>0</v>
      </c>
      <c r="BK15">
        <f>IF($B15=0,0,IF(BK$3=TotalApuestas!BK10,BK$5,0))</f>
        <v>0</v>
      </c>
      <c r="BL15">
        <f>IF($B15=0,0,IF(AND(BJ$3=TotalApuestas!BJ10,Resultado!BK$3=TotalApuestas!BK10),Resultado!BL$5+VLOOKUP(BL$4&amp;"bonus",Aux!$W$1:$X$46,2,0),IF(BL$3=TotalApuestas!BL10,BL$5,0)))</f>
        <v>0</v>
      </c>
      <c r="BM15">
        <f>IF($B15=0,0,IF(BM$3=TotalApuestas!BM10,BM$5,0))</f>
        <v>0</v>
      </c>
      <c r="BN15">
        <f>IF($B15=0,0,IF(BN$3=TotalApuestas!BN10,BN$5,0))</f>
        <v>0</v>
      </c>
      <c r="BO15">
        <f>IF($B15=0,0,IF(AND(BM$3=TotalApuestas!BM10,Resultado!BN$3=TotalApuestas!BN10),Resultado!BO$5+VLOOKUP(BO$4&amp;"bonus",Aux!$W$1:$X$46,2,0),IF(BO$3=TotalApuestas!BO10,BO$5,0)))</f>
        <v>0</v>
      </c>
      <c r="BP15">
        <f>IF($B15=0,0,IF(BP$3=TotalApuestas!BP10,BP$5,0))</f>
        <v>0</v>
      </c>
      <c r="BQ15">
        <f>IF($B15=0,0,IF(BQ$3=TotalApuestas!BQ10,BQ$5,0))</f>
        <v>0</v>
      </c>
      <c r="BR15">
        <f>IF($B15=0,0,IF(AND(BP$3=TotalApuestas!BP10,Resultado!BQ$3=TotalApuestas!BQ10),Resultado!BR$5+VLOOKUP(BR$4&amp;"bonus",Aux!$W$1:$X$46,2,0),IF(BR$3=TotalApuestas!BR10,BR$5,0)))</f>
        <v>0</v>
      </c>
      <c r="BS15">
        <f>IF($B15=0,0,IF(BS$3=TotalApuestas!BS10,BS$5,0))</f>
        <v>0</v>
      </c>
      <c r="BT15">
        <f>IF($B15=0,0,IF(BT$3=TotalApuestas!BT10,BT$5,0))</f>
        <v>0</v>
      </c>
      <c r="BU15">
        <f>IF($B15=0,0,IF(AND(BS$3=TotalApuestas!BS10,Resultado!BT$3=TotalApuestas!BT10),Resultado!BU$5+VLOOKUP(BU$4&amp;"bonus",Aux!$W$1:$X$46,2,0),IF(BU$3=TotalApuestas!BU10,BU$5,0)))</f>
        <v>0</v>
      </c>
      <c r="BV15">
        <f>IF($B15=0,0,IF(BV$3=TotalApuestas!BV10,BV$5,0))</f>
        <v>0</v>
      </c>
      <c r="BW15">
        <f>IF($B15=0,0,IF(BW$3=TotalApuestas!BW10,BW$5,0))</f>
        <v>0</v>
      </c>
      <c r="BX15">
        <f>IF($B15=0,0,IF(AND(BV$3=TotalApuestas!BV10,Resultado!BW$3=TotalApuestas!BW10),Resultado!BX$5+VLOOKUP(BX$4&amp;"bonus",Aux!$W$1:$X$46,2,0),IF(BX$3=TotalApuestas!BX10,BX$5,0)))</f>
        <v>0</v>
      </c>
      <c r="BY15">
        <f>IF($B15=0,0,IF(BY$3=TotalApuestas!BY10,BY$5,0))</f>
        <v>0</v>
      </c>
      <c r="BZ15">
        <f>IF($B15=0,0,IF(BZ$3=TotalApuestas!BZ10,BZ$5,0))</f>
        <v>0</v>
      </c>
      <c r="CA15">
        <f>IF($B15=0,0,IF(CA$3=TotalApuestas!CA10,CA$5,0))</f>
        <v>0</v>
      </c>
      <c r="CB15">
        <f>IF($B15=0,0,IF(CB$3=TotalApuestas!CB10,CB$5,0))</f>
        <v>0</v>
      </c>
      <c r="CC15">
        <f>IF($B15=0,0,IF(COUNTIF($CC$3:$CJ$3,TotalApuestas!CC10)=1,CC$5,0))</f>
        <v>0</v>
      </c>
      <c r="CD15">
        <f>IF($B15=0,0,IF(COUNTIF($CC$3:$CJ$3,TotalApuestas!CD10)=1,CD$5,0))</f>
        <v>0</v>
      </c>
      <c r="CE15">
        <f>IF($B15=0,0,IF(COUNTIF($CC$3:$CJ$3,TotalApuestas!CE10)=1,CE$5,0))</f>
        <v>0</v>
      </c>
      <c r="CF15">
        <f>IF($B15=0,0,IF(COUNTIF($CC$3:$CJ$3,TotalApuestas!CF10)=1,CF$5,0))</f>
        <v>0</v>
      </c>
      <c r="CG15">
        <f>IF($B15=0,0,IF(COUNTIF($CC$3:$CJ$3,TotalApuestas!CG10)=1,CG$5,0))</f>
        <v>0</v>
      </c>
      <c r="CH15">
        <f>IF($B15=0,0,IF(COUNTIF($CC$3:$CJ$3,TotalApuestas!CH10)=1,CH$5,0))</f>
        <v>0</v>
      </c>
      <c r="CI15">
        <f>IF($B15=0,0,IF(COUNTIF($CC$3:$CJ$3,TotalApuestas!CI10)=1,CI$5,0))</f>
        <v>0</v>
      </c>
      <c r="CJ15">
        <f>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IF($B15=0,0,IF(CR$3=TotalApuestas!CR10,CR$5,0))</f>
        <v>0</v>
      </c>
      <c r="CS15">
        <f>IF($B15=0,0,IF(CS$3=TotalApuestas!CS10,CS$5,0))</f>
        <v>0</v>
      </c>
      <c r="CT15">
        <f>IF($B15=0,0,IF(AND(CR$3=TotalApuestas!CR10,Resultado!CS$3=TotalApuestas!CS10),Resultado!CT$5+VLOOKUP(CT$4&amp;"bonus",Aux!$W$1:$X$46,2,0),IF(CT$3=TotalApuestas!CT10,CT$5,0)))</f>
        <v>0</v>
      </c>
      <c r="CU15">
        <f>IF($B15=0,0,IF(CU$3=TotalApuestas!CU10,CU$5,0))</f>
        <v>0</v>
      </c>
      <c r="CV15">
        <f>IF($B15=0,0,IF(CV$3=TotalApuestas!CV10,CV$5,0))</f>
        <v>0</v>
      </c>
      <c r="CW15">
        <f>IF($B15=0,0,IF(AND(CU$3=TotalApuestas!CU10,Resultado!CV$3=TotalApuestas!CV10),Resultado!CW$5+VLOOKUP(CW$4&amp;"bonus",Aux!$W$1:$X$46,2,0),IF(CW$3=TotalApuestas!CW10,CW$5,0)))</f>
        <v>0</v>
      </c>
      <c r="CX15">
        <f>IF($B15=0,0,IF(CX$3=TotalApuestas!CX10,CX$5,0))</f>
        <v>0</v>
      </c>
      <c r="CY15">
        <f>IF($B15=0,0,IF(CY$3=TotalApuestas!CY10,CY$5,0))</f>
        <v>0</v>
      </c>
      <c r="CZ15">
        <f>IF($B15=0,0,IF(AND(CX$3=TotalApuestas!CX10,Resultado!CY$3=TotalApuestas!CY10),Resultado!CZ$5+VLOOKUP(CZ$4&amp;"bonus",Aux!$W$1:$X$46,2,0),IF(CZ$3=TotalApuestas!CZ10,CZ$5,0)))</f>
        <v>0</v>
      </c>
      <c r="DA15">
        <f>IF($B15=0,0,IF(DA$3=TotalApuestas!DA10,DA$5,0))</f>
        <v>0</v>
      </c>
      <c r="DB15">
        <f>IF($B15=0,0,IF(DB$3=TotalApuestas!DB10,DB$5,0))</f>
        <v>0</v>
      </c>
      <c r="DC15">
        <f>IF($B15=0,0,IF(AND(DA$3=TotalApuestas!DA10,Resultado!DB$3=TotalApuestas!DB10),Resultado!DC$5+VLOOKUP(DC$4&amp;"bonus",Aux!$W$1:$X$46,2,0),IF(DC$3=TotalApuestas!DC10,DC$5,0)))</f>
        <v>0</v>
      </c>
      <c r="DD15">
        <f>IF($B15=0,0,IF(DD$3=TotalApuestas!DD10,DD$5,0))</f>
        <v>0</v>
      </c>
      <c r="DE15">
        <f>IF($B15=0,0,IF(DE$3=TotalApuestas!DE10,DE$5,0))</f>
        <v>0</v>
      </c>
      <c r="DF15">
        <f>IF($B15=0,0,IF(AND(DD$3=TotalApuestas!DD10,Resultado!DE$3=TotalApuestas!DE10),Resultado!DF$5+VLOOKUP(DF$4&amp;"bonus",Aux!$W$1:$X$46,2,0),IF(DF$3=TotalApuestas!DF10,DF$5,0)))</f>
        <v>0</v>
      </c>
      <c r="DG15">
        <f>IF($B15=0,0,IF(DG$3=TotalApuestas!DG10,DG$5,0))</f>
        <v>0</v>
      </c>
      <c r="DH15">
        <f>IF($B15=0,0,IF(DH$3=TotalApuestas!DH10,DH$5,0))</f>
        <v>0</v>
      </c>
      <c r="DI15">
        <f>IF($B15=0,0,IF(AND(DG$3=TotalApuestas!DG10,Resultado!DH$3=TotalApuestas!DH10),Resultado!DI$5+VLOOKUP(DI$4&amp;"bonus",Aux!$W$1:$X$46,2,0),IF(DI$3=TotalApuestas!DI10,DI$5,0)))</f>
        <v>0</v>
      </c>
      <c r="DJ15">
        <f>IF($B15=0,0,IF(DJ$3=TotalApuestas!DJ10,DJ$5,0))</f>
        <v>0</v>
      </c>
      <c r="DK15">
        <f>IF($B15=0,0,IF(DK$3=TotalApuestas!DK10,DK$5,0))</f>
        <v>0</v>
      </c>
      <c r="DL15">
        <f>IF($B15=0,0,IF(AND(DJ$3=TotalApuestas!DJ10,Resultado!DK$3=TotalApuestas!DK10),Resultado!DL$5+VLOOKUP(DL$4&amp;"bonus",Aux!$W$1:$X$46,2,0),IF(DL$3=TotalApuestas!DL10,DL$5,0)))</f>
        <v>0</v>
      </c>
      <c r="DM15">
        <f>IF($B15=0,0,IF(DM$3=TotalApuestas!DM10,DM$5,0))</f>
        <v>0</v>
      </c>
      <c r="DN15">
        <f>IF($B15=0,0,IF(DN$3=TotalApuestas!DN10,DN$5,0))</f>
        <v>0</v>
      </c>
      <c r="DO15">
        <f>IF($B15=0,0,IF(AND(DM$3=TotalApuestas!DM10,Resultado!DN$3=TotalApuestas!DN10),Resultado!DO$5+VLOOKUP(DO$4&amp;"bonus",Aux!$W$1:$X$46,2,0),IF(DO$3=TotalApuestas!DO10,DO$5,0)))</f>
        <v>0</v>
      </c>
    </row>
    <row r="16" spans="2:119" x14ac:dyDescent="0.2">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defaultColWidth="10.76171875" defaultRowHeight="15" x14ac:dyDescent="0.2"/>
  <cols>
    <col min="5" max="119" width="6.05078125" customWidth="1"/>
    <col min="120" max="220" width="5.6484375" customWidth="1"/>
  </cols>
  <sheetData>
    <row r="1" spans="2:119" x14ac:dyDescent="0.2">
      <c r="B1" s="85" t="str">
        <f>Normas!C33</f>
        <v>Carlos Hurtado</v>
      </c>
      <c r="C1" s="118" t="str">
        <f>Normas!C35</f>
        <v>carloshurtadoch286@gmail.com</v>
      </c>
      <c r="D1" s="118">
        <f>Normas!C37</f>
        <v>4142259255</v>
      </c>
      <c r="E1" s="84">
        <f ca="1">+Resultado!E3</f>
        <v>1</v>
      </c>
      <c r="F1" s="84">
        <f ca="1">+Resultado!F3</f>
        <v>1</v>
      </c>
      <c r="G1" s="84" t="str">
        <f ca="1">+Resultado!G3</f>
        <v>x</v>
      </c>
      <c r="H1" s="84">
        <f ca="1">+Resultado!H3</f>
        <v>2</v>
      </c>
      <c r="I1" s="84">
        <f ca="1">+Resultado!I3</f>
        <v>2</v>
      </c>
      <c r="J1" s="84" t="str">
        <f ca="1">+Resultado!J3</f>
        <v>x</v>
      </c>
      <c r="K1" s="84">
        <f ca="1">+Resultado!K3</f>
        <v>1</v>
      </c>
      <c r="L1" s="84">
        <f ca="1">+Resultado!L3</f>
        <v>1</v>
      </c>
      <c r="M1" s="84" t="str">
        <f ca="1">+Resultado!M3</f>
        <v>x</v>
      </c>
      <c r="N1" s="84">
        <f ca="1">+Resultado!N3</f>
        <v>3</v>
      </c>
      <c r="O1" s="84">
        <f ca="1">+Resultado!O3</f>
        <v>1</v>
      </c>
      <c r="P1" s="84">
        <f ca="1">+Resultado!P3</f>
        <v>1</v>
      </c>
      <c r="Q1" s="84">
        <f ca="1">+Resultado!Q3</f>
        <v>2</v>
      </c>
      <c r="R1" s="84">
        <f ca="1">+Resultado!R3</f>
        <v>0</v>
      </c>
      <c r="S1" s="84">
        <f ca="1">+Resultado!S3</f>
        <v>1</v>
      </c>
      <c r="T1" s="84">
        <f ca="1">+Resultado!T3</f>
        <v>4</v>
      </c>
      <c r="U1" s="84">
        <f ca="1">+Resultado!U3</f>
        <v>0</v>
      </c>
      <c r="V1" s="84">
        <f ca="1">+Resultado!V3</f>
        <v>1</v>
      </c>
      <c r="W1" s="84">
        <f ca="1">+Resultado!W3</f>
        <v>1</v>
      </c>
      <c r="X1" s="84">
        <f ca="1">+Resultado!X3</f>
        <v>0</v>
      </c>
      <c r="Y1" s="84">
        <f ca="1">+Resultado!Y3</f>
        <v>1</v>
      </c>
      <c r="Z1" s="84">
        <f ca="1">+Resultado!Z3</f>
        <v>2</v>
      </c>
      <c r="AA1" s="84">
        <f ca="1">+Resultado!AA3</f>
        <v>0</v>
      </c>
      <c r="AB1" s="84">
        <f ca="1">+Resultado!AB3</f>
        <v>1</v>
      </c>
      <c r="AC1" s="84">
        <f ca="1">+Resultado!AC3</f>
        <v>1</v>
      </c>
      <c r="AD1" s="84">
        <f ca="1">+Resultado!AD3</f>
        <v>3</v>
      </c>
      <c r="AE1" s="84">
        <f ca="1">+Resultado!AE3</f>
        <v>2</v>
      </c>
      <c r="AF1" s="84">
        <f ca="1">+Resultado!AF3</f>
        <v>1</v>
      </c>
      <c r="AG1" s="84">
        <f ca="1">+Resultado!AG3</f>
        <v>2</v>
      </c>
      <c r="AH1" s="84">
        <f ca="1">+Resultado!AH3</f>
        <v>2</v>
      </c>
      <c r="AI1" s="84">
        <f ca="1">+Resultado!AI3</f>
        <v>1</v>
      </c>
      <c r="AJ1" s="84">
        <f ca="1">+Resultado!AJ3</f>
        <v>0</v>
      </c>
      <c r="AK1" s="84">
        <f ca="1">+Resultado!AK3</f>
        <v>1</v>
      </c>
      <c r="AL1" s="84">
        <f ca="1">+Resultado!AL3</f>
        <v>2</v>
      </c>
      <c r="AM1" s="84">
        <f ca="1">+Resultado!AM3</f>
        <v>1</v>
      </c>
      <c r="AN1" s="84">
        <f ca="1">+Resultado!AN3</f>
        <v>1</v>
      </c>
      <c r="AO1" s="84">
        <f ca="1">+Resultado!AO3</f>
        <v>1</v>
      </c>
      <c r="AP1" s="84">
        <f ca="1">+Resultado!AP3</f>
        <v>2</v>
      </c>
      <c r="AQ1" s="84">
        <f ca="1">+Resultado!AQ3</f>
        <v>2</v>
      </c>
      <c r="AR1" s="84">
        <f ca="1">+Resultado!AR3</f>
        <v>4</v>
      </c>
      <c r="AS1" s="84">
        <f ca="1">+Resultado!AS3</f>
        <v>2</v>
      </c>
      <c r="AT1" s="84">
        <f ca="1">+Resultado!AT3</f>
        <v>1</v>
      </c>
      <c r="AU1" s="84">
        <f ca="1">+Resultado!AU3</f>
        <v>3</v>
      </c>
      <c r="AV1" s="84">
        <f ca="1">+Resultado!AV3</f>
        <v>1</v>
      </c>
      <c r="AW1" s="84">
        <f ca="1">+Resultado!AW3</f>
        <v>1</v>
      </c>
      <c r="AX1" s="84">
        <f ca="1">+Resultado!AX3</f>
        <v>2</v>
      </c>
      <c r="AY1" s="84">
        <f ca="1">+Resultado!AY3</f>
        <v>2</v>
      </c>
      <c r="AZ1" s="84" t="str">
        <f ca="1">+Resultado!AZ3</f>
        <v>x</v>
      </c>
      <c r="BA1" s="84">
        <f ca="1">+Resultado!BA3</f>
        <v>3</v>
      </c>
      <c r="BB1" s="84">
        <f ca="1">+Resultado!BB3</f>
        <v>0</v>
      </c>
      <c r="BC1" s="84">
        <f ca="1">+Resultado!BC3</f>
        <v>1</v>
      </c>
      <c r="BD1" s="84">
        <f ca="1">+Resultado!BD3</f>
        <v>0</v>
      </c>
      <c r="BE1" s="84">
        <f ca="1">+Resultado!BE3</f>
        <v>2</v>
      </c>
      <c r="BF1" s="84">
        <f ca="1">+Resultado!BF3</f>
        <v>2</v>
      </c>
      <c r="BG1" s="84">
        <f ca="1">+Resultado!BG3</f>
        <v>2</v>
      </c>
      <c r="BH1" s="84">
        <f ca="1">+Resultado!BH3</f>
        <v>3</v>
      </c>
      <c r="BI1" s="84">
        <f ca="1">+Resultado!BI3</f>
        <v>2</v>
      </c>
      <c r="BJ1" s="84">
        <f ca="1">+Resultado!BJ3</f>
        <v>1</v>
      </c>
      <c r="BK1" s="84">
        <f ca="1">+Resultado!BK3</f>
        <v>2</v>
      </c>
      <c r="BL1" s="84">
        <f ca="1">+Resultado!BL3</f>
        <v>2</v>
      </c>
      <c r="BM1" s="84">
        <f ca="1">+Resultado!BM3</f>
        <v>0</v>
      </c>
      <c r="BN1" s="84">
        <f ca="1">+Resultado!BN3</f>
        <v>1</v>
      </c>
      <c r="BO1" s="84">
        <f ca="1">+Resultado!BO3</f>
        <v>2</v>
      </c>
      <c r="BP1" s="84">
        <f ca="1">+Resultado!BP3</f>
        <v>2</v>
      </c>
      <c r="BQ1" s="84">
        <f ca="1">+Resultado!BQ3</f>
        <v>1</v>
      </c>
      <c r="BR1" s="84">
        <f ca="1">+Resultado!BR3</f>
        <v>1</v>
      </c>
      <c r="BS1" s="84">
        <f ca="1">+Resultado!BS3</f>
        <v>3</v>
      </c>
      <c r="BT1" s="84">
        <f ca="1">+Resultado!BT3</f>
        <v>2</v>
      </c>
      <c r="BU1" s="84">
        <f ca="1">+Resultado!BU3</f>
        <v>1</v>
      </c>
      <c r="BV1" s="84">
        <f ca="1">+Resultado!BV3</f>
        <v>0</v>
      </c>
      <c r="BW1" s="84">
        <f ca="1">+Resultado!BW3</f>
        <v>0</v>
      </c>
      <c r="BX1" s="84" t="str">
        <f ca="1">+Resultado!BX3</f>
        <v>x</v>
      </c>
      <c r="BY1" s="84" t="str">
        <f ca="1">+Resultado!BY3</f>
        <v>Argentina</v>
      </c>
      <c r="BZ1" s="84" t="str">
        <f ca="1">+Resultado!BZ3</f>
        <v>Ecuador</v>
      </c>
      <c r="CA1" s="84" t="str">
        <f ca="1">+Resultado!CA3</f>
        <v>Uruguay</v>
      </c>
      <c r="CB1" s="84" t="str">
        <f ca="1">+Resultado!CB3</f>
        <v>Brasil</v>
      </c>
      <c r="CC1" s="84" t="str">
        <f ca="1">+Resultado!CC3</f>
        <v>Argentina</v>
      </c>
      <c r="CD1" s="84" t="str">
        <f ca="1">+Resultado!CD3</f>
        <v>Venezuela</v>
      </c>
      <c r="CE1" s="84" t="str">
        <f ca="1">+Resultado!CE3</f>
        <v>Ecuador</v>
      </c>
      <c r="CF1" s="84" t="str">
        <f ca="1">+Resultado!CF3</f>
        <v>Chile</v>
      </c>
      <c r="CG1" s="84" t="str">
        <f ca="1">+Resultado!CG3</f>
        <v>Brasil</v>
      </c>
      <c r="CH1" s="84" t="str">
        <f ca="1">+Resultado!CH3</f>
        <v>Estados Unidos</v>
      </c>
      <c r="CI1" s="84" t="str">
        <f ca="1">+Resultado!CI3</f>
        <v>Uruguay</v>
      </c>
      <c r="CJ1" s="84" t="str">
        <f ca="1">+Resultado!CJ3</f>
        <v>Colombia</v>
      </c>
      <c r="CK1" s="84" t="str">
        <f ca="1">+Resultado!CK3</f>
        <v>Argentina</v>
      </c>
      <c r="CL1" s="84" t="str">
        <f ca="1">+Resultado!CL3</f>
        <v>Ecuador</v>
      </c>
      <c r="CM1" s="84" t="str">
        <f ca="1">+Resultado!CM3</f>
        <v>Uruguay</v>
      </c>
      <c r="CN1" s="84" t="str">
        <f ca="1">+Resultado!CN3</f>
        <v>Brasil</v>
      </c>
      <c r="CO1" s="84" t="str">
        <f ca="1">+Resultado!CO3</f>
        <v>Argentina</v>
      </c>
      <c r="CP1" s="84" t="str">
        <f ca="1">+Resultado!CP3</f>
        <v>Uruguay</v>
      </c>
      <c r="CQ1" s="84" t="str">
        <f ca="1">+Resultado!CQ3</f>
        <v>Argentina</v>
      </c>
      <c r="CR1" s="84">
        <f ca="1">+Resultado!CR3</f>
        <v>2</v>
      </c>
      <c r="CS1" s="84">
        <f ca="1">+Resultado!CS3</f>
        <v>1</v>
      </c>
      <c r="CT1" s="84">
        <f ca="1">+Resultado!CT3</f>
        <v>1</v>
      </c>
      <c r="CU1" s="84">
        <f ca="1">+Resultado!CU3</f>
        <v>1</v>
      </c>
      <c r="CV1" s="84">
        <f ca="1">+Resultado!CV3</f>
        <v>0</v>
      </c>
      <c r="CW1" s="84">
        <f ca="1">+Resultado!CW3</f>
        <v>1</v>
      </c>
      <c r="CX1" s="84">
        <f ca="1">+Resultado!CX3</f>
        <v>3</v>
      </c>
      <c r="CY1" s="84">
        <f ca="1">+Resultado!CY3</f>
        <v>0</v>
      </c>
      <c r="CZ1" s="84">
        <f ca="1">+Resultado!CZ3</f>
        <v>1</v>
      </c>
      <c r="DA1" s="84">
        <f ca="1">+Resultado!DA3</f>
        <v>0</v>
      </c>
      <c r="DB1" s="84">
        <f ca="1">+Resultado!DB3</f>
        <v>0</v>
      </c>
      <c r="DC1" s="84" t="str">
        <f ca="1">+Resultado!DC3</f>
        <v>x</v>
      </c>
      <c r="DD1" s="84">
        <f ca="1">+Resultado!DD3</f>
        <v>2</v>
      </c>
      <c r="DE1" s="84">
        <f ca="1">+Resultado!DE3</f>
        <v>0</v>
      </c>
      <c r="DF1" s="84">
        <f ca="1">+Resultado!DF3</f>
        <v>1</v>
      </c>
      <c r="DG1" s="84">
        <f ca="1">+Resultado!DG3</f>
        <v>2</v>
      </c>
      <c r="DH1" s="84">
        <f ca="1">+Resultado!DH3</f>
        <v>1</v>
      </c>
      <c r="DI1" s="84">
        <f ca="1">+Resultado!DI3</f>
        <v>1</v>
      </c>
      <c r="DJ1" s="84">
        <f ca="1">+Resultado!DJ3</f>
        <v>1</v>
      </c>
      <c r="DK1" s="84">
        <f ca="1">+Resultado!DK3</f>
        <v>3</v>
      </c>
      <c r="DL1" s="84">
        <f ca="1">+Resultado!DL3</f>
        <v>2</v>
      </c>
      <c r="DM1" s="84">
        <f ca="1">+Resultado!DM3</f>
        <v>1</v>
      </c>
      <c r="DN1" s="84">
        <f ca="1">+Resultado!DN3</f>
        <v>0</v>
      </c>
      <c r="DO1" s="84">
        <f ca="1">+Resultado!DO3</f>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2024-06-20T00:01:06Z</dcterms:modified>
</cp:coreProperties>
</file>