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mariem/Downloads/"/>
    </mc:Choice>
  </mc:AlternateContent>
  <xr:revisionPtr revIDLastSave="0" documentId="8_{5E6AAB1E-A5E9-4842-8F3B-640C041E341D}" xr6:coauthVersionLast="47" xr6:coauthVersionMax="47" xr10:uidLastSave="{00000000-0000-0000-0000-000000000000}"/>
  <bookViews>
    <workbookView xWindow="0" yWindow="0" windowWidth="26540" windowHeight="1800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30" i="1"/>
  <c r="O32" i="1"/>
  <c r="O33" i="1"/>
  <c r="N31" i="1"/>
  <c r="N33" i="1"/>
  <c r="N32" i="1"/>
  <c r="N26" i="1"/>
  <c r="O30" i="1"/>
  <c r="N28" i="1"/>
  <c r="O26" i="1"/>
  <c r="O27" i="1"/>
  <c r="O29" i="1"/>
  <c r="O28" i="1"/>
  <c r="O31" i="1"/>
  <c r="N27" i="1"/>
  <c r="N29"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5" i="1"/>
  <c r="N11" i="1"/>
  <c r="O13" i="1"/>
  <c r="O3" i="1"/>
  <c r="O24" i="1"/>
  <c r="O9" i="1"/>
  <c r="N23" i="1"/>
  <c r="N14" i="1"/>
  <c r="O4" i="1"/>
  <c r="N13" i="1"/>
  <c r="O20" i="1"/>
  <c r="N9" i="1"/>
  <c r="O21" i="1"/>
  <c r="N19" i="1"/>
  <c r="O12" i="1"/>
  <c r="O15" i="1"/>
  <c r="N17" i="1"/>
  <c r="O6" i="1"/>
  <c r="O17" i="1"/>
  <c r="N12" i="1"/>
  <c r="O14" i="1"/>
  <c r="O19" i="1"/>
  <c r="N20" i="1"/>
  <c r="N8" i="1"/>
  <c r="O7" i="1"/>
  <c r="O5" i="1"/>
  <c r="O10" i="1"/>
  <c r="N16" i="1"/>
  <c r="O25" i="1"/>
  <c r="O16" i="1"/>
  <c r="O11" i="1"/>
  <c r="N18" i="1"/>
  <c r="N3" i="1"/>
  <c r="N21" i="1"/>
  <c r="O2" i="1"/>
  <c r="O23" i="1"/>
  <c r="O8" i="1"/>
  <c r="N24" i="1"/>
  <c r="O22" i="1"/>
  <c r="N25" i="1"/>
  <c r="N10" i="1"/>
  <c r="N4" i="1"/>
  <c r="O18" i="1"/>
  <c r="N7" i="1"/>
  <c r="N6" i="1"/>
  <c r="N22" i="1"/>
  <c r="N2" i="1"/>
  <c r="N5"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CB3" i="38" a="1"/>
  <c r="CA3" i="38" a="1"/>
  <c r="N15" i="33" a="1"/>
  <c r="N18" i="33" a="1"/>
  <c r="H18" i="33" a="1"/>
  <c r="H12" i="33" a="1"/>
  <c r="N9" i="33" a="1"/>
  <c r="BZ3" i="38" a="1"/>
  <c r="H15" i="33" a="1"/>
  <c r="CB3" i="38" l="1"/>
  <c r="V9" i="46"/>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6" l="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G9" i="35"/>
  <c r="S18" i="33"/>
  <c r="CO1" i="36" l="1"/>
  <c r="H12" i="34"/>
  <c r="O12" i="34"/>
  <c r="CN3" i="38"/>
  <c r="CN1" i="36" s="1"/>
  <c r="S12" i="34"/>
  <c r="CQ7" i="38" l="1"/>
  <c r="CQ10" i="38"/>
  <c r="CQ9" i="38"/>
  <c r="CQ11" i="38"/>
  <c r="CQ13" i="38"/>
  <c r="CQ12" i="38"/>
  <c r="CQ14" i="38"/>
  <c r="CQ8" i="38"/>
  <c r="N9" i="35"/>
  <c r="CM3" i="38"/>
  <c r="G12" i="34"/>
  <c r="N15" i="35"/>
  <c r="H22" i="35" s="1"/>
  <c r="H25" i="35" l="1"/>
  <c r="CQ3" i="38"/>
  <c r="CQ1" i="36" s="1"/>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CP10" i="38"/>
  <c r="CO11" i="38"/>
  <c r="CP13" i="38"/>
  <c r="CP12" i="38"/>
  <c r="CO10" i="38"/>
  <c r="Z8" i="39" s="1"/>
  <c r="CP9" i="38"/>
  <c r="CO14" i="38"/>
  <c r="CP14" i="38"/>
  <c r="CO9" i="38"/>
  <c r="CP7" i="38"/>
  <c r="CP11" i="38"/>
  <c r="CO7" i="38"/>
  <c r="CO8" i="38"/>
  <c r="CO12" i="38"/>
  <c r="CP8" i="38"/>
  <c r="Z7" i="39" l="1"/>
  <c r="Z12" i="39"/>
  <c r="AA12" i="39" s="1"/>
  <c r="AB12" i="39" s="1"/>
  <c r="Z11" i="39"/>
  <c r="AA11" i="39" s="1"/>
  <c r="AB11"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I18" i="39"/>
  <c r="G18" i="39" l="1"/>
  <c r="K18" i="39"/>
  <c r="L18" i="39"/>
  <c r="C16" i="40"/>
  <c r="F16" i="40" s="1" a="1"/>
  <c r="F16" i="40" s="1"/>
  <c r="I11" i="39"/>
  <c r="E11" i="39"/>
  <c r="J11" i="39"/>
  <c r="L11" i="39"/>
  <c r="H11" i="39"/>
  <c r="N11" i="39"/>
  <c r="M11" i="39"/>
  <c r="P11" i="39" s="1"/>
  <c r="F11" i="39"/>
  <c r="G11" i="39"/>
  <c r="K11" i="39"/>
  <c r="F18" i="39"/>
  <c r="J18" i="39"/>
  <c r="M18" i="39"/>
  <c r="P18" i="39" s="1"/>
  <c r="E18" i="39"/>
  <c r="N18" i="39"/>
  <c r="H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J16" i="40"/>
  <c r="O23" i="40" a="1"/>
  <c r="O23" i="40" s="1"/>
  <c r="M23" i="40"/>
  <c r="N23" i="40" s="1"/>
  <c r="G23" i="40"/>
  <c r="H23" i="40" s="1"/>
  <c r="L23" i="40" a="1"/>
  <c r="L23" i="40" s="1"/>
  <c r="F23" i="40" a="1"/>
  <c r="F23" i="40" s="1"/>
  <c r="J23" i="40"/>
  <c r="K23" i="40" s="1"/>
  <c r="I23" i="40" a="1"/>
  <c r="I23" i="40" s="1"/>
  <c r="D23" i="40"/>
  <c r="E23" i="40" s="1"/>
  <c r="M16" i="40" l="1"/>
  <c r="O16" i="40" a="1"/>
  <c r="O16" i="40" s="1"/>
  <c r="L16" i="40" a="1"/>
  <c r="L16" i="40" s="1"/>
  <c r="G16" i="40"/>
  <c r="D16" i="40"/>
  <c r="I16" i="40" a="1"/>
  <c r="I16" i="40" s="1"/>
  <c r="G17" i="40"/>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 r="AA5" i="40"/>
  <c r="Z5" i="40"/>
  <c r="Y5" i="40"/>
  <c r="X5" i="40"/>
  <c r="W5" i="40"/>
  <c r="V5" i="40"/>
  <c r="U5" i="40"/>
  <c r="B20" i="46"/>
  <c r="B19" i="46"/>
  <c r="B18" i="46"/>
  <c r="B17" i="46"/>
  <c r="B16" i="46"/>
  <c r="B15" i="46"/>
  <c r="B14" i="46"/>
  <c r="B13" i="46"/>
  <c r="B12" i="46"/>
  <c r="B11" i="46"/>
  <c r="B10" i="46"/>
  <c r="B9" i="46"/>
  <c r="B20" i="45"/>
  <c r="B19" i="45"/>
  <c r="B18" i="45"/>
  <c r="B17" i="45"/>
  <c r="B16" i="45"/>
  <c r="B15" i="45"/>
  <c r="B14" i="45"/>
  <c r="B13" i="45"/>
  <c r="B12" i="45"/>
  <c r="B11" i="45"/>
  <c r="B10" i="45"/>
  <c r="B9" i="45"/>
  <c r="B20" i="44"/>
  <c r="B19" i="44"/>
  <c r="B18" i="44"/>
  <c r="B17" i="44"/>
  <c r="B16" i="44"/>
  <c r="B15" i="44"/>
  <c r="B14" i="44"/>
  <c r="B13" i="44"/>
  <c r="B12" i="44"/>
  <c r="B11" i="44"/>
  <c r="B10" i="44"/>
  <c r="B9" i="44"/>
  <c r="B20" i="4"/>
  <c r="B19" i="4"/>
  <c r="B18" i="4"/>
  <c r="B17" i="4"/>
  <c r="B16" i="4"/>
  <c r="B15" i="4"/>
  <c r="B14" i="4"/>
  <c r="B13" i="4"/>
  <c r="B12" i="4"/>
  <c r="B11" i="4"/>
  <c r="B10" i="4"/>
  <c r="B9" i="4"/>
</calcChain>
</file>

<file path=xl/metadata.xml><?xml version="1.0" encoding="utf-8"?>
<metadata xmlns="http://schemas.openxmlformats.org/spreadsheetml/2006/main" xmlns:xlrd="http://schemas.microsoft.com/office/spreadsheetml/2017/richdata">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<sst xmlns="http://schemas.openxmlformats.org/spreadsheetml/2006/main" count="666" uniqueCount="206">
  <si>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</si>
  <si>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</si>
  <si>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</si>
  <si>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</si>
  <si>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</si>
  <si>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</si>
  <si>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</si>
  <si>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</si>
  <si>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</si>
  <si>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</si>
  <si>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</si>
  <si>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</si>
  <si>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</si>
  <si>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</si>
  <si>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</si>
  <si>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</si>
  <si>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</si>
  <si>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</si>
  <si>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</si>
  <si>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</si>
  <si>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</si>
  <si>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</si>
  <si>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</si>
  <si>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</si>
  <si>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</si>
  <si>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</si>
  <si>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</si>
  <si>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</si>
  <si>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</si>
  <si>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</si>
  <si>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</si>
  <si>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</si>
  <si>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</si>
  <si>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</si>
  <si>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</si>
  <si>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</si>
  <si>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</si>
  <si>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</si>
  <si>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</si>
  <si>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</si>
  <si>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</si>
  <si>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</si>
  <si>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</si>
  <si>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</si>
  <si>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</si>
  <si>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</si>
  <si>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</si>
  <si>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</si>
  <si>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</si>
  <si>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</si>
  <si>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</si>
  <si>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</si>
  <si>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</si>
  <si>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</si>
  <si>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</si>
  <si>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</si>
  <si>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</si>
  <si>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</si>
  <si>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</si>
  <si>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</si>
  <si>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</si>
  <si>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</si>
  <si>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</si>
  <si>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</si>
  <si>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</si>
  <si>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</si>
  <si>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</si>
  <si>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</si>
  <si>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</si>
  <si>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</si>
  <si>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</si>
  <si>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</si>
  <si>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</si>
  <si>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</si>
  <si>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</si>
  <si>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</si>
  <si>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</si>
  <si>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</si>
  <si>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</si>
  <si>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</si>
  <si>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</si>
  <si>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</si>
  <si>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</si>
  <si>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</si>
  <si>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</si>
  <si>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</si>
  <si>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</si>
  <si>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</si>
  <si>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</si>
  <si>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</si>
  <si>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</si>
  <si>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</si>
  <si>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</si>
  <si>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</si>
  <si>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</si>
  <si>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</si>
  <si>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</si>
  <si>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</si>
  <si>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</si>
  <si>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</si>
  <si>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</si>
  <si>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</si>
  <si>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</si>
  <si>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</si>
  <si>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</si>
  <si>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</si>
  <si>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</si>
  <si>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</si>
  <si>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</si>
  <si>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</si>
  <si>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</si>
  <si>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</si>
  <si>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</si>
  <si>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</si>
  <si>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</si>
  <si>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</si>
  <si>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</si>
  <si>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</si>
  <si>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</si>
  <si>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</si>
  <si>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</si>
  <si>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</si>
  <si>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</si>
  <si>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</si>
  <si>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</si>
  <si>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</si>
  <si>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</si>
  <si>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</si>
  <si>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</si>
  <si>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</si>
  <si>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</si>
  <si>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</si>
  <si>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</si>
  <si>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</si>
  <si>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</si>
  <si>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</si>
  <si>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</si>
  <si>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</si>
  <si>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</si>
  <si>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</si>
  <si>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</si>
  <si>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</si>
  <si>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</si>
  <si>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</si>
  <si>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</si>
  <si>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</si>
  <si>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</si>
  <si>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</si>
  <si>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</si>
  <si>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</si>
  <si>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</si>
  <si>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</si>
  <si>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</si>
  <si>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</si>
  <si>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</si>
  <si>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</si>
  <si>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</si>
  <si>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</si>
  <si>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</si>
  <si>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</si>
  <si>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</si>
  <si>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</si>
  <si>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</si>
  <si>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</si>
  <si>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</si>
  <si>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</si>
  <si>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</si>
  <si>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</si>
  <si>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</si>
  <si>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</si>
  <si>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</si>
  <si>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</si>
  <si>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</si>
  <si>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</si>
  <si>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</si>
  <si>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</si>
  <si>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</si>
  <si>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</si>
  <si>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</si>
  <si>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</si>
  <si>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</si>
  <si>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</si>
  <si>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</si>
  <si>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</si>
  <si>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</si>
  <si>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</si>
  <si>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</si>
  <si>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</si>
  <si>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</si>
  <si>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</si>
  <si>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</si>
  <si>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</si>
  <si>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</si>
  <si>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</si>
  <si>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</si>
  <si>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</si>
  <si>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</si>
  <si>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</si>
  <si>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</si>
  <si>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</si>
  <si>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Nombre ISAAC BERMUDEZ</t>
  </si>
  <si>
    <t>isaacbermudez1@hotmail.com</t>
  </si>
  <si>
    <t>Nombre messi</t>
  </si>
  <si>
    <t xml:space="preserve">Nombre vinicius </t>
  </si>
  <si>
    <t>Nombre endrick</t>
  </si>
  <si>
    <t>Nombre allison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</si>
</sst>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xf numFmtId="0" fontId="4" fillId="3" borderId="32" xfId="1" applyFill="1" applyBorder="1" applyAlignment="1">
      <alignment horizontal="left" inden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microsoft.com/office/2007/relationships/hdphoto" Target="../media/hdphoto2.wdp"/><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07/relationships/hdphoto" Target="../media/hdphoto3.wdp"/><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0.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0.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0.png"/><Relationship Id="rId20" Type="http://schemas.openxmlformats.org/officeDocument/2006/relationships/image" Target="../media/image10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0.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0.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0.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0.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0.png"/><Relationship Id="rId22" Type="http://schemas.openxmlformats.org/officeDocument/2006/relationships/image" Target="../media/image110.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saacbermudez1@hot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zoomScaleNormal="100" workbookViewId="0">
      <selection activeCell="C33" sqref="C33:G33"/>
    </sheetView>
  </sheetViews>
  <sheetFormatPr baseColWidth="10" defaultRowHeight="15" x14ac:dyDescent="0.2"/>
  <cols>
    <col min="2" max="2" width="45" customWidth="1"/>
    <col min="3" max="3" width="8.5" customWidth="1"/>
    <col min="4" max="4" width="10.83203125" customWidth="1"/>
    <col min="5" max="5" width="29.6640625" customWidth="1"/>
    <col min="6" max="6" width="8.5" customWidth="1"/>
    <col min="7" max="7" width="23.5" customWidth="1"/>
    <col min="8" max="8" width="8.5" customWidth="1"/>
    <col min="9" max="9" width="20" customWidth="1"/>
    <col min="10" max="10" width="8.6640625" customWidth="1"/>
    <col min="11" max="11" width="12" customWidth="1"/>
  </cols>
  <sheetData>
    <row r="1" spans="2:13" ht="29" x14ac:dyDescent="0.45">
      <c r="B1" s="265" t="s">
        <v>177</v>
      </c>
      <c r="C1" s="265"/>
      <c r="D1" s="265"/>
      <c r="E1" s="265"/>
      <c r="F1" s="265"/>
      <c r="G1" s="265"/>
      <c r="H1" s="265"/>
      <c r="I1" s="265"/>
      <c r="J1" s="265"/>
      <c r="K1" s="265"/>
      <c r="L1" s="265"/>
    </row>
    <row r="3" spans="2:13" ht="43.5" customHeight="1" x14ac:dyDescent="0.2">
      <c r="B3" s="266" t="s">
        <v>65</v>
      </c>
      <c r="C3" s="266"/>
      <c r="D3" s="266"/>
      <c r="E3" s="266"/>
      <c r="F3" s="266"/>
      <c r="G3" s="266"/>
    </row>
    <row r="4" spans="2:13" ht="16" thickBot="1" x14ac:dyDescent="0.25"/>
    <row r="5" spans="2:13" ht="16" thickBot="1" x14ac:dyDescent="0.25">
      <c r="B5" s="86"/>
      <c r="C5" s="87" t="s">
        <v>66</v>
      </c>
      <c r="D5" s="87" t="s">
        <v>67</v>
      </c>
      <c r="G5" s="267" t="s">
        <v>68</v>
      </c>
      <c r="H5" s="268"/>
      <c r="I5" s="268"/>
      <c r="J5" s="268"/>
      <c r="K5" s="268"/>
      <c r="L5" s="269"/>
    </row>
    <row r="6" spans="2:13" ht="16" thickBot="1" x14ac:dyDescent="0.25">
      <c r="B6" s="89" t="s">
        <v>69</v>
      </c>
      <c r="C6" s="90">
        <v>5</v>
      </c>
      <c r="D6" s="90">
        <f>+C6*24</f>
        <v>120</v>
      </c>
      <c r="E6" s="127"/>
      <c r="G6" s="116" t="s">
        <v>70</v>
      </c>
      <c r="H6" s="117"/>
      <c r="I6" s="116" t="s">
        <v>71</v>
      </c>
      <c r="J6" s="117"/>
      <c r="K6" s="116" t="s">
        <v>72</v>
      </c>
      <c r="L6" s="117"/>
      <c r="M6" s="88"/>
    </row>
    <row r="7" spans="2:13" x14ac:dyDescent="0.2">
      <c r="B7" s="91" t="s">
        <v>73</v>
      </c>
      <c r="C7" s="92">
        <v>0</v>
      </c>
      <c r="D7" s="90">
        <f>+C7*24</f>
        <v>0</v>
      </c>
      <c r="E7" s="127"/>
      <c r="G7" s="111" t="s">
        <v>74</v>
      </c>
      <c r="H7" s="93">
        <v>1</v>
      </c>
      <c r="I7" s="111" t="s">
        <v>74</v>
      </c>
      <c r="J7" s="93">
        <v>1</v>
      </c>
      <c r="K7" s="111" t="s">
        <v>74</v>
      </c>
      <c r="L7" s="93">
        <v>1</v>
      </c>
    </row>
    <row r="8" spans="2:13" ht="16" thickBot="1" x14ac:dyDescent="0.25">
      <c r="B8" s="94" t="s">
        <v>75</v>
      </c>
      <c r="C8" s="95">
        <v>5</v>
      </c>
      <c r="D8" s="95">
        <f>+D6</f>
        <v>120</v>
      </c>
      <c r="E8" s="127"/>
      <c r="G8" s="111" t="s">
        <v>76</v>
      </c>
      <c r="H8" s="93">
        <v>0</v>
      </c>
      <c r="I8" s="111" t="s">
        <v>76</v>
      </c>
      <c r="J8" s="93">
        <v>0</v>
      </c>
      <c r="K8" s="111" t="s">
        <v>76</v>
      </c>
      <c r="L8" s="93">
        <v>0</v>
      </c>
    </row>
    <row r="9" spans="2:13" ht="16" thickBot="1" x14ac:dyDescent="0.25">
      <c r="B9" s="96" t="s">
        <v>80</v>
      </c>
      <c r="C9" s="90">
        <v>5</v>
      </c>
      <c r="D9" s="90">
        <f>+C9*4</f>
        <v>20</v>
      </c>
      <c r="E9" s="127"/>
      <c r="G9" s="111" t="s">
        <v>77</v>
      </c>
      <c r="H9" s="93">
        <v>0</v>
      </c>
      <c r="I9" s="111" t="s">
        <v>77</v>
      </c>
      <c r="J9" s="93">
        <v>0</v>
      </c>
      <c r="K9" s="111" t="s">
        <v>77</v>
      </c>
      <c r="L9" s="93">
        <v>0</v>
      </c>
    </row>
    <row r="10" spans="2:13" x14ac:dyDescent="0.2">
      <c r="B10" s="97" t="s">
        <v>82</v>
      </c>
      <c r="C10" s="92">
        <f>+C7*2</f>
        <v>0</v>
      </c>
      <c r="D10" s="90">
        <f>+C10*24</f>
        <v>0</v>
      </c>
      <c r="E10" s="127"/>
      <c r="G10" s="111" t="s">
        <v>78</v>
      </c>
      <c r="H10" s="93">
        <v>0</v>
      </c>
      <c r="I10" s="111" t="s">
        <v>78</v>
      </c>
      <c r="J10" s="93">
        <v>0</v>
      </c>
      <c r="K10" s="111" t="s">
        <v>78</v>
      </c>
      <c r="L10" s="93">
        <v>0</v>
      </c>
    </row>
    <row r="11" spans="2:13" ht="16" thickBot="1" x14ac:dyDescent="0.25">
      <c r="B11" s="100" t="s">
        <v>84</v>
      </c>
      <c r="C11" s="95">
        <v>5</v>
      </c>
      <c r="D11" s="95">
        <f>+D9</f>
        <v>20</v>
      </c>
      <c r="E11" s="127"/>
      <c r="G11" s="111" t="s">
        <v>79</v>
      </c>
      <c r="H11" s="93">
        <v>0</v>
      </c>
      <c r="I11" s="111" t="s">
        <v>79</v>
      </c>
      <c r="J11" s="93">
        <v>0</v>
      </c>
      <c r="K11" s="111" t="s">
        <v>79</v>
      </c>
      <c r="L11" s="93">
        <v>0</v>
      </c>
    </row>
    <row r="12" spans="2:13" ht="16" thickBot="1" x14ac:dyDescent="0.25">
      <c r="B12" s="101" t="s">
        <v>85</v>
      </c>
      <c r="C12" s="90">
        <v>5</v>
      </c>
      <c r="D12" s="90">
        <f>+C12*2</f>
        <v>10</v>
      </c>
      <c r="E12" s="127"/>
      <c r="G12" s="111" t="s">
        <v>81</v>
      </c>
      <c r="H12" s="93">
        <v>0</v>
      </c>
      <c r="I12" s="111" t="s">
        <v>81</v>
      </c>
      <c r="J12" s="93">
        <v>0</v>
      </c>
      <c r="K12" s="111" t="s">
        <v>81</v>
      </c>
      <c r="L12" s="93">
        <v>0</v>
      </c>
    </row>
    <row r="13" spans="2:13" ht="16" thickBot="1" x14ac:dyDescent="0.25">
      <c r="B13" s="102" t="s">
        <v>86</v>
      </c>
      <c r="C13" s="92">
        <f>C10*2</f>
        <v>0</v>
      </c>
      <c r="D13" s="90">
        <f>+C13*24</f>
        <v>0</v>
      </c>
      <c r="E13" s="127"/>
      <c r="G13" s="112" t="s">
        <v>83</v>
      </c>
      <c r="H13" s="98">
        <v>0</v>
      </c>
      <c r="I13" s="112"/>
      <c r="J13" s="98"/>
      <c r="K13" s="112"/>
      <c r="L13" s="99"/>
    </row>
    <row r="14" spans="2:13" ht="16" thickBot="1" x14ac:dyDescent="0.25">
      <c r="B14" s="103" t="s">
        <v>87</v>
      </c>
      <c r="C14" s="95">
        <v>5</v>
      </c>
      <c r="D14" s="95">
        <f>+D12</f>
        <v>10</v>
      </c>
      <c r="E14" s="127"/>
      <c r="G14" s="111" t="s">
        <v>98</v>
      </c>
      <c r="H14" s="114">
        <f>SUM(H7:H12)+H13*6</f>
        <v>1</v>
      </c>
      <c r="I14" s="111" t="s">
        <v>98</v>
      </c>
      <c r="J14" s="114">
        <f>SUM(J7:J12)</f>
        <v>1</v>
      </c>
      <c r="K14" s="111" t="s">
        <v>98</v>
      </c>
      <c r="L14" s="114">
        <f>SUM(L7:L12)</f>
        <v>1</v>
      </c>
    </row>
    <row r="15" spans="2:13" ht="16" thickBot="1" x14ac:dyDescent="0.25">
      <c r="B15" s="104" t="s">
        <v>88</v>
      </c>
      <c r="C15" s="90">
        <v>5</v>
      </c>
      <c r="D15" s="90">
        <f>+C15*2</f>
        <v>10</v>
      </c>
      <c r="E15" s="127"/>
    </row>
    <row r="16" spans="2:13" x14ac:dyDescent="0.2">
      <c r="B16" s="105" t="s">
        <v>89</v>
      </c>
      <c r="C16" s="92">
        <f>+C13*2</f>
        <v>0</v>
      </c>
      <c r="D16" s="90">
        <f>+C16*24</f>
        <v>0</v>
      </c>
      <c r="E16" s="127"/>
    </row>
    <row r="17" spans="2:5" ht="16" thickBot="1" x14ac:dyDescent="0.25">
      <c r="B17" s="106" t="s">
        <v>90</v>
      </c>
      <c r="C17" s="95">
        <v>5</v>
      </c>
      <c r="D17" s="95">
        <f>+D15</f>
        <v>10</v>
      </c>
      <c r="E17" s="127"/>
    </row>
    <row r="18" spans="2:5" x14ac:dyDescent="0.2">
      <c r="B18" s="253" t="s">
        <v>105</v>
      </c>
      <c r="C18" s="107">
        <v>15</v>
      </c>
      <c r="D18" s="90">
        <f>+C18*4</f>
        <v>60</v>
      </c>
      <c r="E18" s="127"/>
    </row>
    <row r="19" spans="2:5" x14ac:dyDescent="0.2">
      <c r="B19" s="254" t="s">
        <v>91</v>
      </c>
      <c r="C19" s="108">
        <v>20</v>
      </c>
      <c r="D19" s="92">
        <f>+C19*8</f>
        <v>160</v>
      </c>
      <c r="E19" s="127"/>
    </row>
    <row r="20" spans="2:5" x14ac:dyDescent="0.2">
      <c r="B20" s="254" t="s">
        <v>92</v>
      </c>
      <c r="C20" s="108">
        <v>25</v>
      </c>
      <c r="D20" s="92">
        <f>+C20*4</f>
        <v>100</v>
      </c>
      <c r="E20" s="127"/>
    </row>
    <row r="21" spans="2:5" x14ac:dyDescent="0.2">
      <c r="B21" s="254" t="s">
        <v>93</v>
      </c>
      <c r="C21" s="108">
        <v>30</v>
      </c>
      <c r="D21" s="92">
        <f>+C21*2</f>
        <v>60</v>
      </c>
      <c r="E21" s="127"/>
    </row>
    <row r="22" spans="2:5" ht="16" thickBot="1" x14ac:dyDescent="0.25">
      <c r="B22" s="255" t="s">
        <v>94</v>
      </c>
      <c r="C22" s="109">
        <v>50</v>
      </c>
      <c r="D22" s="95">
        <f t="shared" ref="D22:D27" si="0">+C22</f>
        <v>50</v>
      </c>
      <c r="E22" s="127"/>
    </row>
    <row r="23" spans="2:5" ht="16" thickBot="1" x14ac:dyDescent="0.25">
      <c r="B23" s="262" t="s">
        <v>195</v>
      </c>
      <c r="C23" s="109">
        <v>10</v>
      </c>
      <c r="D23" s="95">
        <f t="shared" si="0"/>
        <v>10</v>
      </c>
      <c r="E23" s="262" t="s">
        <v>203</v>
      </c>
    </row>
    <row r="24" spans="2:5" ht="16" thickBot="1" x14ac:dyDescent="0.25">
      <c r="B24" s="262" t="s">
        <v>196</v>
      </c>
      <c r="C24" s="109">
        <v>10</v>
      </c>
      <c r="D24" s="95">
        <f t="shared" si="0"/>
        <v>10</v>
      </c>
      <c r="E24" s="262" t="s">
        <v>202</v>
      </c>
    </row>
    <row r="25" spans="2:5" ht="16" thickBot="1" x14ac:dyDescent="0.25">
      <c r="B25" s="262" t="s">
        <v>197</v>
      </c>
      <c r="C25" s="109">
        <v>10</v>
      </c>
      <c r="D25" s="95">
        <f t="shared" si="0"/>
        <v>10</v>
      </c>
      <c r="E25" s="262" t="s">
        <v>203</v>
      </c>
    </row>
    <row r="26" spans="2:5" ht="16" thickBot="1" x14ac:dyDescent="0.25">
      <c r="B26" s="262" t="s">
        <v>198</v>
      </c>
      <c r="C26" s="109">
        <v>10</v>
      </c>
      <c r="D26" s="95">
        <f t="shared" si="0"/>
        <v>10</v>
      </c>
      <c r="E26" s="262" t="s">
        <v>204</v>
      </c>
    </row>
    <row r="27" spans="2:5" ht="16" thickBot="1" x14ac:dyDescent="0.25">
      <c r="B27" s="262" t="s">
        <v>199</v>
      </c>
      <c r="C27" s="109">
        <v>10</v>
      </c>
      <c r="D27" s="95">
        <f t="shared" si="0"/>
        <v>10</v>
      </c>
      <c r="E27" s="262" t="s">
        <v>205</v>
      </c>
    </row>
    <row r="32" spans="2:5" ht="16" thickBot="1" x14ac:dyDescent="0.25"/>
    <row r="33" spans="2:7" ht="16" thickBot="1" x14ac:dyDescent="0.25">
      <c r="B33" s="113" t="s">
        <v>95</v>
      </c>
      <c r="C33" s="270" t="s">
        <v>200</v>
      </c>
      <c r="D33" s="271"/>
      <c r="E33" s="271"/>
      <c r="F33" s="271"/>
      <c r="G33" s="272"/>
    </row>
    <row r="34" spans="2:7" ht="16" thickBot="1" x14ac:dyDescent="0.25">
      <c r="B34" s="110"/>
    </row>
    <row r="35" spans="2:7" ht="16" thickBot="1" x14ac:dyDescent="0.25">
      <c r="B35" s="113">
        <v>1</v>
      </c>
      <c r="C35" s="300" t="s">
        <v>201</v>
      </c>
      <c r="D35" s="271"/>
      <c r="E35" s="271"/>
      <c r="F35" s="271"/>
      <c r="G35" s="272"/>
    </row>
    <row r="36" spans="2:7" ht="16" thickBot="1" x14ac:dyDescent="0.25"/>
    <row r="37" spans="2:7" ht="16" thickBot="1" x14ac:dyDescent="0.25">
      <c r="B37" s="113" t="s">
        <v>97</v>
      </c>
      <c r="C37" s="263"/>
      <c r="D37" s="264"/>
      <c r="F37" s="113" t="s">
        <v>176</v>
      </c>
      <c r="G37" s="243">
        <v>-4</v>
      </c>
    </row>
  </sheetData>
  <mergeCells count="6">
    <mergeCell ref="C37:D37"/>
    <mergeCell ref="B1:L1"/>
    <mergeCell ref="B3:G3"/>
    <mergeCell ref="G5:L5"/>
    <mergeCell ref="C33:G33"/>
    <mergeCell ref="C35:G35"/>
  </mergeCells>
  <hyperlinks>
    <hyperlink ref="C35" r:id="rId1" xr:uid="{2E7E78A0-2DA7-FD4F-9234-F58DF99BF4D1}"/>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5" defaultRowHeight="15" customHeight="1" x14ac:dyDescent="0.2"/>
  <cols>
    <col min="1" max="1" width="3.5" style="50" customWidth="1"/>
    <col min="2" max="2" width="3.6640625" style="50" customWidth="1"/>
    <col min="3" max="3" width="7.6640625" style="50" customWidth="1"/>
    <col min="4" max="4" width="6.6640625" style="50" customWidth="1"/>
    <col min="5" max="5" width="2.5" style="50" customWidth="1"/>
    <col min="6" max="6" width="5.6640625" style="50" customWidth="1"/>
    <col min="7" max="7" width="19.6640625" style="50" customWidth="1"/>
    <col min="8" max="8" width="6.6640625" style="50" customWidth="1"/>
    <col min="9" max="9" width="2.6640625" style="50" customWidth="1"/>
    <col min="10" max="10" width="6.6640625" style="50" customWidth="1"/>
    <col min="11" max="11" width="19.6640625" style="50" customWidth="1"/>
    <col min="12" max="12" width="5.6640625" style="50" customWidth="1"/>
    <col min="13" max="13" width="2.5" style="50" customWidth="1"/>
    <col min="14" max="14" width="17.6640625" style="50" customWidth="1"/>
    <col min="15" max="15" width="2.6640625" style="50" customWidth="1"/>
    <col min="16" max="16" width="18.6640625" style="50" customWidth="1"/>
    <col min="17" max="17" width="5.6640625" style="50" customWidth="1"/>
    <col min="18" max="18" width="1.6640625" style="50" customWidth="1"/>
    <col min="19" max="25" width="4" style="50" customWidth="1"/>
    <col min="26" max="26" width="6" style="54" customWidth="1"/>
    <col min="27" max="29" width="5" style="53" customWidth="1"/>
    <col min="30" max="30" width="14.83203125" style="53" customWidth="1"/>
    <col min="31" max="37" width="5" style="53" customWidth="1"/>
    <col min="38" max="40" width="8.5" style="53" customWidth="1"/>
    <col min="41" max="42" width="5" style="53" customWidth="1"/>
    <col min="43" max="43" width="7.6640625" style="54" customWidth="1"/>
    <col min="44" max="44" width="14.5" style="54"/>
    <col min="45" max="45" width="15" style="50" customWidth="1"/>
    <col min="46" max="16384" width="14.5" style="50"/>
  </cols>
  <sheetData>
    <row r="1" spans="2:47" s="54" customFormat="1" ht="19" x14ac:dyDescent="0.2">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3</v>
      </c>
      <c r="AU5" s="245">
        <f>+VLOOKUP(AU7,$AD$9:$AF$15,3,0)</f>
        <v>4</v>
      </c>
    </row>
    <row r="6" spans="2:47" s="54" customFormat="1" ht="22.25" customHeight="1" thickBot="1" x14ac:dyDescent="0.25">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2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25" customHeight="1" x14ac:dyDescent="0.2">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str">
        <f>IFERROR(VLOOKUP(P9,Aux!A:C,3,0),"")</f>
        <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6</v>
      </c>
      <c r="AK9" s="53" cm="1">
        <f t="array" ref="AK9">SUM(($G$9:$G$22=$AD9)*($J$9:$J$22)+($K$9:$K$22=$AD9)*($H$9:$H$22))</f>
        <v>1</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2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25" customHeight="1" x14ac:dyDescent="0.2">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2</v>
      </c>
      <c r="K11" s="38" t="str">
        <f>+VLOOKUP(B11,Aux!F:S,6,0)</f>
        <v>Chile</v>
      </c>
      <c r="L11" s="169" t="e" vm="4">
        <f>IFERROR(VLOOKUP(K11,Aux!$A:$C,3,0),"")</f>
        <v>#VALUE!</v>
      </c>
      <c r="M11" s="38"/>
      <c r="N11" s="46" t="str">
        <f>+_xlfn.XLOOKUP(B11,Aux!F:F,Aux!L:L)</f>
        <v>AT&amp;T Stadium - ARLINGTON, TX</v>
      </c>
      <c r="O11"/>
      <c r="P11" s="156" t="str">
        <f>+INDEX($AD$9:$AD$16,MATCH(2,$AO$9:$AO$15,0))</f>
        <v>Canadá</v>
      </c>
      <c r="Q11" s="157" t="str">
        <f>IFERROR(VLOOKUP(P11,Aux!A:C,3,0),"")</f>
        <v/>
      </c>
      <c r="R11" s="158"/>
      <c r="S11" s="159">
        <f>+VLOOKUP($P11,$AD$9:$AK$15,3,0)</f>
        <v>4</v>
      </c>
      <c r="T11" s="160">
        <f>+VLOOKUP($P11,$AD$9:$AK$15,4,0)</f>
        <v>1</v>
      </c>
      <c r="U11" s="160">
        <f>+VLOOKUP($P11,$AD$9:$AK$15,5,0)</f>
        <v>1</v>
      </c>
      <c r="V11" s="160">
        <f>+VLOOKUP($P11,$AD$9:$AK$15,6,0)</f>
        <v>1</v>
      </c>
      <c r="W11" s="161">
        <f>+VLOOKUP($P11,$AD$9:$AK$15,7,0)</f>
        <v>2</v>
      </c>
      <c r="X11" s="161">
        <f>+VLOOKUP($P11,$AD$9:$AK$15,8,0)</f>
        <v>3</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1</v>
      </c>
      <c r="AK11" s="53" cm="1">
        <f t="array" ref="AK11">SUM(($G$9:$G$22=$AD11)*($J$9:$J$22)+($K$9:$K$22=$AD11)*($H$9:$H$22))</f>
        <v>3</v>
      </c>
      <c r="AL11" s="252">
        <f>+SUMIFS($AR11:$AU11,$AR$5:$AU$5,AF11)</f>
        <v>0</v>
      </c>
      <c r="AM11" s="252">
        <f>+AJ11-AK11</f>
        <v>-2</v>
      </c>
      <c r="AN11" s="53">
        <f>+_xlfn.RANK.EQ(AF11,$AF$9:$AF$15)+_xlfn.RANK.EQ(AM11,$AM$9:$AM$15)/10+_xlfn.RANK.EQ(AJ11,$AJ$9:$AJ$15)/100+_xlfn.RANK.EQ(AL11,$AL$9:$AL$15)/1000+ROW()/1000000</f>
        <v>4.341011</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2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25" customHeight="1" x14ac:dyDescent="0.2">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0</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str">
        <f>IFERROR(VLOOKUP(P13,Aux!A:C,3,0),"")</f>
        <v/>
      </c>
      <c r="R13" s="158"/>
      <c r="S13" s="159">
        <f>+VLOOKUP($P13,$AD$9:$AK$15,3,0)</f>
        <v>3</v>
      </c>
      <c r="T13" s="160">
        <f>+VLOOKUP($P13,$AD$9:$AK$15,4,0)</f>
        <v>1</v>
      </c>
      <c r="U13" s="160">
        <f>+VLOOKUP($P13,$AD$9:$AK$15,5,0)</f>
        <v>0</v>
      </c>
      <c r="V13" s="160">
        <f>+VLOOKUP($P13,$AD$9:$AK$15,6,0)</f>
        <v>2</v>
      </c>
      <c r="W13" s="161">
        <f>+VLOOKUP($P13,$AD$9:$AK$15,7,0)</f>
        <v>4</v>
      </c>
      <c r="X13" s="161">
        <f>+VLOOKUP($P13,$AD$9:$AK$15,8,0)</f>
        <v>6</v>
      </c>
      <c r="Y13" s="161">
        <f>+W13-X13</f>
        <v>-2</v>
      </c>
      <c r="Z13" s="60"/>
      <c r="AA13" s="57"/>
      <c r="AB13" s="53"/>
      <c r="AC13" s="53">
        <v>3</v>
      </c>
      <c r="AD13" s="251" t="str">
        <f>+VLOOKUP($AD$5&amp;AC13,Aux!S:T,2,0)</f>
        <v>Chile</v>
      </c>
      <c r="AE13" s="53">
        <f t="shared" si="0"/>
        <v>3</v>
      </c>
      <c r="AF13" s="53">
        <f t="shared" si="1"/>
        <v>3</v>
      </c>
      <c r="AG13" s="53" cm="1">
        <f t="array" ref="AG13">SUM(($G$9:$G$22=$AD13)*($H$9:$H$22&gt;$J$9:$J$22)+($K$9:$K$22=$AD13)*($H$9:$H$22&lt;$J$9:$J$22))</f>
        <v>1</v>
      </c>
      <c r="AH13" s="53" cm="1">
        <f t="array" ref="AH13">SUM(($G$9:$G$22=$AD13)*($H$9:$H$22=$J$9:$J$22)*($H$9:$H$22&lt;&gt;"")+($K$9:$K$22=$AD13)*($H$9:$H$22=$J$9:$J$22)*($H$9:$H$22&lt;&gt;""))</f>
        <v>0</v>
      </c>
      <c r="AI13" s="53" cm="1">
        <f t="array" ref="AI13">SUM(($G$9:$G$22=$AD13)*($H$9:$H$22&lt;$J$9:$J$22)+($K$9:$K$22=$AD13)*($H$9:$H$22&gt;$J$9:$J$22))</f>
        <v>2</v>
      </c>
      <c r="AJ13" s="53" cm="1">
        <f t="array" ref="AJ13">SUM(($G$9:$G$22=$AD13)*($H$9:$H$22)+($K$9:$K$22=$AD13)*($J$9:$J$22))</f>
        <v>4</v>
      </c>
      <c r="AK13" s="53" cm="1">
        <f t="array" ref="AK13">SUM(($G$9:$G$22=$AD13)*($J$9:$J$22)+($K$9:$K$22=$AD13)*($H$9:$H$22))</f>
        <v>6</v>
      </c>
      <c r="AL13" s="252">
        <f>+SUMIFS($AR13:$AU13,$AR$5:$AU$5,AF13)</f>
        <v>0</v>
      </c>
      <c r="AM13" s="252">
        <f>+AJ13-AK13</f>
        <v>-2</v>
      </c>
      <c r="AN13" s="53">
        <f>+_xlfn.RANK.EQ(AF13,$AF$9:$AF$15)+_xlfn.RANK.EQ(AM13,$AM$9:$AM$15)/10+_xlfn.RANK.EQ(AJ13,$AJ$9:$AJ$15)/100+_xlfn.RANK.EQ(AL13,$AL$9:$AL$15)/1000+ROW()/1000000</f>
        <v>3.3210129999999998</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2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25" customHeight="1" x14ac:dyDescent="0.2">
      <c r="B15" s="27">
        <v>10</v>
      </c>
      <c r="C15" s="28">
        <f>+VLOOKUP(B15,Aux!F:AB,4,0)</f>
        <v>45468.875</v>
      </c>
      <c r="D15" s="29">
        <f>+VLOOKUP(B15,Aux!F:AB,4,0)</f>
        <v>45468.875</v>
      </c>
      <c r="E15" s="169"/>
      <c r="F15" s="169" t="e" vm="4">
        <f>IFERROR(VLOOKUP(G15,Aux!$A:$C,3,0),"")</f>
        <v>#VALUE!</v>
      </c>
      <c r="G15" s="30" t="str">
        <f>+VLOOKUP(B15,Aux!F:S,5,0)</f>
        <v>Chile</v>
      </c>
      <c r="H15" s="258">
        <v>1</v>
      </c>
      <c r="I15" s="257" t="s">
        <v>41</v>
      </c>
      <c r="J15" s="258">
        <v>3</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str">
        <f>IFERROR(VLOOKUP(P15,Aux!A:C,3,0),"")</f>
        <v/>
      </c>
      <c r="R15" s="158"/>
      <c r="S15" s="159">
        <f>+VLOOKUP($P15,$AD$9:$AK$15,3,0)</f>
        <v>1</v>
      </c>
      <c r="T15" s="160">
        <f>+VLOOKUP($P15,$AD$9:$AK$15,4,0)</f>
        <v>0</v>
      </c>
      <c r="U15" s="160">
        <f>+VLOOKUP($P15,$AD$9:$AK$15,5,0)</f>
        <v>1</v>
      </c>
      <c r="V15" s="160">
        <f>+VLOOKUP($P15,$AD$9:$AK$15,6,0)</f>
        <v>2</v>
      </c>
      <c r="W15" s="161">
        <f>+VLOOKUP($P15,$AD$9:$AK$15,7,0)</f>
        <v>1</v>
      </c>
      <c r="X15" s="161">
        <f>+VLOOKUP($P15,$AD$9:$AK$15,8,0)</f>
        <v>3</v>
      </c>
      <c r="Y15" s="161">
        <f>+W15-X15</f>
        <v>-2</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3</v>
      </c>
      <c r="AL15" s="252">
        <f>+SUMIFS($AR15:$AU15,$AR$5:$AU$5,AF15)</f>
        <v>0</v>
      </c>
      <c r="AM15" s="252">
        <f>+AJ15-AK15</f>
        <v>-1</v>
      </c>
      <c r="AN15" s="53">
        <f>+_xlfn.RANK.EQ(AF15,$AF$9:$AF$15)+_xlfn.RANK.EQ(AM15,$AM$9:$AM$15)/10+_xlfn.RANK.EQ(AJ15,$AJ$9:$AJ$15)/100+_xlfn.RANK.EQ(AL15,$AL$9:$AL$15)/1000+ROW()/1000000</f>
        <v>2.2310149999999997</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2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25" customHeight="1" thickBot="1" x14ac:dyDescent="0.25">
      <c r="B17" s="27">
        <v>17</v>
      </c>
      <c r="C17" s="28">
        <f>+VLOOKUP(B17,Aux!F:AB,4,0)</f>
        <v>45472.833333333336</v>
      </c>
      <c r="D17" s="29">
        <f>+VLOOKUP(B17,Aux!F:AB,4,0)</f>
        <v>45472.833333333336</v>
      </c>
      <c r="E17" s="169"/>
      <c r="F17" s="169" t="e" vm="1">
        <f>IFERROR(VLOOKUP(G17,Aux!$A:$C,3,0),"")</f>
        <v>#VALUE!</v>
      </c>
      <c r="G17" s="30" t="str">
        <f>+VLOOKUP(B17,Aux!F:S,5,0)</f>
        <v>Argentina</v>
      </c>
      <c r="H17" s="258">
        <v>1</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2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25" customHeight="1" x14ac:dyDescent="0.2">
      <c r="B19" s="27">
        <v>18</v>
      </c>
      <c r="C19" s="28">
        <f>+VLOOKUP(B19,Aux!F:AB,4,0)</f>
        <v>45472.833333333336</v>
      </c>
      <c r="D19" s="29">
        <f>+VLOOKUP(B19,Aux!F:AB,4,0)</f>
        <v>45472.833333333336</v>
      </c>
      <c r="E19" s="169"/>
      <c r="F19" s="169" t="e" vm="2">
        <f>IFERROR(VLOOKUP(G19,Aux!$A:$C,3,0),"")</f>
        <v>#VALUE!</v>
      </c>
      <c r="G19" s="30" t="str">
        <f>+VLOOKUP(B19,Aux!F:S,5,0)</f>
        <v>Canadá</v>
      </c>
      <c r="H19" s="258">
        <v>2</v>
      </c>
      <c r="I19" s="257" t="s">
        <v>41</v>
      </c>
      <c r="J19" s="258">
        <v>1</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2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3" t="s">
        <v>193</v>
      </c>
    </row>
    <row r="24" spans="2:47" ht="15" customHeight="1" thickBot="1" x14ac:dyDescent="0.25">
      <c r="K24" s="284"/>
    </row>
    <row r="25" spans="2:47" ht="15" customHeight="1" x14ac:dyDescent="0.2">
      <c r="K25" s="273" t="s">
        <v>194</v>
      </c>
    </row>
    <row r="26" spans="2:47" ht="15" customHeight="1" thickBot="1" x14ac:dyDescent="0.25">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9" sqref="J19"/>
    </sheetView>
  </sheetViews>
  <sheetFormatPr baseColWidth="10" defaultColWidth="14.5" defaultRowHeight="15" customHeight="1" x14ac:dyDescent="0.2"/>
  <cols>
    <col min="1" max="1" width="3.5" style="50" customWidth="1"/>
    <col min="2" max="2" width="3.6640625" style="50" customWidth="1"/>
    <col min="3" max="3" width="7.6640625" style="50" customWidth="1"/>
    <col min="4" max="4" width="6.6640625" style="50" customWidth="1"/>
    <col min="5" max="5" width="2.5" style="50" customWidth="1"/>
    <col min="6" max="6" width="5.6640625" style="50" customWidth="1"/>
    <col min="7" max="7" width="19.6640625" style="50" customWidth="1"/>
    <col min="8" max="8" width="6.6640625" style="50" customWidth="1"/>
    <col min="9" max="9" width="2.6640625" style="50" customWidth="1"/>
    <col min="10" max="10" width="6.6640625" style="50" customWidth="1"/>
    <col min="11" max="11" width="19.6640625" style="50" customWidth="1"/>
    <col min="12" max="12" width="5.6640625" style="50" customWidth="1"/>
    <col min="13" max="13" width="2.5" style="50" customWidth="1"/>
    <col min="14" max="14" width="17.6640625" style="50" customWidth="1"/>
    <col min="15" max="15" width="2.6640625" style="50" customWidth="1"/>
    <col min="16" max="16" width="18.6640625" style="50" customWidth="1"/>
    <col min="17" max="17" width="5.6640625" style="50" customWidth="1"/>
    <col min="18" max="18" width="1.6640625" style="50" customWidth="1"/>
    <col min="19" max="25" width="4" style="50" customWidth="1"/>
    <col min="26" max="26" width="6" style="54" customWidth="1"/>
    <col min="27" max="29" width="5" style="53" customWidth="1"/>
    <col min="30" max="30" width="14.83203125" style="53" customWidth="1"/>
    <col min="31" max="37" width="5" style="53" customWidth="1"/>
    <col min="38" max="40" width="8.5" style="53" customWidth="1"/>
    <col min="41" max="42" width="5" style="53" customWidth="1"/>
    <col min="43" max="43" width="7.6640625" style="54" customWidth="1"/>
    <col min="44" max="44" width="14.5" style="54"/>
    <col min="45" max="45" width="15" style="50" customWidth="1"/>
    <col min="46" max="16384" width="14.5" style="50"/>
  </cols>
  <sheetData>
    <row r="1" spans="2:47" s="54" customFormat="1" ht="19" x14ac:dyDescent="0.2">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1</v>
      </c>
      <c r="AS5" s="245">
        <f>+VLOOKUP(AS7,$AD$9:$AF$15,3,0)</f>
        <v>6</v>
      </c>
      <c r="AT5" s="245">
        <f>+VLOOKUP(AT7,$AD$9:$AF$15,3,0)</f>
        <v>9</v>
      </c>
      <c r="AU5" s="245">
        <f>+VLOOKUP(AU7,$AD$9:$AF$15,3,0)</f>
        <v>1</v>
      </c>
    </row>
    <row r="6" spans="2:47" s="54" customFormat="1" ht="22.25" customHeight="1" thickBot="1" x14ac:dyDescent="0.25">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2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25" customHeight="1" x14ac:dyDescent="0.2">
      <c r="B9" s="27">
        <v>3</v>
      </c>
      <c r="C9" s="28">
        <f>+VLOOKUP(B9,Aux!F:AB,4,0)</f>
        <v>45465.75</v>
      </c>
      <c r="D9" s="29">
        <f>+VLOOKUP(B9,Aux!F:AB,4,0)</f>
        <v>45465.75</v>
      </c>
      <c r="E9" s="169"/>
      <c r="F9" s="169" t="e" vm="5">
        <f>IFERROR(VLOOKUP(G9,Aux!$A:$C,3,0),"")</f>
        <v>#VALUE!</v>
      </c>
      <c r="G9" s="30" t="str">
        <f>+VLOOKUP(B9,Aux!F:S,5,0)</f>
        <v>Ecuador</v>
      </c>
      <c r="H9" s="258">
        <v>0</v>
      </c>
      <c r="I9" s="257" t="s">
        <v>41</v>
      </c>
      <c r="J9" s="258">
        <v>1</v>
      </c>
      <c r="K9" s="38" t="str">
        <f>+VLOOKUP(B9,Aux!F:S,6,0)</f>
        <v>Venezuela</v>
      </c>
      <c r="L9" s="169" t="e" vm="6">
        <f>IFERROR(VLOOKUP(K9,Aux!$A:$C,3,0),"")</f>
        <v>#VALUE!</v>
      </c>
      <c r="M9" s="38"/>
      <c r="N9" s="46" t="str">
        <f>+_xlfn.XLOOKUP(B9,Aux!F:F,Aux!L:L)</f>
        <v>Levi's® Stadium - SANTA CLARA, CA</v>
      </c>
      <c r="O9"/>
      <c r="P9" s="156" t="str">
        <f>+INDEX($AD$9:$AD$16,MATCH(1,$AO$9:$AO$15,0))</f>
        <v>Venezuela</v>
      </c>
      <c r="Q9" s="157" t="str">
        <f>IFERROR(VLOOKUP(P9,Aux!A:C,3,0),"")</f>
        <v/>
      </c>
      <c r="R9" s="158"/>
      <c r="S9" s="159">
        <f>+VLOOKUP($P9,$AD$9:$AK$15,3,0)</f>
        <v>9</v>
      </c>
      <c r="T9" s="160">
        <f>+VLOOKUP($P9,$AD$9:$AK$15,4,0)</f>
        <v>3</v>
      </c>
      <c r="U9" s="160">
        <f>+VLOOKUP($P9,$AD$9:$AK$15,5,0)</f>
        <v>0</v>
      </c>
      <c r="V9" s="160">
        <f>+VLOOKUP($P9,$AD$9:$AK$15,6,0)</f>
        <v>0</v>
      </c>
      <c r="W9" s="161">
        <f>+VLOOKUP($P9,$AD$9:$AK$15,7,0)</f>
        <v>4</v>
      </c>
      <c r="X9" s="161">
        <f>+VLOOKUP($P9,$AD$9:$AK$15,8,0)</f>
        <v>0</v>
      </c>
      <c r="Y9" s="161">
        <f>+W9-X9</f>
        <v>4</v>
      </c>
      <c r="Z9" s="60"/>
      <c r="AA9" s="57"/>
      <c r="AB9" s="53"/>
      <c r="AC9" s="53">
        <v>1</v>
      </c>
      <c r="AD9" s="251" t="str">
        <f>+VLOOKUP($AD$5&amp;AC9,Aux!S:T,2,0)</f>
        <v>México</v>
      </c>
      <c r="AE9" s="53">
        <f>+AG9+AH9+AI9</f>
        <v>3</v>
      </c>
      <c r="AF9" s="53">
        <f>+AG9*3+AH9</f>
        <v>1</v>
      </c>
      <c r="AG9" s="53" cm="1">
        <f t="array" ref="AG9">SUM(($G$9:$G$22=$AD9)*($H$9:$H$22&gt;$J$9:$J$22)+($K$9:$K$22=$AD9)*($H$9:$H$22&lt;$J$9:$J$22))</f>
        <v>0</v>
      </c>
      <c r="AH9" s="53" cm="1">
        <f t="array" ref="AH9">SUM(($G$9:$G$22=$AD9)*($H$9:$H$22=$J$9:$J$22)*($H$9:$H$22&lt;&gt;"")+($K$9:$K$22=$AD9)*($H$9:$H$22=$J$9:$J$22)*($H$9:$H$22&lt;&gt;""))</f>
        <v>1</v>
      </c>
      <c r="AI9" s="53" cm="1">
        <f t="array" ref="AI9">SUM(($G$9:$G$22=$AD9)*($H$9:$H$22&lt;$J$9:$J$22)+($K$9:$K$22=$AD9)*($H$9:$H$22&gt;$J$9:$J$22))</f>
        <v>2</v>
      </c>
      <c r="AJ9" s="53" cm="1">
        <f t="array" ref="AJ9">SUM(($G$9:$G$22=$AD9)*($H$9:$H$22)+($K$9:$K$22=$AD9)*($J$9:$J$22))</f>
        <v>1</v>
      </c>
      <c r="AK9" s="53" cm="1">
        <f t="array" ref="AK9">SUM(($G$9:$G$22=$AD9)*($J$9:$J$22)+($K$9:$K$22=$AD9)*($H$9:$H$22))</f>
        <v>3</v>
      </c>
      <c r="AL9" s="252">
        <f>+SUMIFS($AR9:$AU9,$AR$5:$AU$5,AF9)</f>
        <v>100</v>
      </c>
      <c r="AM9" s="252">
        <f>+AJ9-AK9</f>
        <v>-2</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2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25" customHeight="1" x14ac:dyDescent="0.2">
      <c r="B11" s="27">
        <v>4</v>
      </c>
      <c r="C11" s="28">
        <f>+VLOOKUP(B11,Aux!F:AB,4,0)</f>
        <v>45465.875000000007</v>
      </c>
      <c r="D11" s="29">
        <f>+VLOOKUP(B11,Aux!F:AB,4,0)</f>
        <v>45465.875000000007</v>
      </c>
      <c r="E11" s="169"/>
      <c r="F11" s="169" t="e" vm="7">
        <f>IFERROR(VLOOKUP(G11,Aux!$A:$C,3,0),"")</f>
        <v>#VALUE!</v>
      </c>
      <c r="G11" s="30" t="str">
        <f>+VLOOKUP(B11,Aux!F:S,5,0)</f>
        <v>México</v>
      </c>
      <c r="H11" s="258">
        <v>0</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str">
        <f>IFERROR(VLOOKUP(P11,Aux!A:C,3,0),"")</f>
        <v/>
      </c>
      <c r="R11" s="158"/>
      <c r="S11" s="159">
        <f>+VLOOKUP($P11,$AD$9:$AK$15,3,0)</f>
        <v>6</v>
      </c>
      <c r="T11" s="160">
        <f>+VLOOKUP($P11,$AD$9:$AK$15,4,0)</f>
        <v>2</v>
      </c>
      <c r="U11" s="160">
        <f>+VLOOKUP($P11,$AD$9:$AK$15,5,0)</f>
        <v>0</v>
      </c>
      <c r="V11" s="160">
        <f>+VLOOKUP($P11,$AD$9:$AK$15,6,0)</f>
        <v>1</v>
      </c>
      <c r="W11" s="161">
        <f>+VLOOKUP($P11,$AD$9:$AK$15,7,0)</f>
        <v>4</v>
      </c>
      <c r="X11" s="161">
        <f>+VLOOKUP($P11,$AD$9:$AK$15,8,0)</f>
        <v>2</v>
      </c>
      <c r="Y11" s="161">
        <f>+W11-X11</f>
        <v>2</v>
      </c>
      <c r="Z11" s="60"/>
      <c r="AA11" s="59"/>
      <c r="AB11" s="245"/>
      <c r="AC11" s="53">
        <v>2</v>
      </c>
      <c r="AD11" s="251" t="str">
        <f>+VLOOKUP($AD$5&amp;AC11,Aux!S:T,2,0)</f>
        <v>Ecuador</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2</v>
      </c>
      <c r="AL11" s="252">
        <f>+SUMIFS($AR11:$AU11,$AR$5:$AU$5,AF11)</f>
        <v>0</v>
      </c>
      <c r="AM11" s="252">
        <f>+AJ11-AK11</f>
        <v>2</v>
      </c>
      <c r="AN11" s="53">
        <f>+_xlfn.RANK.EQ(AF11,$AF$9:$AF$15)+_xlfn.RANK.EQ(AM11,$AM$9:$AM$15)/10+_xlfn.RANK.EQ(AJ11,$AJ$9:$AJ$15)/100+_xlfn.RANK.EQ(AL11,$AL$9:$AL$15)/1000+ROW()/1000000</f>
        <v>2.2130110000000003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2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25" customHeight="1" x14ac:dyDescent="0.2">
      <c r="B13" s="27">
        <v>11</v>
      </c>
      <c r="C13" s="28">
        <f>+VLOOKUP(B13,Aux!F:AB,4,0)</f>
        <v>45469.75</v>
      </c>
      <c r="D13" s="29">
        <f>+VLOOKUP(B13,Aux!F:AB,4,0)</f>
        <v>45469.75</v>
      </c>
      <c r="E13" s="169"/>
      <c r="F13" s="169" t="e" vm="5">
        <f>IFERROR(VLOOKUP(G13,Aux!$A:$C,3,0),"")</f>
        <v>#VALUE!</v>
      </c>
      <c r="G13" s="30" t="str">
        <f>+VLOOKUP(B13,Aux!F:S,5,0)</f>
        <v>Ecuador</v>
      </c>
      <c r="H13" s="258">
        <v>2</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str">
        <f>IFERROR(VLOOKUP(P13,Aux!A:C,3,0),"")</f>
        <v/>
      </c>
      <c r="R13" s="158"/>
      <c r="S13" s="159">
        <f>+VLOOKUP($P13,$AD$9:$AK$15,3,0)</f>
        <v>1</v>
      </c>
      <c r="T13" s="160">
        <f>+VLOOKUP($P13,$AD$9:$AK$15,4,0)</f>
        <v>0</v>
      </c>
      <c r="U13" s="160">
        <f>+VLOOKUP($P13,$AD$9:$AK$15,5,0)</f>
        <v>1</v>
      </c>
      <c r="V13" s="160">
        <f>+VLOOKUP($P13,$AD$9:$AK$15,6,0)</f>
        <v>2</v>
      </c>
      <c r="W13" s="161">
        <f>+VLOOKUP($P13,$AD$9:$AK$15,7,0)</f>
        <v>1</v>
      </c>
      <c r="X13" s="161">
        <f>+VLOOKUP($P13,$AD$9:$AK$15,8,0)</f>
        <v>3</v>
      </c>
      <c r="Y13" s="161">
        <f>+W13-X13</f>
        <v>-2</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4</v>
      </c>
      <c r="AK13" s="53" cm="1">
        <f t="array" ref="AK13">SUM(($G$9:$G$22=$AD13)*($J$9:$J$22)+($K$9:$K$22=$AD13)*($H$9:$H$22))</f>
        <v>0</v>
      </c>
      <c r="AL13" s="252">
        <f>+SUMIFS($AR13:$AU13,$AR$5:$AU$5,AF13)</f>
        <v>0</v>
      </c>
      <c r="AM13" s="252">
        <f>+AJ13-AK13</f>
        <v>4</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2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25" customHeight="1" x14ac:dyDescent="0.2">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str">
        <f>IFERROR(VLOOKUP(P15,Aux!A:C,3,0),"")</f>
        <v/>
      </c>
      <c r="R15" s="158"/>
      <c r="S15" s="159">
        <f>+VLOOKUP($P15,$AD$9:$AK$15,3,0)</f>
        <v>1</v>
      </c>
      <c r="T15" s="160">
        <f>+VLOOKUP($P15,$AD$9:$AK$15,4,0)</f>
        <v>0</v>
      </c>
      <c r="U15" s="160">
        <f>+VLOOKUP($P15,$AD$9:$AK$15,5,0)</f>
        <v>1</v>
      </c>
      <c r="V15" s="160">
        <f>+VLOOKUP($P15,$AD$9:$AK$15,6,0)</f>
        <v>2</v>
      </c>
      <c r="W15" s="161">
        <f>+VLOOKUP($P15,$AD$9:$AK$15,7,0)</f>
        <v>0</v>
      </c>
      <c r="X15" s="161">
        <f>+VLOOKUP($P15,$AD$9:$AK$15,8,0)</f>
        <v>4</v>
      </c>
      <c r="Y15" s="161">
        <f>+W15-X15</f>
        <v>-4</v>
      </c>
      <c r="Z15" s="60"/>
      <c r="AA15" s="59"/>
      <c r="AB15" s="245"/>
      <c r="AC15" s="53">
        <v>4</v>
      </c>
      <c r="AD15" s="251" t="str">
        <f>+VLOOKUP($AD$5&amp;AC15,Aux!S:T,2,0)</f>
        <v>Jamaica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0</v>
      </c>
      <c r="AK15" s="53" cm="1">
        <f t="array" ref="AK15">SUM(($G$9:$G$22=$AD15)*($J$9:$J$22)+($K$9:$K$22=$AD15)*($H$9:$H$22))</f>
        <v>4</v>
      </c>
      <c r="AL15" s="252">
        <f>+SUMIFS($AR15:$AU15,$AR$5:$AU$5,AF15)</f>
        <v>100</v>
      </c>
      <c r="AM15" s="252">
        <f>+AJ15-AK15</f>
        <v>-4</v>
      </c>
      <c r="AN15" s="53">
        <f>+_xlfn.RANK.EQ(AF15,$AF$9:$AF$15)+_xlfn.RANK.EQ(AM15,$AM$9:$AM$15)/10+_xlfn.RANK.EQ(AJ15,$AJ$9:$AJ$15)/100+_xlfn.RANK.EQ(AL15,$AL$9:$AL$15)/1000+ROW()/1000000</f>
        <v>3.4410149999999997</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2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25" customHeight="1" thickBot="1" x14ac:dyDescent="0.25">
      <c r="B17" s="27">
        <v>19</v>
      </c>
      <c r="C17" s="28">
        <f>+VLOOKUP(B17,Aux!F:AB,4,0)</f>
        <v>45473.833333333336</v>
      </c>
      <c r="D17" s="29">
        <f>+VLOOKUP(B17,Aux!F:AB,4,0)</f>
        <v>45473.833333333336</v>
      </c>
      <c r="E17" s="169"/>
      <c r="F17" s="169" t="e" vm="7">
        <f>IFERROR(VLOOKUP(G17,Aux!$A:$C,3,0),"")</f>
        <v>#VALUE!</v>
      </c>
      <c r="G17" s="30" t="str">
        <f>+VLOOKUP(B17,Aux!F:S,5,0)</f>
        <v>México</v>
      </c>
      <c r="H17" s="258">
        <v>1</v>
      </c>
      <c r="I17" s="257" t="s">
        <v>41</v>
      </c>
      <c r="J17" s="258">
        <v>2</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2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25" customHeight="1" x14ac:dyDescent="0.2">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2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3" t="s">
        <v>193</v>
      </c>
    </row>
    <row r="24" spans="2:47" ht="15" customHeight="1" thickBot="1" x14ac:dyDescent="0.25">
      <c r="K24" s="284"/>
    </row>
    <row r="25" spans="2:47" ht="15" customHeight="1" x14ac:dyDescent="0.2">
      <c r="K25" s="273" t="s">
        <v>194</v>
      </c>
    </row>
    <row r="26" spans="2:47" ht="15" customHeight="1" thickBot="1" x14ac:dyDescent="0.25">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J19" sqref="J19"/>
    </sheetView>
  </sheetViews>
  <sheetFormatPr baseColWidth="10" defaultColWidth="14.5" defaultRowHeight="15" customHeight="1" x14ac:dyDescent="0.2"/>
  <cols>
    <col min="1" max="1" width="3.5" style="50" customWidth="1"/>
    <col min="2" max="2" width="3.6640625" style="50" customWidth="1"/>
    <col min="3" max="3" width="7.6640625" style="50" customWidth="1"/>
    <col min="4" max="4" width="6.6640625" style="50" customWidth="1"/>
    <col min="5" max="5" width="2.5" style="50" customWidth="1"/>
    <col min="6" max="6" width="5.6640625" style="50" customWidth="1"/>
    <col min="7" max="7" width="19.6640625" style="50" customWidth="1"/>
    <col min="8" max="8" width="6.6640625" style="50" customWidth="1"/>
    <col min="9" max="9" width="2.6640625" style="50" customWidth="1"/>
    <col min="10" max="10" width="6.6640625" style="50" customWidth="1"/>
    <col min="11" max="11" width="19.6640625" style="50" customWidth="1"/>
    <col min="12" max="12" width="5.6640625" style="50" customWidth="1"/>
    <col min="13" max="13" width="2.5" style="50" customWidth="1"/>
    <col min="14" max="14" width="17.6640625" style="50" customWidth="1"/>
    <col min="15" max="15" width="2.6640625" style="50" customWidth="1"/>
    <col min="16" max="16" width="18.6640625" style="50" customWidth="1"/>
    <col min="17" max="17" width="5.6640625" style="50" customWidth="1"/>
    <col min="18" max="18" width="1.6640625" style="50" customWidth="1"/>
    <col min="19" max="25" width="4" style="50" customWidth="1"/>
    <col min="26" max="26" width="6" style="54" customWidth="1"/>
    <col min="27" max="29" width="5" style="53" customWidth="1"/>
    <col min="30" max="30" width="14.83203125" style="53" customWidth="1"/>
    <col min="31" max="37" width="5" style="53" customWidth="1"/>
    <col min="38" max="40" width="8.5" style="53" customWidth="1"/>
    <col min="41" max="42" width="5" style="53" customWidth="1"/>
    <col min="43" max="43" width="7.6640625" style="54" customWidth="1"/>
    <col min="44" max="44" width="14.5" style="54"/>
    <col min="45" max="45" width="15" style="50" customWidth="1"/>
    <col min="46" max="16384" width="14.5" style="50"/>
  </cols>
  <sheetData>
    <row r="1" spans="2:47" s="54" customFormat="1" ht="19" x14ac:dyDescent="0.2">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1</v>
      </c>
      <c r="AU5" s="245">
        <f>+VLOOKUP(AU7,$AD$9:$AF$15,3,0)</f>
        <v>1</v>
      </c>
    </row>
    <row r="6" spans="2:47" s="54" customFormat="1" ht="22.25" customHeight="1" thickBot="1" x14ac:dyDescent="0.25">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2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25" customHeight="1" x14ac:dyDescent="0.2">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1</v>
      </c>
      <c r="K9" s="38" t="str">
        <f>+VLOOKUP(B9,Aux!F:S,6,0)</f>
        <v>Bolivia</v>
      </c>
      <c r="L9" s="169" t="e" vm="10">
        <f>IFERROR(VLOOKUP(K9,Aux!$A:$C,3,0),"")</f>
        <v>#VALUE!</v>
      </c>
      <c r="M9" s="38"/>
      <c r="N9" s="46" t="str">
        <f>+_xlfn.XLOOKUP(B9,Aux!F:F,Aux!L:L)</f>
        <v>AT&amp;T Stadium - ARLINGTON, TX</v>
      </c>
      <c r="O9"/>
      <c r="P9" s="156" t="str">
        <f>+INDEX($AD$9:$AD$16,MATCH(1,$AO$9:$AO$15,0))</f>
        <v>Uruguay</v>
      </c>
      <c r="Q9" s="157" t="str">
        <f>IFERROR(VLOOKUP(P9,Aux!A:C,3,0),"")</f>
        <v/>
      </c>
      <c r="R9" s="158"/>
      <c r="S9" s="159">
        <f>+VLOOKUP($P9,$AD$9:$AK$15,3,0)</f>
        <v>9</v>
      </c>
      <c r="T9" s="160">
        <f>+VLOOKUP($P9,$AD$9:$AK$15,4,0)</f>
        <v>3</v>
      </c>
      <c r="U9" s="160">
        <f>+VLOOKUP($P9,$AD$9:$AK$15,5,0)</f>
        <v>0</v>
      </c>
      <c r="V9" s="160">
        <f>+VLOOKUP($P9,$AD$9:$AK$15,6,0)</f>
        <v>0</v>
      </c>
      <c r="W9" s="161">
        <f>+VLOOKUP($P9,$AD$9:$AK$15,7,0)</f>
        <v>8</v>
      </c>
      <c r="X9" s="161">
        <f>+VLOOKUP($P9,$AD$9:$AK$15,8,0)</f>
        <v>1</v>
      </c>
      <c r="Y9" s="161">
        <f>+W9-X9</f>
        <v>7</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5</v>
      </c>
      <c r="AK9" s="53" cm="1">
        <f t="array" ref="AK9">SUM(($G$9:$G$22=$AD9)*($J$9:$J$22)+($K$9:$K$22=$AD9)*($H$9:$H$22))</f>
        <v>4</v>
      </c>
      <c r="AL9" s="252">
        <f>+SUMIFS($AR9:$AU9,$AR$5:$AU$5,AF9)</f>
        <v>0</v>
      </c>
      <c r="AM9" s="252">
        <f>+AJ9-AK9</f>
        <v>1</v>
      </c>
      <c r="AN9" s="53">
        <f>+_xlfn.RANK.EQ(AF9,$AF$9:$AF$15)+_xlfn.RANK.EQ(AM9,$AM$9:$AM$15)/10+_xlfn.RANK.EQ(AJ9,$AJ$9:$AJ$15)/100+_xlfn.RANK.EQ(AL9,$AL$9:$AL$15)/1000+ROW()/1000000</f>
        <v>2.2230090000000002</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2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25" customHeight="1" x14ac:dyDescent="0.2">
      <c r="B11" s="27">
        <v>6</v>
      </c>
      <c r="C11" s="28">
        <f>+VLOOKUP(B11,Aux!F:AB,4,0)</f>
        <v>45466.875</v>
      </c>
      <c r="D11" s="29">
        <f>+VLOOKUP(B11,Aux!F:AB,4,0)</f>
        <v>45466.875</v>
      </c>
      <c r="E11" s="169"/>
      <c r="F11" s="169" t="e" vm="11">
        <f>IFERROR(VLOOKUP(G11,Aux!$A:$C,3,0),"")</f>
        <v>#VALUE!</v>
      </c>
      <c r="G11" s="30" t="str">
        <f>+VLOOKUP(B11,Aux!F:S,5,0)</f>
        <v>Uruguay</v>
      </c>
      <c r="H11" s="258">
        <v>3</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str">
        <f>IFERROR(VLOOKUP(P11,Aux!A:C,3,0),"")</f>
        <v/>
      </c>
      <c r="R11" s="158"/>
      <c r="S11" s="159">
        <f>+VLOOKUP($P11,$AD$9:$AK$15,3,0)</f>
        <v>6</v>
      </c>
      <c r="T11" s="160">
        <f>+VLOOKUP($P11,$AD$9:$AK$15,4,0)</f>
        <v>2</v>
      </c>
      <c r="U11" s="160">
        <f>+VLOOKUP($P11,$AD$9:$AK$15,5,0)</f>
        <v>0</v>
      </c>
      <c r="V11" s="160">
        <f>+VLOOKUP($P11,$AD$9:$AK$15,6,0)</f>
        <v>1</v>
      </c>
      <c r="W11" s="161">
        <f>+VLOOKUP($P11,$AD$9:$AK$15,7,0)</f>
        <v>5</v>
      </c>
      <c r="X11" s="161">
        <f>+VLOOKUP($P11,$AD$9:$AK$15,8,0)</f>
        <v>4</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8</v>
      </c>
      <c r="AK11" s="53" cm="1">
        <f t="array" ref="AK11">SUM(($G$9:$G$22=$AD11)*($J$9:$J$22)+($K$9:$K$22=$AD11)*($H$9:$H$22))</f>
        <v>1</v>
      </c>
      <c r="AL11" s="252">
        <f>+SUMIFS($AR11:$AU11,$AR$5:$AU$5,AF11)</f>
        <v>0</v>
      </c>
      <c r="AM11" s="252">
        <f>+AJ11-AK11</f>
        <v>7</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303</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2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25" customHeight="1" x14ac:dyDescent="0.2">
      <c r="B13" s="27">
        <v>13</v>
      </c>
      <c r="C13" s="28">
        <f>+VLOOKUP(B13,Aux!F:AB,4,0)</f>
        <v>45470.75</v>
      </c>
      <c r="D13" s="29">
        <f>+VLOOKUP(B13,Aux!F:AB,4,0)</f>
        <v>45470.75</v>
      </c>
      <c r="E13" s="169"/>
      <c r="F13" s="169" t="e" vm="12">
        <f>IFERROR(VLOOKUP(G13,Aux!$A:$C,3,0),"")</f>
        <v>#VALUE!</v>
      </c>
      <c r="G13" s="30" t="str">
        <f>+VLOOKUP(B13,Aux!F:S,5,0)</f>
        <v>Panamá</v>
      </c>
      <c r="H13" s="258">
        <v>1</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str">
        <f>IFERROR(VLOOKUP(P13,Aux!A:C,3,0),"")</f>
        <v/>
      </c>
      <c r="R13" s="158"/>
      <c r="S13" s="159">
        <f>+VLOOKUP($P13,$AD$9:$AK$15,3,0)</f>
        <v>1</v>
      </c>
      <c r="T13" s="160">
        <f>+VLOOKUP($P13,$AD$9:$AK$15,4,0)</f>
        <v>0</v>
      </c>
      <c r="U13" s="160">
        <f>+VLOOKUP($P13,$AD$9:$AK$15,5,0)</f>
        <v>1</v>
      </c>
      <c r="V13" s="160">
        <f>+VLOOKUP($P13,$AD$9:$AK$15,6,0)</f>
        <v>2</v>
      </c>
      <c r="W13" s="161">
        <f>+VLOOKUP($P13,$AD$9:$AK$15,7,0)</f>
        <v>1</v>
      </c>
      <c r="X13" s="161">
        <f>+VLOOKUP($P13,$AD$9:$AK$15,8,0)</f>
        <v>5</v>
      </c>
      <c r="Y13" s="161">
        <f>+W13-X13</f>
        <v>-4</v>
      </c>
      <c r="Z13" s="60"/>
      <c r="AA13" s="57"/>
      <c r="AB13" s="53"/>
      <c r="AC13" s="53">
        <v>3</v>
      </c>
      <c r="AD13" s="251" t="str">
        <f>+VLOOKUP($AD$5&amp;AC13,Aux!S:T,2,0)</f>
        <v>Panamá</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1</v>
      </c>
      <c r="AK13" s="53" cm="1">
        <f t="array" ref="AK13">SUM(($G$9:$G$22=$AD13)*($J$9:$J$22)+($K$9:$K$22=$AD13)*($H$9:$H$22))</f>
        <v>5</v>
      </c>
      <c r="AL13" s="252">
        <f>+SUMIFS($AR13:$AU13,$AR$5:$AU$5,AF13)</f>
        <v>100</v>
      </c>
      <c r="AM13" s="252">
        <f>+AJ13-AK13</f>
        <v>-4</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2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25" customHeight="1" x14ac:dyDescent="0.2">
      <c r="B15" s="27">
        <v>14</v>
      </c>
      <c r="C15" s="28">
        <f>+VLOOKUP(B15,Aux!F:AB,4,0)</f>
        <v>45470.875</v>
      </c>
      <c r="D15" s="29">
        <f>+VLOOKUP(B15,Aux!F:AB,4,0)</f>
        <v>45470.875</v>
      </c>
      <c r="E15" s="169"/>
      <c r="F15" s="169" t="e" vm="11">
        <f>IFERROR(VLOOKUP(G15,Aux!$A:$C,3,0),"")</f>
        <v>#VALUE!</v>
      </c>
      <c r="G15" s="30" t="str">
        <f>+VLOOKUP(B15,Aux!F:S,5,0)</f>
        <v>Uruguay</v>
      </c>
      <c r="H15" s="258">
        <v>3</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str">
        <f>IFERROR(VLOOKUP(P15,Aux!A:C,3,0),"")</f>
        <v/>
      </c>
      <c r="R15" s="158"/>
      <c r="S15" s="159">
        <f>+VLOOKUP($P15,$AD$9:$AK$15,3,0)</f>
        <v>1</v>
      </c>
      <c r="T15" s="160">
        <f>+VLOOKUP($P15,$AD$9:$AK$15,4,0)</f>
        <v>0</v>
      </c>
      <c r="U15" s="160">
        <f>+VLOOKUP($P15,$AD$9:$AK$15,5,0)</f>
        <v>1</v>
      </c>
      <c r="V15" s="160">
        <f>+VLOOKUP($P15,$AD$9:$AK$15,6,0)</f>
        <v>2</v>
      </c>
      <c r="W15" s="161">
        <f>+VLOOKUP($P15,$AD$9:$AK$15,7,0)</f>
        <v>1</v>
      </c>
      <c r="X15" s="161">
        <f>+VLOOKUP($P15,$AD$9:$AK$15,8,0)</f>
        <v>5</v>
      </c>
      <c r="Y15" s="161">
        <f>+W15-X15</f>
        <v>-4</v>
      </c>
      <c r="Z15" s="60"/>
      <c r="AA15" s="59"/>
      <c r="AB15" s="245"/>
      <c r="AC15" s="53">
        <v>4</v>
      </c>
      <c r="AD15" s="251" t="str">
        <f>+VLOOKUP($AD$5&amp;AC15,Aux!S:T,2,0)</f>
        <v>Bolivia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1</v>
      </c>
      <c r="AK15" s="53" cm="1">
        <f t="array" ref="AK15">SUM(($G$9:$G$22=$AD15)*($J$9:$J$22)+($K$9:$K$22=$AD15)*($H$9:$H$22))</f>
        <v>5</v>
      </c>
      <c r="AL15" s="252">
        <f>+SUMIFS($AR15:$AU15,$AR$5:$AU$5,AF15)</f>
        <v>100</v>
      </c>
      <c r="AM15" s="252">
        <f>+AJ15-AK15</f>
        <v>-4</v>
      </c>
      <c r="AN15" s="53">
        <f>+_xlfn.RANK.EQ(AF15,$AF$9:$AF$15)+_xlfn.RANK.EQ(AM15,$AM$9:$AM$15)/10+_xlfn.RANK.EQ(AJ15,$AJ$9:$AJ$15)/100+_xlfn.RANK.EQ(AL15,$AL$9:$AL$15)/1000+ROW()/1000000</f>
        <v>3.3310149999999994</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2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25" customHeight="1" thickBot="1" x14ac:dyDescent="0.25">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2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25" customHeight="1" x14ac:dyDescent="0.2">
      <c r="B19" s="27">
        <v>22</v>
      </c>
      <c r="C19" s="28">
        <f>+VLOOKUP(B19,Aux!F:AB,4,0)</f>
        <v>45474.875</v>
      </c>
      <c r="D19" s="29">
        <f>+VLOOKUP(B19,Aux!F:AB,4,0)</f>
        <v>45474.875</v>
      </c>
      <c r="E19" s="169"/>
      <c r="F19" s="169" t="e" vm="10">
        <f>IFERROR(VLOOKUP(G19,Aux!$A:$C,3,0),"")</f>
        <v>#VALUE!</v>
      </c>
      <c r="G19" s="30" t="str">
        <f>+VLOOKUP(B19,Aux!F:S,5,0)</f>
        <v>Bolivia</v>
      </c>
      <c r="H19" s="258">
        <v>0</v>
      </c>
      <c r="I19" s="257" t="s">
        <v>41</v>
      </c>
      <c r="J19" s="258">
        <v>0</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2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3" t="s">
        <v>193</v>
      </c>
    </row>
    <row r="24" spans="2:47" ht="15" customHeight="1" thickBot="1" x14ac:dyDescent="0.25">
      <c r="K24" s="284"/>
    </row>
    <row r="25" spans="2:47" ht="15" customHeight="1" x14ac:dyDescent="0.2">
      <c r="K25" s="273" t="s">
        <v>194</v>
      </c>
    </row>
    <row r="26" spans="2:47" ht="15" customHeight="1" thickBot="1" x14ac:dyDescent="0.25">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9" sqref="J19"/>
    </sheetView>
  </sheetViews>
  <sheetFormatPr baseColWidth="10" defaultColWidth="14.5" defaultRowHeight="15" customHeight="1" x14ac:dyDescent="0.2"/>
  <cols>
    <col min="1" max="1" width="3.5" style="50" customWidth="1"/>
    <col min="2" max="2" width="3.6640625" style="50" customWidth="1"/>
    <col min="3" max="3" width="7.6640625" style="50" customWidth="1"/>
    <col min="4" max="4" width="6.6640625" style="50" customWidth="1"/>
    <col min="5" max="5" width="2.5" style="50" customWidth="1"/>
    <col min="6" max="6" width="5.6640625" style="50" customWidth="1"/>
    <col min="7" max="7" width="19.6640625" style="50" customWidth="1"/>
    <col min="8" max="8" width="6.6640625" style="50" customWidth="1"/>
    <col min="9" max="9" width="2.6640625" style="50" customWidth="1"/>
    <col min="10" max="10" width="6.6640625" style="50" customWidth="1"/>
    <col min="11" max="11" width="19.6640625" style="50" customWidth="1"/>
    <col min="12" max="12" width="5.6640625" style="50" customWidth="1"/>
    <col min="13" max="13" width="2.5" style="50" customWidth="1"/>
    <col min="14" max="14" width="17.6640625" style="50" customWidth="1"/>
    <col min="15" max="15" width="2.6640625" style="50" customWidth="1"/>
    <col min="16" max="16" width="18.6640625" style="50" customWidth="1"/>
    <col min="17" max="17" width="5.6640625" style="50" customWidth="1"/>
    <col min="18" max="18" width="1.6640625" style="50" customWidth="1"/>
    <col min="19" max="25" width="4" style="50" customWidth="1"/>
    <col min="26" max="26" width="6" style="54" customWidth="1"/>
    <col min="27" max="29" width="5" style="53" customWidth="1"/>
    <col min="30" max="30" width="14.83203125" style="53" customWidth="1"/>
    <col min="31" max="37" width="5" style="53" customWidth="1"/>
    <col min="38" max="40" width="8.5" style="53" customWidth="1"/>
    <col min="41" max="42" width="5" style="53" customWidth="1"/>
    <col min="43" max="43" width="7.6640625" style="54" customWidth="1"/>
    <col min="44" max="44" width="14.5" style="54"/>
    <col min="45" max="45" width="15" style="50" customWidth="1"/>
    <col min="46" max="16384" width="14.5" style="50"/>
  </cols>
  <sheetData>
    <row r="1" spans="2:47" s="54" customFormat="1" ht="19" x14ac:dyDescent="0.2">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7</v>
      </c>
      <c r="AT5" s="245">
        <f>+VLOOKUP(AT7,$AD$9:$AF$15,3,0)</f>
        <v>1</v>
      </c>
      <c r="AU5" s="245">
        <f>+VLOOKUP(AU7,$AD$9:$AF$15,3,0)</f>
        <v>1</v>
      </c>
    </row>
    <row r="6" spans="2:47" s="54" customFormat="1" ht="22.25" customHeight="1" thickBot="1" x14ac:dyDescent="0.25">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2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25" customHeight="1" x14ac:dyDescent="0.2">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0</v>
      </c>
      <c r="K9" s="38" t="str">
        <f>+VLOOKUP(B9,Aux!F:S,6,0)</f>
        <v>Paraguay</v>
      </c>
      <c r="L9" s="169" t="e" vm="14">
        <f>IFERROR(VLOOKUP(K9,Aux!$A:$C,3,0),"")</f>
        <v>#VALUE!</v>
      </c>
      <c r="M9" s="38"/>
      <c r="N9" s="46" t="str">
        <f>+_xlfn.XLOOKUP(B9,Aux!F:F,Aux!L:L)</f>
        <v>NRG Stadium - HOUSTON, TX</v>
      </c>
      <c r="O9"/>
      <c r="P9" s="156" t="str">
        <f>+INDEX($AD$9:$AD$16,MATCH(1,$AO$9:$AO$15,0))</f>
        <v>Brasil</v>
      </c>
      <c r="Q9" s="157" t="str">
        <f>IFERROR(VLOOKUP(P9,Aux!A:C,3,0),"")</f>
        <v/>
      </c>
      <c r="R9" s="158"/>
      <c r="S9" s="159">
        <f>+VLOOKUP($P9,$AD$9:$AK$15,3,0)</f>
        <v>7</v>
      </c>
      <c r="T9" s="160">
        <f>+VLOOKUP($P9,$AD$9:$AK$15,4,0)</f>
        <v>2</v>
      </c>
      <c r="U9" s="160">
        <f>+VLOOKUP($P9,$AD$9:$AK$15,5,0)</f>
        <v>1</v>
      </c>
      <c r="V9" s="160">
        <f>+VLOOKUP($P9,$AD$9:$AK$15,6,0)</f>
        <v>0</v>
      </c>
      <c r="W9" s="161">
        <f>+VLOOKUP($P9,$AD$9:$AK$15,7,0)</f>
        <v>8</v>
      </c>
      <c r="X9" s="161">
        <f>+VLOOKUP($P9,$AD$9:$AK$15,8,0)</f>
        <v>4</v>
      </c>
      <c r="Y9" s="161">
        <f>+W9-X9</f>
        <v>4</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8</v>
      </c>
      <c r="AK9" s="53" cm="1">
        <f t="array" ref="AK9">SUM(($G$9:$G$22=$AD9)*($J$9:$J$22)+($K$9:$K$22=$AD9)*($H$9:$H$22))</f>
        <v>4</v>
      </c>
      <c r="AL9" s="252">
        <f>+SUMIFS($AR9:$AU9,$AR$5:$AU$5,AF9)</f>
        <v>100</v>
      </c>
      <c r="AM9" s="252">
        <f>+AJ9-AK9</f>
        <v>4</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303</v>
      </c>
    </row>
    <row r="10" spans="2:47" s="54" customFormat="1" ht="10.2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25" customHeight="1" x14ac:dyDescent="0.2">
      <c r="B11" s="27">
        <v>8</v>
      </c>
      <c r="C11" s="28">
        <f>+VLOOKUP(B11,Aux!F:AB,4,0)</f>
        <v>45467.875</v>
      </c>
      <c r="D11" s="29">
        <f>+VLOOKUP(B11,Aux!F:AB,4,0)</f>
        <v>45467.875</v>
      </c>
      <c r="E11" s="169"/>
      <c r="F11" s="169" t="e" vm="15">
        <f>IFERROR(VLOOKUP(G11,Aux!$A:$C,3,0),"")</f>
        <v>#VALUE!</v>
      </c>
      <c r="G11" s="30" t="str">
        <f>+VLOOKUP(B11,Aux!F:S,5,0)</f>
        <v>Brasil</v>
      </c>
      <c r="H11" s="258">
        <v>3</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Colombia</v>
      </c>
      <c r="Q11" s="157" t="str">
        <f>IFERROR(VLOOKUP(P11,Aux!A:C,3,0),"")</f>
        <v/>
      </c>
      <c r="R11" s="158"/>
      <c r="S11" s="159">
        <f>+VLOOKUP($P11,$AD$9:$AK$15,3,0)</f>
        <v>7</v>
      </c>
      <c r="T11" s="160">
        <f>+VLOOKUP($P11,$AD$9:$AK$15,4,0)</f>
        <v>2</v>
      </c>
      <c r="U11" s="160">
        <f>+VLOOKUP($P11,$AD$9:$AK$15,5,0)</f>
        <v>1</v>
      </c>
      <c r="V11" s="160">
        <f>+VLOOKUP($P11,$AD$9:$AK$15,6,0)</f>
        <v>0</v>
      </c>
      <c r="W11" s="161">
        <f>+VLOOKUP($P11,$AD$9:$AK$15,7,0)</f>
        <v>6</v>
      </c>
      <c r="X11" s="161">
        <f>+VLOOKUP($P11,$AD$9:$AK$15,8,0)</f>
        <v>3</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3</v>
      </c>
      <c r="AL11" s="252">
        <f>+SUMIFS($AR11:$AU11,$AR$5:$AU$5,AF11)</f>
        <v>100</v>
      </c>
      <c r="AM11" s="252">
        <f>+AJ11-AK11</f>
        <v>3</v>
      </c>
      <c r="AN11" s="53">
        <f>+_xlfn.RANK.EQ(AF11,$AF$9:$AF$15)+_xlfn.RANK.EQ(AM11,$AM$9:$AM$15)/10+_xlfn.RANK.EQ(AJ11,$AJ$9:$AJ$15)/100+_xlfn.RANK.EQ(AL11,$AL$9:$AL$15)/1000+ROW()/1000000</f>
        <v>1.2210109999999998</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2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25" customHeight="1" x14ac:dyDescent="0.2">
      <c r="B13" s="27">
        <v>15</v>
      </c>
      <c r="C13" s="28">
        <f>+VLOOKUP(B13,Aux!F:AB,4,0)</f>
        <v>45471.75</v>
      </c>
      <c r="D13" s="29">
        <f>+VLOOKUP(B13,Aux!F:AB,4,0)</f>
        <v>45471.75</v>
      </c>
      <c r="E13" s="169"/>
      <c r="F13" s="169" t="e" vm="13">
        <f>IFERROR(VLOOKUP(G13,Aux!$A:$C,3,0),"")</f>
        <v>#VALUE!</v>
      </c>
      <c r="G13" s="30" t="str">
        <f>+VLOOKUP(B13,Aux!F:S,5,0)</f>
        <v>Colombia</v>
      </c>
      <c r="H13" s="258">
        <v>2</v>
      </c>
      <c r="I13" s="257" t="s">
        <v>41</v>
      </c>
      <c r="J13" s="258">
        <v>1</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str">
        <f>IFERROR(VLOOKUP(P13,Aux!A:C,3,0),"")</f>
        <v/>
      </c>
      <c r="R13" s="158"/>
      <c r="S13" s="159">
        <f>+VLOOKUP($P13,$AD$9:$AK$15,3,0)</f>
        <v>1</v>
      </c>
      <c r="T13" s="160">
        <f>+VLOOKUP($P13,$AD$9:$AK$15,4,0)</f>
        <v>0</v>
      </c>
      <c r="U13" s="160">
        <f>+VLOOKUP($P13,$AD$9:$AK$15,5,0)</f>
        <v>1</v>
      </c>
      <c r="V13" s="160">
        <f>+VLOOKUP($P13,$AD$9:$AK$15,6,0)</f>
        <v>2</v>
      </c>
      <c r="W13" s="161">
        <f>+VLOOKUP($P13,$AD$9:$AK$15,7,0)</f>
        <v>2</v>
      </c>
      <c r="X13" s="161">
        <f>+VLOOKUP($P13,$AD$9:$AK$15,8,0)</f>
        <v>5</v>
      </c>
      <c r="Y13" s="161">
        <f>+W13-X13</f>
        <v>-3</v>
      </c>
      <c r="Z13" s="60"/>
      <c r="AA13" s="57"/>
      <c r="AB13" s="53"/>
      <c r="AC13" s="53">
        <v>3</v>
      </c>
      <c r="AD13" s="251" t="str">
        <f>+VLOOKUP($AD$5&amp;AC13,Aux!S:T,2,0)</f>
        <v>Paraguay</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2</v>
      </c>
      <c r="AK13" s="53" cm="1">
        <f t="array" ref="AK13">SUM(($G$9:$G$22=$AD13)*($J$9:$J$22)+($K$9:$K$22=$AD13)*($H$9:$H$22))</f>
        <v>5</v>
      </c>
      <c r="AL13" s="252">
        <f>+SUMIFS($AR13:$AU13,$AR$5:$AU$5,AF13)</f>
        <v>100</v>
      </c>
      <c r="AM13" s="252">
        <f>+AJ13-AK13</f>
        <v>-3</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2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25" customHeight="1" x14ac:dyDescent="0.2">
      <c r="B15" s="27">
        <v>16</v>
      </c>
      <c r="C15" s="28">
        <f>+VLOOKUP(B15,Aux!F:AB,4,0)</f>
        <v>45471.875</v>
      </c>
      <c r="D15" s="29">
        <f>+VLOOKUP(B15,Aux!F:AB,4,0)</f>
        <v>45471.875</v>
      </c>
      <c r="E15" s="169"/>
      <c r="F15" s="169" t="e" vm="14">
        <f>IFERROR(VLOOKUP(G15,Aux!$A:$C,3,0),"")</f>
        <v>#VALUE!</v>
      </c>
      <c r="G15" s="30" t="str">
        <f>+VLOOKUP(B15,Aux!F:S,5,0)</f>
        <v>Paraguay</v>
      </c>
      <c r="H15" s="258">
        <v>2</v>
      </c>
      <c r="I15" s="257" t="s">
        <v>41</v>
      </c>
      <c r="J15" s="258">
        <v>3</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str">
        <f>IFERROR(VLOOKUP(P15,Aux!A:C,3,0),"")</f>
        <v/>
      </c>
      <c r="R15" s="158"/>
      <c r="S15" s="159">
        <f>+VLOOKUP($P15,$AD$9:$AK$15,3,0)</f>
        <v>1</v>
      </c>
      <c r="T15" s="160">
        <f>+VLOOKUP($P15,$AD$9:$AK$15,4,0)</f>
        <v>0</v>
      </c>
      <c r="U15" s="160">
        <f>+VLOOKUP($P15,$AD$9:$AK$15,5,0)</f>
        <v>1</v>
      </c>
      <c r="V15" s="160">
        <f>+VLOOKUP($P15,$AD$9:$AK$15,6,0)</f>
        <v>2</v>
      </c>
      <c r="W15" s="161">
        <f>+VLOOKUP($P15,$AD$9:$AK$15,7,0)</f>
        <v>1</v>
      </c>
      <c r="X15" s="161">
        <f>+VLOOKUP($P15,$AD$9:$AK$15,8,0)</f>
        <v>5</v>
      </c>
      <c r="Y15" s="161">
        <f>+W15-X15</f>
        <v>-4</v>
      </c>
      <c r="Z15" s="60"/>
      <c r="AA15" s="59"/>
      <c r="AB15" s="245"/>
      <c r="AC15" s="53">
        <v>4</v>
      </c>
      <c r="AD15" s="251" t="str">
        <f>+VLOOKUP($AD$5&amp;AC15,Aux!S:T,2,0)</f>
        <v>Costa Rica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1</v>
      </c>
      <c r="AK15" s="53" cm="1">
        <f t="array" ref="AK15">SUM(($G$9:$G$22=$AD15)*($J$9:$J$22)+($K$9:$K$22=$AD15)*($H$9:$H$22))</f>
        <v>5</v>
      </c>
      <c r="AL15" s="252">
        <f>+SUMIFS($AR15:$AU15,$AR$5:$AU$5,AF15)</f>
        <v>100</v>
      </c>
      <c r="AM15" s="252">
        <f>+AJ15-AK15</f>
        <v>-4</v>
      </c>
      <c r="AN15" s="53">
        <f>+_xlfn.RANK.EQ(AF15,$AF$9:$AF$15)+_xlfn.RANK.EQ(AM15,$AM$9:$AM$15)/10+_xlfn.RANK.EQ(AJ15,$AJ$9:$AJ$15)/100+_xlfn.RANK.EQ(AL15,$AL$9:$AL$15)/1000+ROW()/1000000</f>
        <v>3.4410149999999997</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-3</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2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25" customHeight="1" thickBot="1" x14ac:dyDescent="0.25">
      <c r="B17" s="27">
        <v>23</v>
      </c>
      <c r="C17" s="28">
        <f>+VLOOKUP(B17,Aux!F:AB,4,0)</f>
        <v>45475.875</v>
      </c>
      <c r="D17" s="29">
        <f>+VLOOKUP(B17,Aux!F:AB,4,0)</f>
        <v>45475.875</v>
      </c>
      <c r="E17" s="169"/>
      <c r="F17" s="169" t="e" vm="15">
        <f>IFERROR(VLOOKUP(G17,Aux!$A:$C,3,0),"")</f>
        <v>#VALUE!</v>
      </c>
      <c r="G17" s="30" t="str">
        <f>+VLOOKUP(B17,Aux!F:S,5,0)</f>
        <v>Brasil</v>
      </c>
      <c r="H17" s="258">
        <v>2</v>
      </c>
      <c r="I17" s="257" t="s">
        <v>41</v>
      </c>
      <c r="J17" s="258">
        <v>2</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2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25" customHeight="1" x14ac:dyDescent="0.2">
      <c r="B19" s="27">
        <v>24</v>
      </c>
      <c r="C19" s="28">
        <f>+VLOOKUP(B19,Aux!F:AB,4,0)</f>
        <v>45475.875000000007</v>
      </c>
      <c r="D19" s="29">
        <f>+VLOOKUP(B19,Aux!F:AB,4,0)</f>
        <v>45475.875000000007</v>
      </c>
      <c r="E19" s="169"/>
      <c r="F19" s="169" t="e" vm="16">
        <f>IFERROR(VLOOKUP(G19,Aux!$A:$C,3,0),"")</f>
        <v>#VALUE!</v>
      </c>
      <c r="G19" s="30" t="str">
        <f>+VLOOKUP(B19,Aux!F:S,5,0)</f>
        <v>Costa Rica</v>
      </c>
      <c r="H19" s="258">
        <v>0</v>
      </c>
      <c r="I19" s="257" t="s">
        <v>41</v>
      </c>
      <c r="J19" s="258">
        <v>0</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2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3" t="s">
        <v>193</v>
      </c>
    </row>
    <row r="24" spans="2:47" ht="15" customHeight="1" thickBot="1" x14ac:dyDescent="0.25">
      <c r="K24" s="284"/>
    </row>
    <row r="25" spans="2:47" ht="15" customHeight="1" x14ac:dyDescent="0.2">
      <c r="K25" s="273" t="s">
        <v>194</v>
      </c>
    </row>
    <row r="26" spans="2:47" ht="15" customHeight="1" thickBot="1" x14ac:dyDescent="0.25">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L19" sqref="L19"/>
    </sheetView>
  </sheetViews>
  <sheetFormatPr baseColWidth="10" defaultColWidth="14.5" defaultRowHeight="15" customHeight="1" x14ac:dyDescent="0.2"/>
  <cols>
    <col min="1" max="2" width="4.33203125" style="82" customWidth="1"/>
    <col min="3" max="3" width="3.6640625" customWidth="1"/>
    <col min="4" max="4" width="7.6640625" customWidth="1"/>
    <col min="5" max="5" width="6.6640625" customWidth="1"/>
    <col min="6" max="6" width="2.5" customWidth="1"/>
    <col min="7" max="7" width="5.6640625" customWidth="1"/>
    <col min="8" max="8" width="19.6640625" customWidth="1"/>
    <col min="9" max="9" width="2" customWidth="1"/>
    <col min="10" max="10" width="6.6640625" customWidth="1"/>
    <col min="11" max="11" width="2.6640625" customWidth="1"/>
    <col min="12" max="12" width="6.6640625" customWidth="1"/>
    <col min="13" max="13" width="2" customWidth="1"/>
    <col min="14" max="14" width="19.6640625" customWidth="1"/>
    <col min="15" max="15" width="5.6640625" customWidth="1"/>
    <col min="16" max="16" width="2.5" customWidth="1"/>
    <col min="17" max="17" width="37.5" customWidth="1"/>
    <col min="18" max="18" width="0.83203125" customWidth="1"/>
    <col min="19" max="19" width="19.5" customWidth="1"/>
    <col min="20" max="27" width="12.6640625" customWidth="1"/>
  </cols>
  <sheetData>
    <row r="7" spans="1:19" ht="18" customHeight="1" x14ac:dyDescent="0.2">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25">
      <c r="C8" s="5"/>
      <c r="D8" s="69"/>
      <c r="E8" s="70"/>
      <c r="F8" s="6"/>
      <c r="G8" s="6"/>
      <c r="H8" s="6"/>
      <c r="I8" s="6"/>
      <c r="J8" s="6"/>
      <c r="K8" s="6"/>
      <c r="L8" s="6"/>
      <c r="M8" s="6"/>
      <c r="N8" s="6"/>
      <c r="O8" s="6"/>
      <c r="P8" s="6"/>
      <c r="Q8" s="5"/>
    </row>
    <row r="9" spans="1:19" ht="15" customHeight="1" thickBot="1" x14ac:dyDescent="0.25">
      <c r="A9" s="82" t="s">
        <v>50</v>
      </c>
      <c r="B9" s="83" t="s">
        <v>10</v>
      </c>
      <c r="C9" s="15">
        <v>25</v>
      </c>
      <c r="D9" s="71">
        <f>+VLOOKUP(C9,Aux!F:Z,4,0)</f>
        <v>45477.875000000007</v>
      </c>
      <c r="E9" s="72">
        <f>+VLOOKUP(C9,Aux!F:Z,4,0)</f>
        <v>45477.875000000007</v>
      </c>
      <c r="F9" s="180"/>
      <c r="G9" s="180" t="str">
        <f ca="1">IFERROR(VLOOKUP(H9,Aux!$A:$C,3,0),"")</f>
        <v/>
      </c>
      <c r="H9" s="7" t="str" cm="1">
        <f t="array" aca="1" ref="H9" ca="1">INDIRECT(RIGHT(A9,1)&amp;"!P"&amp;7+LEFT(A9,1)*2)</f>
        <v>Argentina</v>
      </c>
      <c r="I9" s="8"/>
      <c r="J9" s="16">
        <v>2</v>
      </c>
      <c r="K9" s="8" t="s">
        <v>41</v>
      </c>
      <c r="L9" s="16">
        <v>2</v>
      </c>
      <c r="M9" s="6"/>
      <c r="N9" s="17" t="str" cm="1">
        <f t="array" aca="1" ref="N9" ca="1">INDIRECT(RIGHT(B9,1)&amp;"!P"&amp;7+LEFT(B9,1)*2)</f>
        <v>Ecuador</v>
      </c>
      <c r="O9" s="180" t="str">
        <f ca="1">IFERROR(VLOOKUP(N9,Aux!$A:$C,3,0),"")</f>
        <v/>
      </c>
      <c r="P9" s="17"/>
      <c r="Q9" s="175" t="str">
        <f>+VLOOKUP(C9,Aux!F:L,7,0)</f>
        <v>NRG Stadium - HOUSTON, TX</v>
      </c>
      <c r="S9" s="18" t="str">
        <f ca="1">IF(OR(J9="",L9=""),"",IF(J9&gt;L9,H9,IF(J9&lt;L9,N9,IF(OR(J10="",L10=""),"",IF(J10&gt;L10,H9,N9)))))</f>
        <v>Argentina</v>
      </c>
    </row>
    <row r="10" spans="1:19" ht="15" customHeight="1" x14ac:dyDescent="0.2">
      <c r="C10" s="15"/>
      <c r="D10" s="19"/>
      <c r="E10" s="20"/>
      <c r="F10" s="181"/>
      <c r="G10" s="181"/>
      <c r="H10" s="21" t="s">
        <v>51</v>
      </c>
      <c r="I10" s="6"/>
      <c r="J10" s="9">
        <v>3</v>
      </c>
      <c r="K10" s="22" t="s">
        <v>41</v>
      </c>
      <c r="L10" s="9">
        <v>2</v>
      </c>
      <c r="M10" s="23"/>
      <c r="N10" s="23"/>
      <c r="O10" s="23"/>
      <c r="P10" s="23"/>
      <c r="Q10" s="175"/>
      <c r="S10" s="24"/>
    </row>
    <row r="11" spans="1:19" ht="15" customHeight="1" thickBot="1" x14ac:dyDescent="0.25">
      <c r="C11" s="15"/>
      <c r="D11" s="19"/>
      <c r="E11" s="20"/>
      <c r="F11" s="181"/>
      <c r="G11" s="181"/>
      <c r="H11" s="23"/>
      <c r="I11" s="6"/>
      <c r="J11" s="6"/>
      <c r="K11" s="8"/>
      <c r="L11" s="6"/>
      <c r="M11" s="6"/>
      <c r="N11" s="23"/>
      <c r="O11" s="23"/>
      <c r="P11" s="23"/>
      <c r="Q11" s="175"/>
      <c r="S11" s="24"/>
    </row>
    <row r="12" spans="1:19" ht="15" customHeight="1" thickBot="1" x14ac:dyDescent="0.25">
      <c r="A12" s="171" t="s">
        <v>54</v>
      </c>
      <c r="B12" s="171" t="s">
        <v>55</v>
      </c>
      <c r="C12" s="15">
        <f>C9+1</f>
        <v>26</v>
      </c>
      <c r="D12" s="71">
        <f>+VLOOKUP(C12,Aux!F:Z,4,0)</f>
        <v>45478.875000000007</v>
      </c>
      <c r="E12" s="72">
        <f>+VLOOKUP(C12,Aux!F:Z,4,0)</f>
        <v>45478.875000000007</v>
      </c>
      <c r="F12" s="180"/>
      <c r="G12" s="180" t="str">
        <f ca="1">IFERROR(VLOOKUP(H12,Aux!$A:$C,3,0),"")</f>
        <v/>
      </c>
      <c r="H12" s="7" t="str" cm="1">
        <f t="array" aca="1" ref="H12" ca="1">INDIRECT(RIGHT(A12,1)&amp;"!P"&amp;7+LEFT(A12,1)*2)</f>
        <v>Venezuela</v>
      </c>
      <c r="I12" s="25"/>
      <c r="J12" s="16">
        <v>1</v>
      </c>
      <c r="K12" s="8" t="s">
        <v>41</v>
      </c>
      <c r="L12" s="16">
        <v>1</v>
      </c>
      <c r="M12" s="6"/>
      <c r="N12" s="17" t="str" cm="1">
        <f t="array" aca="1" ref="N12" ca="1">INDIRECT(RIGHT(B12,1)&amp;"!P"&amp;7+LEFT(B12,1)*2)</f>
        <v>Canadá</v>
      </c>
      <c r="O12" s="180" t="str">
        <f ca="1">IFERROR(VLOOKUP(N12,Aux!$A:$C,3,0),"")</f>
        <v/>
      </c>
      <c r="P12" s="17"/>
      <c r="Q12" s="175" t="str">
        <f>+VLOOKUP(C12,Aux!F:L,7,0)</f>
        <v>AT&amp;T Stadium - ARLINGTON, TX</v>
      </c>
      <c r="S12" s="18" t="str">
        <f ca="1">IF(OR(J12="",L12=""),"",IF(J12&gt;L12,H12,IF(J12&lt;L12,N12,IF(OR(J13="",L13=""),"",IF(J13&gt;L13,H12,N12)))))</f>
        <v>Venezuela</v>
      </c>
    </row>
    <row r="13" spans="1:19" ht="15" customHeight="1" x14ac:dyDescent="0.2">
      <c r="C13" s="15"/>
      <c r="D13" s="19"/>
      <c r="E13" s="20"/>
      <c r="F13" s="181"/>
      <c r="G13" s="181"/>
      <c r="H13" s="21" t="s">
        <v>51</v>
      </c>
      <c r="I13" s="6"/>
      <c r="J13" s="9">
        <v>4</v>
      </c>
      <c r="K13" s="22" t="s">
        <v>41</v>
      </c>
      <c r="L13" s="9">
        <v>3</v>
      </c>
      <c r="M13" s="23"/>
      <c r="N13" s="23"/>
      <c r="O13" s="23"/>
      <c r="P13" s="23"/>
      <c r="Q13" s="175"/>
      <c r="S13" s="24"/>
    </row>
    <row r="14" spans="1:19" ht="15" customHeight="1" thickBot="1" x14ac:dyDescent="0.25">
      <c r="C14" s="15"/>
      <c r="D14" s="19"/>
      <c r="E14" s="20"/>
      <c r="F14" s="181"/>
      <c r="G14" s="181"/>
      <c r="H14" s="23"/>
      <c r="I14" s="6"/>
      <c r="J14" s="6"/>
      <c r="K14" s="8"/>
      <c r="L14" s="6"/>
      <c r="M14" s="6"/>
      <c r="N14" s="23"/>
      <c r="O14" s="23"/>
      <c r="P14" s="23"/>
      <c r="Q14" s="175"/>
      <c r="S14" s="24"/>
    </row>
    <row r="15" spans="1:19" ht="15" customHeight="1" thickBot="1" x14ac:dyDescent="0.25">
      <c r="A15" s="171" t="s">
        <v>56</v>
      </c>
      <c r="B15" s="171" t="s">
        <v>14</v>
      </c>
      <c r="C15" s="15">
        <f>C12+1</f>
        <v>27</v>
      </c>
      <c r="D15" s="71">
        <f>+VLOOKUP(C15,Aux!F:Z,4,0)</f>
        <v>45480.75</v>
      </c>
      <c r="E15" s="72">
        <f>+VLOOKUP(C15,Aux!F:Z,4,0)</f>
        <v>45480.75</v>
      </c>
      <c r="F15" s="180"/>
      <c r="G15" s="180" t="str">
        <f ca="1">IFERROR(VLOOKUP(H15,Aux!$A:$C,3,0),"")</f>
        <v/>
      </c>
      <c r="H15" s="7" t="str" cm="1">
        <f t="array" aca="1" ref="H15" ca="1">INDIRECT(RIGHT(A15,1)&amp;"!P"&amp;7+LEFT(A15,1)*2)</f>
        <v>Brasil</v>
      </c>
      <c r="I15" s="25"/>
      <c r="J15" s="16">
        <v>3</v>
      </c>
      <c r="K15" s="8" t="s">
        <v>41</v>
      </c>
      <c r="L15" s="16">
        <v>1</v>
      </c>
      <c r="M15" s="6"/>
      <c r="N15" s="17" t="str" cm="1">
        <f t="array" aca="1" ref="N15" ca="1">INDIRECT(RIGHT(B15,1)&amp;"!P"&amp;7+LEFT(B15,1)*2)</f>
        <v>Estados Unidos</v>
      </c>
      <c r="O15" s="180" t="str">
        <f ca="1">IFERROR(VLOOKUP(N15,Aux!$A:$C,3,0),"")</f>
        <v/>
      </c>
      <c r="P15" s="17"/>
      <c r="Q15" s="175" t="str">
        <f>+VLOOKUP(C15,Aux!F:L,7,0)</f>
        <v>Allegiant Stadium - LAS VEGAS, NV</v>
      </c>
      <c r="S15" s="18" t="str">
        <f ca="1">IF(OR(J15="",L15=""),"",IF(J15&gt;L15,H15,IF(J15&lt;L15,N15,IF(OR(J16="",L16=""),"",IF(J16&gt;L16,H15,N15)))))</f>
        <v>Brasil</v>
      </c>
    </row>
    <row r="16" spans="1:19" ht="15" customHeight="1" x14ac:dyDescent="0.2">
      <c r="C16" s="15"/>
      <c r="D16" s="19"/>
      <c r="E16" s="20"/>
      <c r="F16" s="181"/>
      <c r="G16" s="181"/>
      <c r="H16" s="21" t="s">
        <v>51</v>
      </c>
      <c r="I16" s="6"/>
      <c r="J16" s="9"/>
      <c r="K16" s="22" t="s">
        <v>41</v>
      </c>
      <c r="L16" s="9"/>
      <c r="M16" s="23"/>
      <c r="N16" s="23"/>
      <c r="O16" s="23"/>
      <c r="P16" s="23"/>
      <c r="Q16" s="175"/>
      <c r="S16" s="24"/>
    </row>
    <row r="17" spans="1:19" ht="15" customHeight="1" thickBot="1" x14ac:dyDescent="0.25">
      <c r="C17" s="15"/>
      <c r="D17" s="19"/>
      <c r="E17" s="20"/>
      <c r="F17" s="181"/>
      <c r="G17" s="181"/>
      <c r="H17" s="23"/>
      <c r="I17" s="6"/>
      <c r="J17" s="6"/>
      <c r="K17" s="8"/>
      <c r="L17" s="6"/>
      <c r="M17" s="6"/>
      <c r="N17" s="23"/>
      <c r="O17" s="23"/>
      <c r="P17" s="23"/>
      <c r="Q17" s="175"/>
      <c r="S17" s="24"/>
    </row>
    <row r="18" spans="1:19" ht="15" customHeight="1" thickBot="1" x14ac:dyDescent="0.25">
      <c r="A18" s="171" t="s">
        <v>52</v>
      </c>
      <c r="B18" s="171" t="s">
        <v>53</v>
      </c>
      <c r="C18" s="15">
        <f>+C15+1</f>
        <v>28</v>
      </c>
      <c r="D18" s="71">
        <f>+VLOOKUP(C18,Aux!F:Z,4,0)</f>
        <v>45480.875</v>
      </c>
      <c r="E18" s="72">
        <f>+VLOOKUP(C18,Aux!F:Z,4,0)</f>
        <v>45480.875</v>
      </c>
      <c r="F18" s="180"/>
      <c r="G18" s="180" t="str">
        <f ca="1">IFERROR(VLOOKUP(H18,Aux!$A:$C,3,0),"")</f>
        <v/>
      </c>
      <c r="H18" s="7" t="str" cm="1">
        <f t="array" aca="1" ref="H18" ca="1">INDIRECT(RIGHT(A18,1)&amp;"!P"&amp;7+LEFT(A18,1)*2)</f>
        <v>Uruguay</v>
      </c>
      <c r="I18" s="25"/>
      <c r="J18" s="16">
        <v>3</v>
      </c>
      <c r="K18" s="8" t="s">
        <v>41</v>
      </c>
      <c r="L18" s="16">
        <v>2</v>
      </c>
      <c r="M18" s="6"/>
      <c r="N18" s="17" t="str" cm="1">
        <f t="array" aca="1" ref="N18" ca="1">INDIRECT(RIGHT(B18,1)&amp;"!P"&amp;7+LEFT(B18,1)*2)</f>
        <v>Colombia</v>
      </c>
      <c r="O18" s="180" t="str">
        <f ca="1">IFERROR(VLOOKUP(N18,Aux!$A:$C,3,0),"")</f>
        <v/>
      </c>
      <c r="P18" s="17"/>
      <c r="Q18" s="175" t="str">
        <f>+VLOOKUP(C18,Aux!F:L,7,0)</f>
        <v>State Farm Stadium - GLENDALE, AZ</v>
      </c>
      <c r="S18" s="18" t="str">
        <f ca="1">IF(OR(J18="",L18=""),"",IF(J18&gt;L18,H18,IF(J18&lt;L18,N18,IF(OR(J19="",L19=""),"",IF(J19&gt;L19,H18,N18)))))</f>
        <v>Uruguay</v>
      </c>
    </row>
    <row r="19" spans="1:19" ht="15" customHeight="1" x14ac:dyDescent="0.2">
      <c r="C19" s="15"/>
      <c r="D19" s="19"/>
      <c r="E19" s="20"/>
      <c r="F19" s="181"/>
      <c r="G19" s="181"/>
      <c r="H19" s="21" t="s">
        <v>51</v>
      </c>
      <c r="I19" s="6"/>
      <c r="J19" s="9"/>
      <c r="K19" s="22" t="s">
        <v>41</v>
      </c>
      <c r="L19" s="9"/>
      <c r="M19" s="23"/>
      <c r="N19" s="23"/>
      <c r="O19" s="23"/>
      <c r="P19" s="23"/>
      <c r="Q19" s="182"/>
      <c r="S19" s="24"/>
    </row>
    <row r="20" spans="1:19" ht="15" customHeight="1" x14ac:dyDescent="0.2">
      <c r="C20" s="11"/>
      <c r="D20" s="12"/>
      <c r="E20" s="13"/>
      <c r="F20" s="14"/>
      <c r="G20" s="14"/>
      <c r="H20" s="14"/>
      <c r="I20" s="14"/>
      <c r="J20" s="14"/>
      <c r="K20" s="26"/>
      <c r="L20" s="14"/>
      <c r="M20" s="14"/>
      <c r="N20" s="14"/>
      <c r="O20" s="14"/>
      <c r="P20" s="14"/>
      <c r="Q20" s="11"/>
    </row>
    <row r="22" spans="1:19" ht="15" customHeight="1" thickBot="1" x14ac:dyDescent="0.25">
      <c r="S22" s="259"/>
    </row>
    <row r="23" spans="1:19" ht="15" customHeight="1" x14ac:dyDescent="0.2">
      <c r="S23" s="283" t="s">
        <v>193</v>
      </c>
    </row>
    <row r="24" spans="1:19" ht="15" customHeight="1" thickBot="1" x14ac:dyDescent="0.25">
      <c r="S24" s="284"/>
    </row>
    <row r="25" spans="1:19" ht="15" customHeight="1" x14ac:dyDescent="0.2">
      <c r="S25" s="273" t="s">
        <v>194</v>
      </c>
    </row>
    <row r="26" spans="1:19" ht="15" customHeight="1" thickBot="1" x14ac:dyDescent="0.25">
      <c r="S26" s="274"/>
    </row>
    <row r="27" spans="1:19" ht="15" customHeight="1" x14ac:dyDescent="0.2">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L14" sqref="L14"/>
    </sheetView>
  </sheetViews>
  <sheetFormatPr baseColWidth="10" defaultColWidth="14.5" defaultRowHeight="15" customHeight="1" x14ac:dyDescent="0.2"/>
  <cols>
    <col min="1" max="2" width="4.33203125" style="82" customWidth="1"/>
    <col min="3" max="3" width="3.6640625" customWidth="1"/>
    <col min="4" max="4" width="7.6640625" customWidth="1"/>
    <col min="5" max="5" width="6.6640625" customWidth="1"/>
    <col min="6" max="6" width="2.5" customWidth="1"/>
    <col min="7" max="7" width="5.6640625" customWidth="1"/>
    <col min="8" max="8" width="19.6640625" customWidth="1"/>
    <col min="9" max="9" width="2" customWidth="1"/>
    <col min="10" max="10" width="6.6640625" customWidth="1"/>
    <col min="11" max="11" width="2.6640625" customWidth="1"/>
    <col min="12" max="12" width="6.6640625" customWidth="1"/>
    <col min="13" max="13" width="2" customWidth="1"/>
    <col min="14" max="14" width="19.6640625" customWidth="1"/>
    <col min="15" max="15" width="5.6640625" customWidth="1"/>
    <col min="16" max="16" width="2.5" customWidth="1"/>
    <col min="17" max="17" width="37.5" customWidth="1"/>
    <col min="18" max="18" width="0.83203125" customWidth="1"/>
    <col min="19" max="19" width="19.5" customWidth="1"/>
    <col min="20" max="27" width="12.6640625" customWidth="1"/>
  </cols>
  <sheetData>
    <row r="7" spans="3:19" ht="18" customHeight="1" x14ac:dyDescent="0.2">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25">
      <c r="C8" s="5"/>
      <c r="D8" s="69"/>
      <c r="E8" s="70"/>
      <c r="F8" s="6"/>
      <c r="G8" s="6"/>
      <c r="H8" s="6"/>
      <c r="I8" s="6"/>
      <c r="J8" s="6"/>
      <c r="K8" s="6"/>
      <c r="L8" s="6"/>
      <c r="M8" s="6"/>
      <c r="N8" s="6"/>
      <c r="O8" s="6"/>
      <c r="P8" s="6"/>
      <c r="Q8" s="5"/>
    </row>
    <row r="9" spans="3:19" ht="15" customHeight="1" thickBot="1" x14ac:dyDescent="0.25">
      <c r="C9" s="15">
        <v>29</v>
      </c>
      <c r="D9" s="71">
        <f>+VLOOKUP(C9,Aux!F:Z,4,0)</f>
        <v>45482.833333333336</v>
      </c>
      <c r="E9" s="72">
        <f>+VLOOKUP(C9,Aux!F:Z,4,0)</f>
        <v>45482.833333333336</v>
      </c>
      <c r="F9" s="180"/>
      <c r="G9" s="180" t="str">
        <f ca="1">IFERROR(VLOOKUP(H9,Aux!$A:$C,3,0),"")</f>
        <v/>
      </c>
      <c r="H9" s="7" t="str">
        <f ca="1">+Cuartos!S9</f>
        <v>Argentina</v>
      </c>
      <c r="I9" s="8"/>
      <c r="J9" s="16">
        <v>3</v>
      </c>
      <c r="K9" s="8" t="s">
        <v>41</v>
      </c>
      <c r="L9" s="16">
        <v>1</v>
      </c>
      <c r="M9" s="6"/>
      <c r="N9" s="17" t="str">
        <f ca="1">+Cuartos!S12</f>
        <v>Venezuela</v>
      </c>
      <c r="O9" s="180" t="str">
        <f ca="1">IFERROR(VLOOKUP(N9,Aux!$A:$C,3,0),"")</f>
        <v/>
      </c>
      <c r="P9" s="17"/>
      <c r="Q9" s="175" t="str">
        <f>+VLOOKUP(C9,Aux!F:L,7,0)</f>
        <v>MetLife Stadium - EAST RUTHERFORD, NJ</v>
      </c>
      <c r="S9" s="18" t="str">
        <f ca="1">IF(OR(J9="",L9=""),"",IF(J9&gt;L9,H9,IF(J9&lt;L9,N9,IF(OR(J10="",L10=""),"",IF(J10&gt;L10,H9,N9)))))</f>
        <v>Argentina</v>
      </c>
    </row>
    <row r="10" spans="3:19" ht="15" customHeight="1" x14ac:dyDescent="0.2">
      <c r="C10" s="15"/>
      <c r="D10" s="19"/>
      <c r="E10" s="20"/>
      <c r="F10" s="181"/>
      <c r="G10" s="181"/>
      <c r="H10" s="21" t="s">
        <v>51</v>
      </c>
      <c r="I10" s="6"/>
      <c r="J10" s="9"/>
      <c r="K10" s="22" t="s">
        <v>41</v>
      </c>
      <c r="L10" s="9"/>
      <c r="M10" s="23"/>
      <c r="N10" s="23"/>
      <c r="O10" s="23"/>
      <c r="P10" s="23"/>
      <c r="Q10" s="175"/>
      <c r="S10" s="24"/>
    </row>
    <row r="11" spans="3:19" ht="15" customHeight="1" thickBot="1" x14ac:dyDescent="0.25">
      <c r="C11" s="15"/>
      <c r="D11" s="19"/>
      <c r="E11" s="20"/>
      <c r="F11" s="181"/>
      <c r="G11" s="181"/>
      <c r="H11" s="23"/>
      <c r="I11" s="6"/>
      <c r="J11" s="6"/>
      <c r="K11" s="8"/>
      <c r="L11" s="6"/>
      <c r="M11" s="6"/>
      <c r="N11" s="23"/>
      <c r="O11" s="23"/>
      <c r="P11" s="23"/>
      <c r="Q11" s="175"/>
      <c r="S11" s="24"/>
    </row>
    <row r="12" spans="3:19" ht="15" customHeight="1" thickBot="1" x14ac:dyDescent="0.25">
      <c r="C12" s="15">
        <f>+C9+1</f>
        <v>30</v>
      </c>
      <c r="D12" s="71">
        <f>+VLOOKUP(C12,Aux!F:Z,4,0)</f>
        <v>45483.833333333336</v>
      </c>
      <c r="E12" s="72">
        <f>+VLOOKUP(C12,Aux!F:Z,4,0)</f>
        <v>45483.833333333336</v>
      </c>
      <c r="F12" s="180"/>
      <c r="G12" s="180" t="str">
        <f ca="1">IFERROR(VLOOKUP(H12,Aux!$A:$C,3,0),"")</f>
        <v/>
      </c>
      <c r="H12" s="7" t="str">
        <f ca="1">+Cuartos!S18</f>
        <v>Uruguay</v>
      </c>
      <c r="I12" s="25"/>
      <c r="J12" s="16">
        <v>2</v>
      </c>
      <c r="K12" s="8" t="s">
        <v>41</v>
      </c>
      <c r="L12" s="16">
        <v>2</v>
      </c>
      <c r="M12" s="6"/>
      <c r="N12" s="17" t="str">
        <f ca="1">+Cuartos!S15</f>
        <v>Brasil</v>
      </c>
      <c r="O12" s="180" t="str">
        <f ca="1">IFERROR(VLOOKUP(N12,Aux!$A:$C,3,0),"")</f>
        <v/>
      </c>
      <c r="P12" s="17"/>
      <c r="Q12" s="175" t="str">
        <f>+VLOOKUP(C12,Aux!F:L,7,0)</f>
        <v>Bank of America Stadium - CHARLOTTE, NC</v>
      </c>
      <c r="S12" s="18" t="str">
        <f ca="1">IF(OR(J12="",L12=""),"",IF(J12&gt;L12,H12,IF(J12&lt;L12,N12,IF(OR(J13="",L13=""),"",IF(J13&gt;L13,H12,N12)))))</f>
        <v>Brasil</v>
      </c>
    </row>
    <row r="13" spans="3:19" ht="15" customHeight="1" x14ac:dyDescent="0.2">
      <c r="C13" s="15"/>
      <c r="D13" s="19"/>
      <c r="E13" s="20"/>
      <c r="F13" s="181"/>
      <c r="G13" s="181"/>
      <c r="H13" s="21" t="s">
        <v>51</v>
      </c>
      <c r="I13" s="6"/>
      <c r="J13" s="9">
        <v>3</v>
      </c>
      <c r="K13" s="22" t="s">
        <v>41</v>
      </c>
      <c r="L13" s="9">
        <v>4</v>
      </c>
      <c r="M13" s="23"/>
      <c r="N13" s="23"/>
      <c r="O13" s="23"/>
      <c r="P13" s="23"/>
      <c r="Q13" s="10"/>
      <c r="S13" s="24"/>
    </row>
    <row r="14" spans="3:19" ht="15" customHeight="1" x14ac:dyDescent="0.2">
      <c r="C14" s="11"/>
      <c r="D14" s="12"/>
      <c r="E14" s="13"/>
      <c r="F14" s="14"/>
      <c r="G14" s="14"/>
      <c r="H14" s="14"/>
      <c r="I14" s="14"/>
      <c r="J14" s="14"/>
      <c r="K14" s="26"/>
      <c r="L14" s="14"/>
      <c r="M14" s="14"/>
      <c r="N14" s="14"/>
      <c r="O14" s="14"/>
      <c r="P14" s="14"/>
      <c r="Q14" s="11"/>
    </row>
    <row r="16" spans="3:19" ht="15" customHeight="1" thickBot="1" x14ac:dyDescent="0.25">
      <c r="S16" s="259"/>
    </row>
    <row r="17" spans="19:19" ht="15" customHeight="1" x14ac:dyDescent="0.2">
      <c r="S17" s="283" t="s">
        <v>193</v>
      </c>
    </row>
    <row r="18" spans="19:19" ht="15" customHeight="1" thickBot="1" x14ac:dyDescent="0.25">
      <c r="S18" s="284"/>
    </row>
    <row r="19" spans="19:19" ht="15" customHeight="1" x14ac:dyDescent="0.2">
      <c r="S19" s="273" t="s">
        <v>194</v>
      </c>
    </row>
    <row r="20" spans="19:19" ht="15" customHeight="1" thickBot="1" x14ac:dyDescent="0.25">
      <c r="S20" s="274"/>
    </row>
    <row r="21" spans="19:19" ht="15" customHeight="1" x14ac:dyDescent="0.2">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L16" sqref="L16"/>
    </sheetView>
  </sheetViews>
  <sheetFormatPr baseColWidth="10" defaultColWidth="14.5" defaultRowHeight="15" customHeight="1" x14ac:dyDescent="0.2"/>
  <cols>
    <col min="1" max="2" width="4.33203125" style="82" customWidth="1"/>
    <col min="3" max="3" width="3.6640625" customWidth="1"/>
    <col min="4" max="4" width="7.6640625" customWidth="1"/>
    <col min="5" max="5" width="6.6640625" customWidth="1"/>
    <col min="6" max="6" width="2.5" customWidth="1"/>
    <col min="7" max="7" width="5.6640625" customWidth="1"/>
    <col min="8" max="8" width="19.6640625" customWidth="1"/>
    <col min="9" max="9" width="2" customWidth="1"/>
    <col min="10" max="10" width="6.6640625" customWidth="1"/>
    <col min="11" max="11" width="2.6640625" customWidth="1"/>
    <col min="12" max="12" width="6.6640625" customWidth="1"/>
    <col min="13" max="13" width="2" customWidth="1"/>
    <col min="14" max="14" width="19.6640625" customWidth="1"/>
    <col min="15" max="15" width="5.6640625" customWidth="1"/>
    <col min="16" max="16" width="2.5" customWidth="1"/>
    <col min="17" max="17" width="37.5" customWidth="1"/>
    <col min="18" max="18" width="0.83203125" customWidth="1"/>
    <col min="19" max="19" width="19.5" customWidth="1"/>
    <col min="20" max="27" width="12.6640625" customWidth="1"/>
  </cols>
  <sheetData>
    <row r="7" spans="3:17" ht="18" customHeight="1" x14ac:dyDescent="0.2">
      <c r="C7" s="73" t="s">
        <v>34</v>
      </c>
      <c r="D7" s="74" t="s">
        <v>35</v>
      </c>
      <c r="E7" s="74" t="s">
        <v>36</v>
      </c>
      <c r="F7" s="179"/>
      <c r="G7" s="179"/>
      <c r="H7" s="285" t="s">
        <v>166</v>
      </c>
      <c r="I7" s="285"/>
      <c r="J7" s="285"/>
      <c r="K7" s="285"/>
      <c r="L7" s="285"/>
      <c r="M7" s="285"/>
      <c r="N7" s="285"/>
      <c r="O7" s="177"/>
      <c r="P7" s="177"/>
      <c r="Q7" s="75" t="s">
        <v>38</v>
      </c>
    </row>
    <row r="8" spans="3:17" ht="15" customHeight="1" x14ac:dyDescent="0.2">
      <c r="C8" s="5"/>
      <c r="D8" s="69"/>
      <c r="E8" s="70"/>
      <c r="F8" s="6"/>
      <c r="G8" s="6"/>
      <c r="H8" s="6"/>
      <c r="I8" s="6"/>
      <c r="J8" s="6"/>
      <c r="K8" s="6"/>
      <c r="L8" s="6"/>
      <c r="M8" s="6"/>
      <c r="N8" s="6"/>
      <c r="O8" s="6"/>
      <c r="P8" s="6"/>
      <c r="Q8" s="5"/>
    </row>
    <row r="9" spans="3:17" ht="15" customHeight="1" x14ac:dyDescent="0.2">
      <c r="C9" s="15">
        <v>31</v>
      </c>
      <c r="D9" s="71">
        <f>+VLOOKUP(C9,Aux!F:Z,4,0)</f>
        <v>45486.833333333336</v>
      </c>
      <c r="E9" s="72">
        <f>+VLOOKUP(C9,Aux!F:Z,4,0)</f>
        <v>45486.833333333336</v>
      </c>
      <c r="F9" s="180"/>
      <c r="G9" s="180" t="str">
        <f ca="1">IFERROR(VLOOKUP(H9,Aux!$A:$C,3,0),"")</f>
        <v/>
      </c>
      <c r="H9" s="7" t="str">
        <f ca="1">IF(OR(Semis!J9="",Semis!L9=""),"",IF(Semis!J9&gt;Semis!L9,Semis!N9,IF(Semis!J9&lt;Semis!L9,Semis!H9,IF(OR(Semis!J10="",Semis!L10=""),"",IF(Semis!J10&gt;Semis!L10,Semis!N9,Semis!H9)))))</f>
        <v>Venezuela</v>
      </c>
      <c r="I9" s="8"/>
      <c r="J9" s="16">
        <v>2</v>
      </c>
      <c r="K9" s="8" t="s">
        <v>41</v>
      </c>
      <c r="L9" s="16">
        <v>1</v>
      </c>
      <c r="M9" s="6"/>
      <c r="N9" s="17" t="str">
        <f ca="1">IF(OR(Semis!J12="",Semis!L12=""),"",IF(Semis!J12&gt;Semis!L12,Semis!N12,IF(Semis!J12&lt;Semis!L12,Semis!H12,IF(OR(Semis!J13="",Semis!L13=""),"",IF(Semis!J13&gt;Semis!L13,Semis!N12,Semis!H12)))))</f>
        <v>Uruguay</v>
      </c>
      <c r="O9" s="180" t="str">
        <f ca="1">IFERROR(VLOOKUP(N9,Aux!$A:$C,3,0),"")</f>
        <v/>
      </c>
      <c r="P9" s="17"/>
      <c r="Q9" s="175" t="str">
        <f>+VLOOKUP(C9,Aux!F:L,7,0)</f>
        <v>Bank of America Stadium - CHARLOTTE, NC</v>
      </c>
    </row>
    <row r="10" spans="3:17" ht="15" customHeight="1" x14ac:dyDescent="0.2">
      <c r="C10" s="15"/>
      <c r="D10" s="19"/>
      <c r="E10" s="20"/>
      <c r="F10" s="181"/>
      <c r="G10" s="181"/>
      <c r="H10" s="21" t="s">
        <v>51</v>
      </c>
      <c r="I10" s="6"/>
      <c r="J10" s="9"/>
      <c r="K10" s="22" t="s">
        <v>41</v>
      </c>
      <c r="L10" s="9"/>
      <c r="M10" s="23"/>
      <c r="N10" s="23"/>
      <c r="O10" s="23"/>
      <c r="P10" s="23"/>
      <c r="Q10" s="10"/>
    </row>
    <row r="11" spans="3:17" ht="15" customHeight="1" x14ac:dyDescent="0.2">
      <c r="C11" s="11"/>
      <c r="D11" s="12"/>
      <c r="E11" s="13"/>
      <c r="F11" s="14"/>
      <c r="G11" s="14"/>
      <c r="H11" s="14"/>
      <c r="I11" s="14"/>
      <c r="J11" s="14"/>
      <c r="K11" s="26"/>
      <c r="L11" s="14"/>
      <c r="M11" s="14"/>
      <c r="N11" s="14"/>
      <c r="O11" s="14"/>
      <c r="P11" s="14"/>
      <c r="Q11" s="11"/>
    </row>
    <row r="13" spans="3:17" ht="18" customHeight="1" x14ac:dyDescent="0.2">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
      <c r="C14" s="5"/>
      <c r="D14" s="69"/>
      <c r="E14" s="70"/>
      <c r="F14" s="6"/>
      <c r="G14" s="6"/>
      <c r="H14" s="6"/>
      <c r="I14" s="6"/>
      <c r="J14" s="6"/>
      <c r="K14" s="6"/>
      <c r="L14" s="6"/>
      <c r="M14" s="6"/>
      <c r="N14" s="6"/>
      <c r="O14" s="6"/>
      <c r="P14" s="6"/>
      <c r="Q14" s="5"/>
    </row>
    <row r="15" spans="3:17" ht="15" customHeight="1" x14ac:dyDescent="0.2">
      <c r="C15" s="15">
        <v>32</v>
      </c>
      <c r="D15" s="71">
        <f>+VLOOKUP(C15,Aux!F:Z,4,0)</f>
        <v>45487.833333333336</v>
      </c>
      <c r="E15" s="72">
        <f>+VLOOKUP(C15,Aux!F:Z,4,0)</f>
        <v>45487.833333333336</v>
      </c>
      <c r="F15" s="180"/>
      <c r="G15" s="180" t="str">
        <f ca="1">IFERROR(VLOOKUP(H15,Aux!$A:$C,3,0),"")</f>
        <v/>
      </c>
      <c r="H15" s="7" t="str">
        <f ca="1">+Semis!S9</f>
        <v>Argentina</v>
      </c>
      <c r="I15" s="8"/>
      <c r="J15" s="16">
        <v>0</v>
      </c>
      <c r="K15" s="8" t="s">
        <v>41</v>
      </c>
      <c r="L15" s="16">
        <v>2</v>
      </c>
      <c r="M15" s="6"/>
      <c r="N15" s="17" t="str">
        <f ca="1">+Semis!S12</f>
        <v>Brasil</v>
      </c>
      <c r="O15" s="180" t="str">
        <f ca="1">IFERROR(VLOOKUP(N15,Aux!$A:$C,3,0),"")</f>
        <v/>
      </c>
      <c r="P15" s="17"/>
      <c r="Q15" s="175" t="str">
        <f>+VLOOKUP(C15,Aux!F:L,7,0)</f>
        <v>Hard Rock Stadium - MIAMI, FL</v>
      </c>
    </row>
    <row r="16" spans="3:17" ht="15" customHeight="1" x14ac:dyDescent="0.2">
      <c r="C16" s="15"/>
      <c r="D16" s="19"/>
      <c r="E16" s="20"/>
      <c r="F16" s="181"/>
      <c r="G16" s="181"/>
      <c r="H16" s="21" t="s">
        <v>51</v>
      </c>
      <c r="I16" s="6"/>
      <c r="J16" s="9"/>
      <c r="K16" s="22" t="s">
        <v>41</v>
      </c>
      <c r="L16" s="9">
        <v>2</v>
      </c>
      <c r="M16" s="23"/>
      <c r="N16" s="23"/>
      <c r="O16" s="23"/>
      <c r="P16" s="23"/>
      <c r="Q16" s="10"/>
    </row>
    <row r="17" spans="3:19" ht="15" customHeight="1" x14ac:dyDescent="0.2">
      <c r="C17" s="11"/>
      <c r="D17" s="12"/>
      <c r="E17" s="13"/>
      <c r="F17" s="14"/>
      <c r="G17" s="14"/>
      <c r="H17" s="14"/>
      <c r="I17" s="14"/>
      <c r="J17" s="14"/>
      <c r="K17" s="26"/>
      <c r="L17" s="14"/>
      <c r="M17" s="14"/>
      <c r="N17" s="14"/>
      <c r="O17" s="14"/>
      <c r="P17" s="14"/>
      <c r="Q17" s="11"/>
    </row>
    <row r="19" spans="3:19" ht="15" customHeight="1" thickBot="1" x14ac:dyDescent="0.25">
      <c r="H19" s="287" t="s">
        <v>164</v>
      </c>
      <c r="I19" s="287"/>
      <c r="J19" s="287"/>
      <c r="K19" s="287"/>
      <c r="L19" s="287"/>
      <c r="M19" s="287"/>
      <c r="N19" s="287"/>
      <c r="S19" s="259"/>
    </row>
    <row r="20" spans="3:19" ht="15" customHeight="1" x14ac:dyDescent="0.2">
      <c r="H20" s="287"/>
      <c r="I20" s="287"/>
      <c r="J20" s="287"/>
      <c r="K20" s="287"/>
      <c r="L20" s="287"/>
      <c r="M20" s="287"/>
      <c r="N20" s="287"/>
      <c r="S20" s="283" t="s">
        <v>193</v>
      </c>
    </row>
    <row r="21" spans="3:19" ht="15" customHeight="1" thickBot="1" x14ac:dyDescent="0.25">
      <c r="S21" s="284"/>
    </row>
    <row r="22" spans="3:19" ht="15" customHeight="1" x14ac:dyDescent="0.2">
      <c r="H22" s="288" t="str">
        <f ca="1">IF(OR(J15="",L15=""),"",IF(J15&gt;L15,H15,IF(J15&lt;L15,N15,IF(OR(J16="",L16=""),"",IF(J16&gt;L16,H15,N15)))))</f>
        <v>Brasil</v>
      </c>
      <c r="I22" s="288"/>
      <c r="J22" s="288"/>
      <c r="K22" s="288"/>
      <c r="L22" s="288"/>
      <c r="M22" s="288"/>
      <c r="N22" s="288"/>
      <c r="S22" s="273" t="s">
        <v>194</v>
      </c>
    </row>
    <row r="23" spans="3:19" s="82" customFormat="1" ht="15.75" customHeight="1" thickBot="1" x14ac:dyDescent="0.25">
      <c r="C23"/>
      <c r="D23"/>
      <c r="E23"/>
      <c r="F23"/>
      <c r="G23"/>
      <c r="H23" s="288"/>
      <c r="I23" s="288"/>
      <c r="J23" s="288"/>
      <c r="K23" s="288"/>
      <c r="L23" s="288"/>
      <c r="M23" s="288"/>
      <c r="N23" s="288"/>
      <c r="O23" s="178"/>
      <c r="P23" s="178"/>
      <c r="Q23"/>
      <c r="S23" s="274"/>
    </row>
    <row r="24" spans="3:19" s="82" customFormat="1" ht="15.75" customHeight="1" x14ac:dyDescent="0.2">
      <c r="C24"/>
      <c r="D24"/>
      <c r="E24"/>
      <c r="F24"/>
      <c r="G24"/>
      <c r="H24" s="178"/>
      <c r="I24" s="178"/>
      <c r="J24" s="178"/>
      <c r="K24" s="178"/>
      <c r="L24" s="178"/>
      <c r="M24" s="178"/>
      <c r="N24" s="178"/>
      <c r="O24" s="178"/>
      <c r="P24" s="178"/>
      <c r="Q24"/>
      <c r="S24" s="50"/>
    </row>
    <row r="25" spans="3:19" ht="15" customHeight="1" x14ac:dyDescent="0.2">
      <c r="H25" s="286" t="str">
        <f ca="1">IFERROR(VLOOKUP(H22,Aux!$A:$C,3,0),"")</f>
        <v/>
      </c>
      <c r="I25" s="286"/>
      <c r="J25" s="286"/>
      <c r="K25" s="286"/>
      <c r="L25" s="286"/>
      <c r="M25" s="286"/>
      <c r="N25" s="286"/>
    </row>
    <row r="26" spans="3:19" ht="15" customHeight="1" x14ac:dyDescent="0.2">
      <c r="H26" s="286"/>
      <c r="I26" s="286"/>
      <c r="J26" s="286"/>
      <c r="K26" s="286"/>
      <c r="L26" s="286"/>
      <c r="M26" s="286"/>
      <c r="N26" s="286"/>
    </row>
    <row r="27" spans="3:19" ht="15" customHeight="1" x14ac:dyDescent="0.2">
      <c r="H27" s="286"/>
      <c r="I27" s="286"/>
      <c r="J27" s="286"/>
      <c r="K27" s="286"/>
      <c r="L27" s="286"/>
      <c r="M27" s="286"/>
      <c r="N27" s="286"/>
    </row>
    <row r="28" spans="3:19" ht="15" customHeight="1" x14ac:dyDescent="0.2">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
  <cols>
    <col min="1" max="1" width="24.5" style="2" customWidth="1"/>
    <col min="3" max="3" width="15" customWidth="1"/>
    <col min="6" max="6" width="6.33203125" customWidth="1"/>
    <col min="7" max="7" width="11.5" customWidth="1"/>
    <col min="8" max="8" width="20.33203125" customWidth="1"/>
    <col min="9" max="9" width="18.5" customWidth="1"/>
    <col min="12" max="12" width="37.83203125" bestFit="1" customWidth="1"/>
    <col min="13" max="13" width="10.33203125" style="68" customWidth="1"/>
    <col min="14" max="15" width="10.6640625" style="68"/>
  </cols>
  <sheetData>
    <row r="1" spans="1:27" x14ac:dyDescent="0.2">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25" customHeight="1" x14ac:dyDescent="0.2">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25" customHeight="1" x14ac:dyDescent="0.2">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2</v>
      </c>
      <c r="R3" s="1" t="s">
        <v>13</v>
      </c>
      <c r="S3" s="2" t="s">
        <v>19</v>
      </c>
      <c r="T3" s="2" t="s">
        <v>110</v>
      </c>
      <c r="W3" t="s">
        <v>180</v>
      </c>
      <c r="X3">
        <f>+Normas!C6</f>
        <v>5</v>
      </c>
      <c r="AA3" s="67"/>
    </row>
    <row r="4" spans="1:27" ht="25.25" customHeight="1" x14ac:dyDescent="0.2">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0</v>
      </c>
      <c r="O4" s="68">
        <f t="shared" ca="1" si="3"/>
        <v>1</v>
      </c>
      <c r="R4" s="1" t="s">
        <v>13</v>
      </c>
      <c r="S4" s="2" t="s">
        <v>20</v>
      </c>
      <c r="T4" s="2" t="s">
        <v>111</v>
      </c>
      <c r="W4" t="s">
        <v>181</v>
      </c>
      <c r="X4">
        <f>+Normas!C8</f>
        <v>5</v>
      </c>
    </row>
    <row r="5" spans="1:27" ht="25.25" customHeight="1" x14ac:dyDescent="0.2">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0</v>
      </c>
      <c r="O5" s="68">
        <f t="shared" ca="1" si="3"/>
        <v>0</v>
      </c>
      <c r="R5" s="1" t="s">
        <v>13</v>
      </c>
      <c r="S5" s="2" t="s">
        <v>21</v>
      </c>
      <c r="T5" s="2" t="s">
        <v>134</v>
      </c>
      <c r="W5" t="s">
        <v>182</v>
      </c>
      <c r="X5">
        <f>+Normas!C10</f>
        <v>0</v>
      </c>
    </row>
    <row r="6" spans="1:27" ht="25.25" customHeight="1" x14ac:dyDescent="0.2">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1</v>
      </c>
      <c r="R6" s="1" t="s">
        <v>12</v>
      </c>
      <c r="S6" s="2" t="s">
        <v>22</v>
      </c>
      <c r="T6" s="2" t="s">
        <v>116</v>
      </c>
      <c r="W6" t="s">
        <v>183</v>
      </c>
      <c r="X6">
        <f>+Normas!C9</f>
        <v>5</v>
      </c>
    </row>
    <row r="7" spans="1:27" ht="25.25" customHeight="1" x14ac:dyDescent="0.2">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0</v>
      </c>
      <c r="R7" s="1" t="s">
        <v>12</v>
      </c>
      <c r="S7" s="2" t="s">
        <v>23</v>
      </c>
      <c r="T7" s="2" t="s">
        <v>113</v>
      </c>
      <c r="W7" t="s">
        <v>184</v>
      </c>
      <c r="X7">
        <f>+Normas!C11</f>
        <v>5</v>
      </c>
    </row>
    <row r="8" spans="1:27" ht="25.25" customHeight="1" x14ac:dyDescent="0.2">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0</v>
      </c>
      <c r="R8" s="1" t="s">
        <v>12</v>
      </c>
      <c r="S8" s="2" t="s">
        <v>24</v>
      </c>
      <c r="T8" s="2" t="s">
        <v>114</v>
      </c>
      <c r="W8" t="s">
        <v>185</v>
      </c>
      <c r="X8">
        <f>+Normas!C13</f>
        <v>0</v>
      </c>
    </row>
    <row r="9" spans="1:27" ht="25.25" customHeight="1" x14ac:dyDescent="0.2">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3</v>
      </c>
      <c r="O9" s="68">
        <f t="shared" ca="1" si="3"/>
        <v>0</v>
      </c>
      <c r="R9" s="1" t="s">
        <v>12</v>
      </c>
      <c r="S9" s="2" t="s">
        <v>25</v>
      </c>
      <c r="T9" s="2" t="s">
        <v>117</v>
      </c>
      <c r="W9" t="s">
        <v>186</v>
      </c>
      <c r="X9">
        <f>+Normas!C12</f>
        <v>5</v>
      </c>
    </row>
    <row r="10" spans="1:27" ht="25.25" customHeight="1" x14ac:dyDescent="0.2">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0</v>
      </c>
      <c r="R10" s="1" t="s">
        <v>15</v>
      </c>
      <c r="S10" s="2" t="s">
        <v>26</v>
      </c>
      <c r="T10" s="2" t="s">
        <v>122</v>
      </c>
      <c r="W10" t="s">
        <v>187</v>
      </c>
      <c r="X10">
        <f>+Normas!C14</f>
        <v>5</v>
      </c>
    </row>
    <row r="11" spans="1:27" ht="25.25" customHeight="1" x14ac:dyDescent="0.2">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1</v>
      </c>
      <c r="O11" s="68">
        <f t="shared" ca="1" si="3"/>
        <v>3</v>
      </c>
      <c r="R11" s="1" t="s">
        <v>15</v>
      </c>
      <c r="S11" s="2" t="s">
        <v>27</v>
      </c>
      <c r="T11" s="2" t="s">
        <v>123</v>
      </c>
      <c r="W11" t="s">
        <v>188</v>
      </c>
      <c r="X11">
        <f>+Normas!C16</f>
        <v>0</v>
      </c>
    </row>
    <row r="12" spans="1:27" ht="25.25" customHeight="1" x14ac:dyDescent="0.2">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2</v>
      </c>
      <c r="O12" s="68">
        <f t="shared" ca="1" si="3"/>
        <v>0</v>
      </c>
      <c r="R12" s="1" t="s">
        <v>15</v>
      </c>
      <c r="S12" s="2" t="s">
        <v>28</v>
      </c>
      <c r="T12" s="2" t="s">
        <v>125</v>
      </c>
      <c r="W12" t="s">
        <v>189</v>
      </c>
      <c r="X12">
        <f>+Normas!C15</f>
        <v>5</v>
      </c>
    </row>
    <row r="13" spans="1:27" ht="25.25" customHeight="1" x14ac:dyDescent="0.2">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25" customHeight="1" x14ac:dyDescent="0.2">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1</v>
      </c>
      <c r="O14" s="68">
        <f t="shared" ca="1" si="3"/>
        <v>2</v>
      </c>
      <c r="R14" s="1" t="s">
        <v>17</v>
      </c>
      <c r="S14" s="2" t="s">
        <v>30</v>
      </c>
      <c r="T14" s="2" t="s">
        <v>127</v>
      </c>
      <c r="W14" t="s">
        <v>170</v>
      </c>
      <c r="X14">
        <f>+Normas!C18</f>
        <v>15</v>
      </c>
    </row>
    <row r="15" spans="1:27" ht="25.25" customHeight="1" x14ac:dyDescent="0.2">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0</v>
      </c>
      <c r="R15" s="1" t="s">
        <v>17</v>
      </c>
      <c r="S15" s="2" t="s">
        <v>31</v>
      </c>
      <c r="T15" s="2" t="s">
        <v>128</v>
      </c>
      <c r="W15" t="s">
        <v>171</v>
      </c>
      <c r="X15">
        <f>+Normas!C19</f>
        <v>20</v>
      </c>
    </row>
    <row r="16" spans="1:27" ht="25.25" customHeight="1" x14ac:dyDescent="0.2">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2</v>
      </c>
      <c r="O16" s="68">
        <f t="shared" ca="1" si="3"/>
        <v>1</v>
      </c>
      <c r="R16" s="1" t="s">
        <v>17</v>
      </c>
      <c r="S16" s="2" t="s">
        <v>32</v>
      </c>
      <c r="T16" s="2" t="s">
        <v>130</v>
      </c>
      <c r="W16" t="s">
        <v>172</v>
      </c>
      <c r="X16">
        <f>+Normas!C20</f>
        <v>25</v>
      </c>
    </row>
    <row r="17" spans="1:24" ht="25.25" customHeight="1" x14ac:dyDescent="0.2">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2</v>
      </c>
      <c r="O17" s="68">
        <f t="shared" ca="1" si="3"/>
        <v>3</v>
      </c>
      <c r="R17" s="1" t="s">
        <v>17</v>
      </c>
      <c r="S17" s="2" t="s">
        <v>33</v>
      </c>
      <c r="T17" s="2" t="s">
        <v>135</v>
      </c>
      <c r="W17" t="s">
        <v>173</v>
      </c>
      <c r="X17">
        <f>+Normas!C21</f>
        <v>30</v>
      </c>
    </row>
    <row r="18" spans="1:24" ht="25.25" customHeight="1" x14ac:dyDescent="0.2">
      <c r="A18" s="3"/>
      <c r="B18" s="67"/>
      <c r="C18" s="1"/>
      <c r="F18">
        <v>17</v>
      </c>
      <c r="G18" s="68">
        <v>-4</v>
      </c>
      <c r="H18" s="172">
        <v>45472.833333333336</v>
      </c>
      <c r="I18" s="174">
        <f t="shared" si="1"/>
        <v>45472.833333333336</v>
      </c>
      <c r="J18" s="171" t="s">
        <v>108</v>
      </c>
      <c r="K18" s="171" t="s">
        <v>110</v>
      </c>
      <c r="L18" s="171" t="s">
        <v>118</v>
      </c>
      <c r="M18" s="1" t="s">
        <v>13</v>
      </c>
      <c r="N18" s="68">
        <f t="shared" ca="1" si="2"/>
        <v>1</v>
      </c>
      <c r="O18" s="68">
        <f t="shared" ca="1" si="3"/>
        <v>0</v>
      </c>
      <c r="R18" s="1"/>
      <c r="S18" s="2"/>
      <c r="T18" s="2"/>
      <c r="W18" t="s">
        <v>94</v>
      </c>
      <c r="X18">
        <f>+Normas!C22</f>
        <v>50</v>
      </c>
    </row>
    <row r="19" spans="1:24" ht="25.25" customHeight="1" x14ac:dyDescent="0.2">
      <c r="A19" s="3"/>
      <c r="B19" s="67"/>
      <c r="C19" s="1"/>
      <c r="F19">
        <v>18</v>
      </c>
      <c r="G19" s="68">
        <v>-4</v>
      </c>
      <c r="H19" s="172">
        <v>45472.833333333336</v>
      </c>
      <c r="I19" s="174">
        <f t="shared" si="1"/>
        <v>45472.833333333336</v>
      </c>
      <c r="J19" s="171" t="s">
        <v>134</v>
      </c>
      <c r="K19" s="171" t="s">
        <v>111</v>
      </c>
      <c r="L19" s="171" t="s">
        <v>131</v>
      </c>
      <c r="M19" s="1" t="s">
        <v>13</v>
      </c>
      <c r="N19" s="68">
        <f t="shared" ca="1" si="2"/>
        <v>2</v>
      </c>
      <c r="O19" s="68">
        <f t="shared" ca="1" si="3"/>
        <v>1</v>
      </c>
      <c r="R19" s="1"/>
      <c r="S19" s="2"/>
      <c r="T19" s="2"/>
    </row>
    <row r="20" spans="1:24" ht="25.25" customHeight="1" x14ac:dyDescent="0.2">
      <c r="A20" s="3"/>
      <c r="B20" s="67"/>
      <c r="C20" s="1"/>
      <c r="F20">
        <v>19</v>
      </c>
      <c r="G20" s="68">
        <v>-7</v>
      </c>
      <c r="H20" s="172">
        <v>45473.708333333336</v>
      </c>
      <c r="I20" s="174">
        <f t="shared" si="1"/>
        <v>45473.833333333336</v>
      </c>
      <c r="J20" s="171" t="s">
        <v>116</v>
      </c>
      <c r="K20" s="171" t="s">
        <v>113</v>
      </c>
      <c r="L20" s="171" t="s">
        <v>129</v>
      </c>
      <c r="M20" s="1" t="s">
        <v>12</v>
      </c>
      <c r="N20" s="68">
        <f t="shared" ca="1" si="2"/>
        <v>1</v>
      </c>
      <c r="O20" s="68">
        <f t="shared" ca="1" si="3"/>
        <v>2</v>
      </c>
      <c r="R20" s="1"/>
      <c r="S20" s="2"/>
      <c r="T20" s="2"/>
    </row>
    <row r="21" spans="1:24" ht="25.25" customHeight="1" x14ac:dyDescent="0.2">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2</v>
      </c>
      <c r="R21" s="1"/>
      <c r="S21" s="2"/>
    </row>
    <row r="22" spans="1:24" ht="25.25" customHeight="1" x14ac:dyDescent="0.2">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25" customHeight="1" x14ac:dyDescent="0.2">
      <c r="A23" s="3"/>
      <c r="B23" s="67"/>
      <c r="C23" s="1"/>
      <c r="F23">
        <v>22</v>
      </c>
      <c r="G23" s="68">
        <v>-4</v>
      </c>
      <c r="H23" s="172">
        <v>45474.875</v>
      </c>
      <c r="I23" s="174">
        <f t="shared" si="1"/>
        <v>45474.875</v>
      </c>
      <c r="J23" s="171" t="s">
        <v>126</v>
      </c>
      <c r="K23" s="171" t="s">
        <v>125</v>
      </c>
      <c r="L23" s="171" t="s">
        <v>131</v>
      </c>
      <c r="M23" s="68" t="s">
        <v>15</v>
      </c>
      <c r="N23" s="68">
        <f t="shared" ca="1" si="2"/>
        <v>0</v>
      </c>
      <c r="O23" s="68">
        <f t="shared" ca="1" si="3"/>
        <v>0</v>
      </c>
      <c r="R23" s="1"/>
      <c r="S23" s="2"/>
    </row>
    <row r="24" spans="1:24" ht="25.25" customHeight="1" x14ac:dyDescent="0.2">
      <c r="A24" s="3"/>
      <c r="B24" s="67"/>
      <c r="C24" s="1"/>
      <c r="F24">
        <v>23</v>
      </c>
      <c r="G24" s="68">
        <v>-7</v>
      </c>
      <c r="H24" s="172">
        <v>45475.75</v>
      </c>
      <c r="I24" s="174">
        <f t="shared" si="1"/>
        <v>45475.875</v>
      </c>
      <c r="J24" s="171" t="s">
        <v>127</v>
      </c>
      <c r="K24" s="171" t="s">
        <v>128</v>
      </c>
      <c r="L24" s="171" t="s">
        <v>115</v>
      </c>
      <c r="M24" s="68" t="s">
        <v>17</v>
      </c>
      <c r="N24" s="68">
        <f t="shared" ca="1" si="2"/>
        <v>2</v>
      </c>
      <c r="O24" s="68">
        <f t="shared" ca="1" si="3"/>
        <v>2</v>
      </c>
      <c r="R24" s="1"/>
      <c r="S24" s="2"/>
      <c r="T24" s="2"/>
    </row>
    <row r="25" spans="1:24" ht="25.25" customHeight="1" x14ac:dyDescent="0.2">
      <c r="A25" s="3"/>
      <c r="B25" s="67"/>
      <c r="C25" s="1"/>
      <c r="F25">
        <v>24</v>
      </c>
      <c r="G25" s="68">
        <v>-5</v>
      </c>
      <c r="H25" s="172">
        <v>45475.833333333336</v>
      </c>
      <c r="I25" s="174">
        <f t="shared" si="1"/>
        <v>45475.875000000007</v>
      </c>
      <c r="J25" s="171" t="s">
        <v>135</v>
      </c>
      <c r="K25" s="171" t="s">
        <v>130</v>
      </c>
      <c r="L25" s="171" t="s">
        <v>132</v>
      </c>
      <c r="M25" s="68" t="s">
        <v>17</v>
      </c>
      <c r="N25" s="68">
        <f t="shared" ca="1" si="2"/>
        <v>0</v>
      </c>
      <c r="O25" s="68">
        <f t="shared" ca="1" si="3"/>
        <v>0</v>
      </c>
      <c r="R25" s="1"/>
      <c r="S25" s="2"/>
    </row>
    <row r="26" spans="1:24" ht="25.25" customHeight="1" x14ac:dyDescent="0.2">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2</v>
      </c>
      <c r="R26" s="1"/>
      <c r="S26" s="2"/>
    </row>
    <row r="27" spans="1:24" ht="25.25" customHeight="1" x14ac:dyDescent="0.2">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25" customHeight="1" x14ac:dyDescent="0.25">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25" customHeight="1" x14ac:dyDescent="0.25">
      <c r="F29">
        <v>28</v>
      </c>
      <c r="G29" s="68">
        <v>-7</v>
      </c>
      <c r="H29" s="172">
        <v>45480.75</v>
      </c>
      <c r="I29" s="174">
        <f t="shared" si="1"/>
        <v>45480.875</v>
      </c>
      <c r="J29" s="171" t="s">
        <v>52</v>
      </c>
      <c r="K29" s="171" t="s">
        <v>53</v>
      </c>
      <c r="L29" s="171" t="s">
        <v>129</v>
      </c>
      <c r="M29" s="68" t="s">
        <v>60</v>
      </c>
      <c r="N29" s="68">
        <f t="shared" ca="1" si="4"/>
        <v>3</v>
      </c>
      <c r="O29" s="68">
        <f t="shared" ca="1" si="5"/>
        <v>2</v>
      </c>
      <c r="R29" s="1"/>
      <c r="S29" s="2"/>
    </row>
    <row r="30" spans="1:24" ht="25.25" customHeight="1" x14ac:dyDescent="0.25">
      <c r="F30">
        <v>29</v>
      </c>
      <c r="G30" s="68">
        <v>-4</v>
      </c>
      <c r="H30" s="172">
        <v>45482.833333333336</v>
      </c>
      <c r="I30" s="174">
        <f t="shared" si="1"/>
        <v>45482.833333333336</v>
      </c>
      <c r="J30" s="171" t="s">
        <v>136</v>
      </c>
      <c r="K30" s="171" t="s">
        <v>137</v>
      </c>
      <c r="L30" s="171" t="s">
        <v>120</v>
      </c>
      <c r="M30" s="68" t="s">
        <v>64</v>
      </c>
      <c r="N30" s="68">
        <f t="shared" ca="1" si="4"/>
        <v>3</v>
      </c>
      <c r="O30" s="68">
        <f t="shared" ca="1" si="5"/>
        <v>1</v>
      </c>
      <c r="R30" s="1"/>
      <c r="S30" s="2"/>
    </row>
    <row r="31" spans="1:24" ht="25.25" customHeight="1" x14ac:dyDescent="0.25">
      <c r="F31">
        <v>30</v>
      </c>
      <c r="G31" s="68">
        <v>-4</v>
      </c>
      <c r="H31" s="172">
        <v>45483.833333333336</v>
      </c>
      <c r="I31" s="174">
        <f t="shared" si="1"/>
        <v>45483.833333333336</v>
      </c>
      <c r="J31" s="171" t="s">
        <v>138</v>
      </c>
      <c r="K31" s="171" t="s">
        <v>139</v>
      </c>
      <c r="L31" s="171" t="s">
        <v>165</v>
      </c>
      <c r="M31" s="68" t="s">
        <v>64</v>
      </c>
      <c r="N31" s="68">
        <f t="shared" ca="1" si="4"/>
        <v>2</v>
      </c>
      <c r="O31" s="68">
        <f t="shared" ca="1" si="5"/>
        <v>2</v>
      </c>
      <c r="R31" s="1"/>
      <c r="S31" s="2"/>
    </row>
    <row r="32" spans="1:24" ht="25.25" customHeight="1" x14ac:dyDescent="0.25">
      <c r="F32">
        <v>31</v>
      </c>
      <c r="G32" s="68">
        <v>-4</v>
      </c>
      <c r="H32" s="172">
        <v>45486.833333333336</v>
      </c>
      <c r="I32" s="174">
        <f t="shared" si="1"/>
        <v>45486.833333333336</v>
      </c>
      <c r="J32" s="171" t="s">
        <v>140</v>
      </c>
      <c r="K32" s="171" t="s">
        <v>141</v>
      </c>
      <c r="L32" s="171" t="s">
        <v>165</v>
      </c>
      <c r="M32" s="68" t="s">
        <v>11</v>
      </c>
      <c r="N32" s="68">
        <f t="shared" ca="1" si="4"/>
        <v>2</v>
      </c>
      <c r="O32" s="68">
        <f t="shared" ca="1" si="5"/>
        <v>1</v>
      </c>
      <c r="R32" s="1"/>
      <c r="S32" s="2"/>
    </row>
    <row r="33" spans="6:15" ht="25.25" customHeight="1" x14ac:dyDescent="0.25">
      <c r="F33">
        <v>32</v>
      </c>
      <c r="G33" s="68">
        <v>-4</v>
      </c>
      <c r="H33" s="172">
        <v>45487.833333333336</v>
      </c>
      <c r="I33" s="174">
        <f t="shared" si="1"/>
        <v>45487.833333333336</v>
      </c>
      <c r="J33" s="171" t="s">
        <v>142</v>
      </c>
      <c r="K33" s="171" t="s">
        <v>143</v>
      </c>
      <c r="L33" s="171" t="s">
        <v>118</v>
      </c>
      <c r="M33" s="68" t="s">
        <v>11</v>
      </c>
      <c r="N33" s="68">
        <f t="shared" ca="1" si="4"/>
        <v>0</v>
      </c>
      <c r="O33" s="68">
        <f t="shared" ca="1" si="5"/>
        <v>2</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
  <cols>
    <col min="1" max="1" width="4.5" customWidth="1"/>
    <col min="2" max="2" width="1.83203125" customWidth="1"/>
    <col min="3" max="3" width="5" customWidth="1"/>
    <col min="4" max="4" width="22.83203125" customWidth="1"/>
    <col min="5" max="14" width="8.83203125" customWidth="1"/>
    <col min="15" max="15" width="1.83203125" customWidth="1"/>
    <col min="16" max="16" width="10.6640625" style="82"/>
    <col min="17" max="17" width="10.6640625" style="119"/>
    <col min="18" max="18" width="12.5" style="120" customWidth="1"/>
    <col min="19" max="23" width="8" style="120" customWidth="1"/>
    <col min="24" max="25" width="10.6640625" style="121"/>
    <col min="26" max="26" width="10.6640625" style="122"/>
    <col min="27" max="27" width="11.5" style="122" customWidth="1"/>
    <col min="28" max="31" width="10.6640625" style="121"/>
  </cols>
  <sheetData>
    <row r="1" spans="3:28" x14ac:dyDescent="0.2">
      <c r="Q1" s="283" t="s">
        <v>193</v>
      </c>
    </row>
    <row r="2" spans="3:28" ht="14.75" customHeight="1" thickBot="1" x14ac:dyDescent="0.25">
      <c r="Q2" s="284"/>
    </row>
    <row r="3" spans="3:28" ht="56.75" customHeight="1" x14ac:dyDescent="0.2">
      <c r="C3" s="143"/>
      <c r="D3" s="144"/>
      <c r="E3" s="289" t="s">
        <v>177</v>
      </c>
      <c r="F3" s="289"/>
      <c r="G3" s="289"/>
      <c r="H3" s="289"/>
      <c r="I3" s="289"/>
      <c r="J3" s="289"/>
      <c r="K3" s="289"/>
      <c r="L3" s="144"/>
      <c r="M3" s="144"/>
      <c r="N3" s="145"/>
      <c r="P3" s="196"/>
      <c r="Q3" s="260" t="s">
        <v>194</v>
      </c>
      <c r="R3" s="261"/>
    </row>
    <row r="4" spans="3:28" ht="27.5" customHeight="1" thickBot="1" x14ac:dyDescent="0.25">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6" thickBot="1" x14ac:dyDescent="0.25">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6" thickBot="1" x14ac:dyDescent="0.25">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
      <c r="Q29"/>
    </row>
    <row r="30" spans="3:28" x14ac:dyDescent="0.2">
      <c r="Q30"/>
    </row>
    <row r="31" spans="3:28" x14ac:dyDescent="0.2">
      <c r="Q31"/>
    </row>
    <row r="32" spans="3:28" ht="14.25" customHeight="1" x14ac:dyDescent="0.2">
      <c r="Q32"/>
    </row>
    <row r="33" spans="17:18" x14ac:dyDescent="0.2">
      <c r="Q33"/>
      <c r="R33" s="82"/>
    </row>
    <row r="34" spans="17:18" x14ac:dyDescent="0.2">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
  <cols>
    <col min="1" max="1" width="4.5" customWidth="1"/>
    <col min="2" max="2" width="2.5" customWidth="1"/>
    <col min="3" max="3" width="15.5" customWidth="1"/>
    <col min="4" max="4" width="10.5" customWidth="1"/>
    <col min="5" max="5" width="7.5" customWidth="1"/>
    <col min="6" max="7" width="10.5" customWidth="1"/>
    <col min="8" max="8" width="7.5" customWidth="1"/>
    <col min="9" max="10" width="10.5" customWidth="1"/>
    <col min="11" max="11" width="7.5" customWidth="1"/>
    <col min="12" max="13" width="10.5" customWidth="1"/>
    <col min="14" max="14" width="7.5" customWidth="1"/>
    <col min="15" max="15" width="10.5" customWidth="1"/>
    <col min="16" max="16" width="2.5" customWidth="1"/>
    <col min="18" max="18" width="2.5" customWidth="1"/>
    <col min="19" max="19" width="11.6640625" customWidth="1"/>
    <col min="20" max="27" width="14.5" customWidth="1"/>
    <col min="28" max="28" width="2.5" customWidth="1"/>
    <col min="30" max="30" width="18.83203125" style="207" bestFit="1" customWidth="1"/>
    <col min="31" max="31" width="10.6640625" style="207"/>
  </cols>
  <sheetData>
    <row r="1" spans="1:31" ht="15" customHeight="1" x14ac:dyDescent="0.2">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25">
      <c r="C2" s="207"/>
      <c r="D2" s="207"/>
      <c r="E2" s="207"/>
      <c r="F2" s="207"/>
      <c r="G2" s="207"/>
      <c r="H2" s="207"/>
      <c r="I2" s="207"/>
      <c r="J2" s="207"/>
      <c r="K2" s="207"/>
      <c r="L2" s="207"/>
      <c r="M2" s="207"/>
      <c r="AD2" s="207" t="s">
        <v>60</v>
      </c>
      <c r="AE2" s="207">
        <v>8</v>
      </c>
    </row>
    <row r="3" spans="1:31" ht="15" customHeight="1" thickBot="1" x14ac:dyDescent="0.25">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75" customHeight="1" x14ac:dyDescent="0.2">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 customHeight="1" x14ac:dyDescent="0.2">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 customHeight="1" x14ac:dyDescent="0.2">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 customHeight="1" x14ac:dyDescent="0.2">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25">
      <c r="B8" s="214"/>
      <c r="C8" s="112" t="s">
        <v>99</v>
      </c>
      <c r="D8" s="221">
        <f ca="1">VLOOKUP(D1,Aux!$F:$O,9,0)</f>
        <v>2</v>
      </c>
      <c r="E8" s="222">
        <f ca="1">+IF(D8="","",IF(D8&gt;F8,1,IF(D8=F8,"X",2)))</f>
        <v>1</v>
      </c>
      <c r="F8" s="223">
        <f ca="1">VLOOKUP(D1,Aux!$F:$O,10,0)</f>
        <v>0</v>
      </c>
      <c r="G8" s="221">
        <f ca="1">VLOOKUP(G1,Aux!$F:$O,9,0)</f>
        <v>1</v>
      </c>
      <c r="H8" s="222">
        <f ca="1">+IF(G8="","",IF(G8&gt;I8,1,IF(G8=I8,"X",2)))</f>
        <v>2</v>
      </c>
      <c r="I8" s="223">
        <f ca="1">VLOOKUP(G1,Aux!$F:$O,10,0)</f>
        <v>2</v>
      </c>
      <c r="J8" s="221">
        <f ca="1">VLOOKUP(J1,Aux!$F:$O,9,0)</f>
        <v>0</v>
      </c>
      <c r="K8" s="222">
        <f ca="1">+IF(J8="","",IF(J8&gt;L8,1,IF(J8=L8,"X",2)))</f>
        <v>2</v>
      </c>
      <c r="L8" s="223">
        <f ca="1">VLOOKUP(J1,Aux!$F:$O,10,0)</f>
        <v>1</v>
      </c>
      <c r="M8" s="221">
        <f ca="1">VLOOKUP(M1,Aux!$F:$O,9,0)</f>
        <v>0</v>
      </c>
      <c r="N8" s="222" t="str">
        <f ca="1">+IF(M8="","",IF(M8&gt;O8,1,IF(M8=O8,"X",2)))</f>
        <v>X</v>
      </c>
      <c r="O8" s="223">
        <f ca="1">VLOOKUP(M1,Aux!$F:$O,10,0)</f>
        <v>0</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6" thickBot="1" x14ac:dyDescent="0.25">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6" thickBot="1" x14ac:dyDescent="0.25">
      <c r="B30" s="237"/>
      <c r="C30" s="238"/>
      <c r="D30" s="238"/>
      <c r="E30" s="238"/>
      <c r="F30" s="238"/>
      <c r="G30" s="238"/>
      <c r="H30" s="238"/>
      <c r="I30" s="238"/>
      <c r="J30" s="238"/>
      <c r="K30" s="238"/>
      <c r="L30" s="238"/>
      <c r="M30" s="238"/>
      <c r="N30" s="238"/>
      <c r="O30" s="238"/>
      <c r="P30" s="99"/>
    </row>
    <row r="32" spans="2:31" ht="16" thickBot="1" x14ac:dyDescent="0.25">
      <c r="Q32" s="259"/>
    </row>
    <row r="33" spans="17:17" x14ac:dyDescent="0.2">
      <c r="Q33" s="283" t="s">
        <v>193</v>
      </c>
    </row>
    <row r="34" spans="17:17" ht="16" thickBot="1" x14ac:dyDescent="0.25">
      <c r="Q34" s="284"/>
    </row>
    <row r="35" spans="17:17" x14ac:dyDescent="0.2">
      <c r="Q35" s="273" t="s">
        <v>194</v>
      </c>
    </row>
    <row r="36" spans="17:17" ht="16" thickBot="1" x14ac:dyDescent="0.25">
      <c r="Q36" s="274"/>
    </row>
    <row r="37" spans="17:17" x14ac:dyDescent="0.2">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
  <cols>
    <col min="1" max="1" width="13.6640625" bestFit="1" customWidth="1"/>
    <col min="2" max="10" width="10.1640625" bestFit="1" customWidth="1"/>
    <col min="11" max="78" width="11.1640625" bestFit="1" customWidth="1"/>
    <col min="79" max="79" width="12.5" bestFit="1" customWidth="1"/>
    <col min="80" max="85" width="11.1640625" bestFit="1" customWidth="1"/>
    <col min="86" max="87" width="12.5" bestFit="1" customWidth="1"/>
    <col min="88" max="90" width="11.1640625" bestFit="1" customWidth="1"/>
    <col min="91" max="92" width="12.5" bestFit="1" customWidth="1"/>
    <col min="93" max="93" width="11.1640625" bestFit="1" customWidth="1"/>
    <col min="94" max="94" width="12.5" bestFit="1" customWidth="1"/>
    <col min="95" max="100" width="11.1640625" bestFit="1" customWidth="1"/>
    <col min="101" max="119" width="12.1640625" bestFit="1" customWidth="1"/>
    <col min="120" max="194" width="10.6640625" bestFit="1" customWidth="1"/>
    <col min="195" max="212" width="9.332031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
  <cols>
    <col min="2" max="2" width="17.33203125" customWidth="1"/>
    <col min="5" max="76" width="6" customWidth="1"/>
    <col min="81" max="95" width="10.6640625" customWidth="1"/>
    <col min="96" max="119" width="6" customWidth="1"/>
    <col min="139" max="161" width="5" customWidth="1"/>
  </cols>
  <sheetData>
    <row r="1" spans="2:119" x14ac:dyDescent="0.2">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
      <c r="B3" s="85" t="s">
        <v>99</v>
      </c>
      <c r="E3" s="191">
        <f ca="1">VLOOKUP(E2,Aux!$F:$O,9,0)</f>
        <v>2</v>
      </c>
      <c r="F3" s="191">
        <f ca="1">VLOOKUP(E2,Aux!$F:$O,10,0)</f>
        <v>0</v>
      </c>
      <c r="G3" s="191">
        <f ca="1">IF(OR(E3="",F3=""),"",IF(E3&gt;F3,1,IF(E3=F3,"x",2)))</f>
        <v>1</v>
      </c>
      <c r="H3" s="191">
        <f ca="1">VLOOKUP(H2,Aux!$F:$O,9,0)</f>
        <v>1</v>
      </c>
      <c r="I3" s="191">
        <f ca="1">VLOOKUP(H2,Aux!$F:$O,10,0)</f>
        <v>2</v>
      </c>
      <c r="J3" s="191">
        <f t="shared" ref="J3" ca="1" si="0">IF(OR(H3="",I3=""),"",IF(H3&gt;I3,1,IF(H3=I3,"x",2)))</f>
        <v>2</v>
      </c>
      <c r="K3" s="191">
        <f ca="1">VLOOKUP(K2,Aux!$F:$O,9,0)</f>
        <v>0</v>
      </c>
      <c r="L3" s="191">
        <f ca="1">VLOOKUP(K2,Aux!$F:$O,10,0)</f>
        <v>1</v>
      </c>
      <c r="M3" s="191">
        <f t="shared" ref="M3" ca="1" si="1">IF(OR(K3="",L3=""),"",IF(K3&gt;L3,1,IF(K3=L3,"x",2)))</f>
        <v>2</v>
      </c>
      <c r="N3" s="191">
        <f ca="1">VLOOKUP(N2,Aux!$F:$O,9,0)</f>
        <v>0</v>
      </c>
      <c r="O3" s="191">
        <f ca="1">VLOOKUP(N2,Aux!$F:$O,10,0)</f>
        <v>0</v>
      </c>
      <c r="P3" s="191" t="str">
        <f t="shared" ref="P3" ca="1" si="2">IF(OR(N3="",O3=""),"",IF(N3&gt;O3,1,IF(N3=O3,"x",2)))</f>
        <v>x</v>
      </c>
      <c r="Q3" s="191">
        <f ca="1">VLOOKUP(Q2,Aux!$F:$O,9,0)</f>
        <v>2</v>
      </c>
      <c r="R3" s="191">
        <f ca="1">VLOOKUP(Q2,Aux!$F:$O,10,0)</f>
        <v>1</v>
      </c>
      <c r="S3" s="191">
        <f t="shared" ref="S3" ca="1" si="3">IF(OR(Q3="",R3=""),"",IF(Q3&gt;R3,1,IF(Q3=R3,"x",2)))</f>
        <v>1</v>
      </c>
      <c r="T3" s="191">
        <f ca="1">VLOOKUP(T2,Aux!$F:$O,9,0)</f>
        <v>3</v>
      </c>
      <c r="U3" s="191">
        <f ca="1">VLOOKUP(T2,Aux!$F:$O,10,0)</f>
        <v>0</v>
      </c>
      <c r="V3" s="191">
        <f t="shared" ref="V3" ca="1" si="4">IF(OR(T3="",U3=""),"",IF(T3&gt;U3,1,IF(T3=U3,"x",2)))</f>
        <v>1</v>
      </c>
      <c r="W3" s="191">
        <f ca="1">VLOOKUP(W2,Aux!$F:$O,9,0)</f>
        <v>2</v>
      </c>
      <c r="X3" s="191">
        <f ca="1">VLOOKUP(W2,Aux!$F:$O,10,0)</f>
        <v>0</v>
      </c>
      <c r="Y3" s="191">
        <f t="shared" ref="Y3" ca="1" si="5">IF(OR(W3="",X3=""),"",IF(W3&gt;X3,1,IF(W3=X3,"x",2)))</f>
        <v>1</v>
      </c>
      <c r="Z3" s="191">
        <f ca="1">VLOOKUP(Z2,Aux!$F:$O,9,0)</f>
        <v>3</v>
      </c>
      <c r="AA3" s="191">
        <f ca="1">VLOOKUP(Z2,Aux!$F:$O,10,0)</f>
        <v>0</v>
      </c>
      <c r="AB3" s="191">
        <f t="shared" ref="AB3" ca="1" si="6">IF(OR(Z3="",AA3=""),"",IF(Z3&gt;AA3,1,IF(Z3=AA3,"x",2)))</f>
        <v>1</v>
      </c>
      <c r="AC3" s="191">
        <f ca="1">VLOOKUP(AC2,Aux!$F:$O,9,0)</f>
        <v>0</v>
      </c>
      <c r="AD3" s="191">
        <f ca="1">VLOOKUP(AC2,Aux!$F:$O,10,0)</f>
        <v>0</v>
      </c>
      <c r="AE3" s="191" t="str">
        <f t="shared" ref="AE3" ca="1" si="7">IF(OR(AC3="",AD3=""),"",IF(AC3&gt;AD3,1,IF(AC3=AD3,"x",2)))</f>
        <v>x</v>
      </c>
      <c r="AF3" s="191">
        <f ca="1">VLOOKUP(AF2,Aux!$F:$O,9,0)</f>
        <v>1</v>
      </c>
      <c r="AG3" s="191">
        <f ca="1">VLOOKUP(AF2,Aux!$F:$O,10,0)</f>
        <v>3</v>
      </c>
      <c r="AH3" s="191">
        <f t="shared" ref="AH3" ca="1" si="8">IF(OR(AF3="",AG3=""),"",IF(AF3&gt;AG3,1,IF(AF3=AG3,"x",2)))</f>
        <v>2</v>
      </c>
      <c r="AI3" s="191">
        <f ca="1">VLOOKUP(AI2,Aux!$F:$O,9,0)</f>
        <v>2</v>
      </c>
      <c r="AJ3" s="191">
        <f ca="1">VLOOKUP(AI2,Aux!$F:$O,10,0)</f>
        <v>0</v>
      </c>
      <c r="AK3" s="191">
        <f t="shared" ref="AK3" ca="1" si="9">IF(OR(AI3="",AJ3=""),"",IF(AI3&gt;AJ3,1,IF(AI3=AJ3,"x",2)))</f>
        <v>1</v>
      </c>
      <c r="AL3" s="191">
        <f ca="1">VLOOKUP(AL2,Aux!$F:$O,9,0)</f>
        <v>1</v>
      </c>
      <c r="AM3" s="191">
        <f ca="1">VLOOKUP(AL2,Aux!$F:$O,10,0)</f>
        <v>0</v>
      </c>
      <c r="AN3" s="191">
        <f t="shared" ref="AN3" ca="1" si="10">IF(OR(AL3="",AM3=""),"",IF(AL3&gt;AM3,1,IF(AL3=AM3,"x",2)))</f>
        <v>1</v>
      </c>
      <c r="AO3" s="191">
        <f ca="1">VLOOKUP(AO2,Aux!$F:$O,9,0)</f>
        <v>1</v>
      </c>
      <c r="AP3" s="191">
        <f ca="1">VLOOKUP(AO2,Aux!$F:$O,10,0)</f>
        <v>2</v>
      </c>
      <c r="AQ3" s="191">
        <f t="shared" ref="AQ3" ca="1" si="11">IF(OR(AO3="",AP3=""),"",IF(AO3&gt;AP3,1,IF(AO3=AP3,"x",2)))</f>
        <v>2</v>
      </c>
      <c r="AR3" s="191">
        <f ca="1">VLOOKUP(AR2,Aux!$F:$O,9,0)</f>
        <v>3</v>
      </c>
      <c r="AS3" s="191">
        <f ca="1">VLOOKUP(AR2,Aux!$F:$O,10,0)</f>
        <v>0</v>
      </c>
      <c r="AT3" s="191">
        <f t="shared" ref="AT3" ca="1" si="12">IF(OR(AR3="",AS3=""),"",IF(AR3&gt;AS3,1,IF(AR3=AS3,"x",2)))</f>
        <v>1</v>
      </c>
      <c r="AU3" s="191">
        <f ca="1">VLOOKUP(AU2,Aux!$F:$O,9,0)</f>
        <v>2</v>
      </c>
      <c r="AV3" s="191">
        <f ca="1">VLOOKUP(AU2,Aux!$F:$O,10,0)</f>
        <v>1</v>
      </c>
      <c r="AW3" s="191">
        <f t="shared" ref="AW3" ca="1" si="13">IF(OR(AU3="",AV3=""),"",IF(AU3&gt;AV3,1,IF(AU3=AV3,"x",2)))</f>
        <v>1</v>
      </c>
      <c r="AX3" s="191">
        <f ca="1">VLOOKUP(AX2,Aux!$F:$O,9,0)</f>
        <v>2</v>
      </c>
      <c r="AY3" s="191">
        <f ca="1">VLOOKUP(AX2,Aux!$F:$O,10,0)</f>
        <v>3</v>
      </c>
      <c r="AZ3" s="191">
        <f t="shared" ref="AZ3" ca="1" si="14">IF(OR(AX3="",AY3=""),"",IF(AX3&gt;AY3,1,IF(AX3=AY3,"x",2)))</f>
        <v>2</v>
      </c>
      <c r="BA3" s="191">
        <f ca="1">VLOOKUP(BA2,Aux!$F:$O,9,0)</f>
        <v>1</v>
      </c>
      <c r="BB3" s="191">
        <f ca="1">VLOOKUP(BA2,Aux!$F:$O,10,0)</f>
        <v>0</v>
      </c>
      <c r="BC3" s="191">
        <f t="shared" ref="BC3" ca="1" si="15">IF(OR(BA3="",BB3=""),"",IF(BA3&gt;BB3,1,IF(BA3=BB3,"x",2)))</f>
        <v>1</v>
      </c>
      <c r="BD3" s="191">
        <f ca="1">VLOOKUP(BD2,Aux!$F:$O,9,0)</f>
        <v>2</v>
      </c>
      <c r="BE3" s="191">
        <f ca="1">VLOOKUP(BD2,Aux!$F:$O,10,0)</f>
        <v>1</v>
      </c>
      <c r="BF3" s="191">
        <f t="shared" ref="BF3" ca="1" si="16">IF(OR(BD3="",BE3=""),"",IF(BD3&gt;BE3,1,IF(BD3=BE3,"x",2)))</f>
        <v>1</v>
      </c>
      <c r="BG3" s="191">
        <f ca="1">VLOOKUP(BG2,Aux!$F:$O,9,0)</f>
        <v>1</v>
      </c>
      <c r="BH3" s="191">
        <f ca="1">VLOOKUP(BG2,Aux!$F:$O,10,0)</f>
        <v>2</v>
      </c>
      <c r="BI3" s="191">
        <f t="shared" ref="BI3" ca="1" si="17">IF(OR(BG3="",BH3=""),"",IF(BG3&gt;BH3,1,IF(BG3=BH3,"x",2)))</f>
        <v>2</v>
      </c>
      <c r="BJ3" s="191">
        <f ca="1">VLOOKUP(BJ2,Aux!$F:$O,9,0)</f>
        <v>0</v>
      </c>
      <c r="BK3" s="191">
        <f ca="1">VLOOKUP(BJ2,Aux!$F:$O,10,0)</f>
        <v>2</v>
      </c>
      <c r="BL3" s="191">
        <f t="shared" ref="BL3" ca="1" si="18">IF(OR(BJ3="",BK3=""),"",IF(BJ3&gt;BK3,1,IF(BJ3=BK3,"x",2)))</f>
        <v>2</v>
      </c>
      <c r="BM3" s="191">
        <f ca="1">VLOOKUP(BM2,Aux!$F:$O,9,0)</f>
        <v>1</v>
      </c>
      <c r="BN3" s="191">
        <f ca="1">VLOOKUP(BM2,Aux!$F:$O,10,0)</f>
        <v>2</v>
      </c>
      <c r="BO3" s="191">
        <f t="shared" ref="BO3" ca="1" si="19">IF(OR(BM3="",BN3=""),"",IF(BM3&gt;BN3,1,IF(BM3=BN3,"x",2)))</f>
        <v>2</v>
      </c>
      <c r="BP3" s="191">
        <f ca="1">VLOOKUP(BP2,Aux!$F:$O,9,0)</f>
        <v>0</v>
      </c>
      <c r="BQ3" s="191">
        <f ca="1">VLOOKUP(BP2,Aux!$F:$O,10,0)</f>
        <v>0</v>
      </c>
      <c r="BR3" s="191" t="str">
        <f t="shared" ref="BR3" ca="1" si="20">IF(OR(BP3="",BQ3=""),"",IF(BP3&gt;BQ3,1,IF(BP3=BQ3,"x",2)))</f>
        <v>x</v>
      </c>
      <c r="BS3" s="191">
        <f ca="1">VLOOKUP(BS2,Aux!$F:$O,9,0)</f>
        <v>2</v>
      </c>
      <c r="BT3" s="191">
        <f ca="1">VLOOKUP(BS2,Aux!$F:$O,10,0)</f>
        <v>2</v>
      </c>
      <c r="BU3" s="191" t="str">
        <f t="shared" ref="BU3" ca="1" si="21">IF(OR(BS3="",BT3=""),"",IF(BS3&gt;BT3,1,IF(BS3=BT3,"x",2)))</f>
        <v>x</v>
      </c>
      <c r="BV3" s="191">
        <f ca="1">VLOOKUP(BV2,Aux!$F:$O,9,0)</f>
        <v>0</v>
      </c>
      <c r="BW3" s="191">
        <f ca="1">VLOOKUP(BV2,Aux!$F:$O,10,0)</f>
        <v>0</v>
      </c>
      <c r="BX3" s="191" t="str">
        <f t="shared" ref="BX3" ca="1" si="22">IF(OR(BV3="",BW3=""),"",IF(BV3&gt;BW3,1,IF(BV3=BW3,"x",2)))</f>
        <v>x</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Ecuador</v>
      </c>
      <c r="CE3" s="191" t="str">
        <f ca="1">IF(CB3="","",Cuartos!H12)</f>
        <v>Venezuela</v>
      </c>
      <c r="CF3" s="191" t="str">
        <f ca="1">IF(CB3="","",Cuartos!N12)</f>
        <v>Canadá</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Venezuela</v>
      </c>
      <c r="CM3" s="191" t="str">
        <f ca="1">Semis!H12</f>
        <v>Uruguay</v>
      </c>
      <c r="CN3" s="191" t="str">
        <f ca="1">Semis!N12</f>
        <v>Brasil</v>
      </c>
      <c r="CO3" s="191" t="str">
        <f ca="1">Final!H15</f>
        <v>Argentina</v>
      </c>
      <c r="CP3" s="191" t="str">
        <f ca="1">Final!N15</f>
        <v>Brasil</v>
      </c>
      <c r="CQ3" s="191" t="str">
        <f ca="1">Final!H22</f>
        <v>Brasil</v>
      </c>
      <c r="CR3" s="191">
        <f ca="1">VLOOKUP(CR2,Aux!$F:$O,9,0)</f>
        <v>2</v>
      </c>
      <c r="CS3" s="191">
        <f ca="1">VLOOKUP(CR2,Aux!$F:$O,10,0)</f>
        <v>2</v>
      </c>
      <c r="CT3" s="191" t="str">
        <f t="shared" ref="CT3" ca="1" si="23">IF(OR(CR3="",CS3=""),"",IF(CR3&gt;CS3,1,IF(CR3=CS3,"x",2)))</f>
        <v>x</v>
      </c>
      <c r="CU3" s="191">
        <f ca="1">VLOOKUP(CU2,Aux!$F:$O,9,0)</f>
        <v>1</v>
      </c>
      <c r="CV3" s="191">
        <f ca="1">VLOOKUP(CU2,Aux!$F:$O,10,0)</f>
        <v>1</v>
      </c>
      <c r="CW3" s="191" t="str">
        <f t="shared" ref="CW3" ca="1" si="24">IF(OR(CU3="",CV3=""),"",IF(CU3&gt;CV3,1,IF(CU3=CV3,"x",2)))</f>
        <v>x</v>
      </c>
      <c r="CX3" s="191">
        <f ca="1">VLOOKUP(CX2,Aux!$F:$O,9,0)</f>
        <v>3</v>
      </c>
      <c r="CY3" s="191">
        <f ca="1">VLOOKUP(CX2,Aux!$F:$O,10,0)</f>
        <v>1</v>
      </c>
      <c r="CZ3" s="191">
        <f t="shared" ref="CZ3" ca="1" si="25">IF(OR(CX3="",CY3=""),"",IF(CX3&gt;CY3,1,IF(CX3=CY3,"x",2)))</f>
        <v>1</v>
      </c>
      <c r="DA3" s="191">
        <f ca="1">VLOOKUP(DA2,Aux!$F:$O,9,0)</f>
        <v>3</v>
      </c>
      <c r="DB3" s="191">
        <f ca="1">VLOOKUP(DA2,Aux!$F:$O,10,0)</f>
        <v>2</v>
      </c>
      <c r="DC3" s="191">
        <f t="shared" ref="DC3" ca="1" si="26">IF(OR(DA3="",DB3=""),"",IF(DA3&gt;DB3,1,IF(DA3=DB3,"x",2)))</f>
        <v>1</v>
      </c>
      <c r="DD3" s="191">
        <f ca="1">VLOOKUP(DD2,Aux!$F:$O,9,0)</f>
        <v>3</v>
      </c>
      <c r="DE3" s="191">
        <f ca="1">VLOOKUP(DD2,Aux!$F:$O,10,0)</f>
        <v>1</v>
      </c>
      <c r="DF3" s="191">
        <f t="shared" ref="DF3" ca="1" si="27">IF(OR(DD3="",DE3=""),"",IF(DD3&gt;DE3,1,IF(DD3=DE3,"x",2)))</f>
        <v>1</v>
      </c>
      <c r="DG3" s="191">
        <f ca="1">VLOOKUP(DG2,Aux!$F:$O,9,0)</f>
        <v>2</v>
      </c>
      <c r="DH3" s="191">
        <f ca="1">VLOOKUP(DG2,Aux!$F:$O,10,0)</f>
        <v>2</v>
      </c>
      <c r="DI3" s="191" t="str">
        <f t="shared" ref="DI3" ca="1" si="28">IF(OR(DG3="",DH3=""),"",IF(DG3&gt;DH3,1,IF(DG3=DH3,"x",2)))</f>
        <v>x</v>
      </c>
      <c r="DJ3" s="191">
        <f ca="1">VLOOKUP(DJ2,Aux!$F:$O,9,0)</f>
        <v>2</v>
      </c>
      <c r="DK3" s="191">
        <f ca="1">VLOOKUP(DJ2,Aux!$F:$O,10,0)</f>
        <v>1</v>
      </c>
      <c r="DL3" s="191">
        <f t="shared" ref="DL3" ca="1" si="29">IF(OR(DJ3="",DK3=""),"",IF(DJ3&gt;DK3,1,IF(DJ3=DK3,"x",2)))</f>
        <v>1</v>
      </c>
      <c r="DM3" s="191">
        <f ca="1">VLOOKUP(DM2,Aux!$F:$O,9,0)</f>
        <v>0</v>
      </c>
      <c r="DN3" s="191">
        <f ca="1">VLOOKUP(DM2,Aux!$F:$O,10,0)</f>
        <v>2</v>
      </c>
      <c r="DO3" s="191">
        <f t="shared" ref="DO3" ca="1" si="30">IF(OR(DM3="",DN3=""),"",IF(DM3&gt;DN3,1,IF(DM3=DN3,"x",2)))</f>
        <v>2</v>
      </c>
    </row>
    <row r="4" spans="2:119" x14ac:dyDescent="0.2">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
      <c r="B6" s="141" t="s">
        <v>95</v>
      </c>
      <c r="C6" s="141" t="s">
        <v>96</v>
      </c>
      <c r="D6" s="141" t="s">
        <v>97</v>
      </c>
    </row>
    <row r="7" spans="2:119" x14ac:dyDescent="0.2">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
  <cols>
    <col min="5" max="119" width="6" customWidth="1"/>
    <col min="120" max="220" width="5.6640625" customWidth="1"/>
  </cols>
  <sheetData>
    <row r="1" spans="2:119" x14ac:dyDescent="0.2">
      <c r="B1" s="85" t="str">
        <f>Normas!C33</f>
        <v>Nombre ISAAC BERMUDEZ</v>
      </c>
      <c r="C1" s="118" t="str">
        <f>Normas!C35</f>
        <v>isaacbermudez1@hotmail.com</v>
      </c>
      <c r="D1" s="118">
        <f>Normas!C37</f>
        <v>0</v>
      </c>
      <c r="E1" s="84">
        <f ca="1">+Resultado!E3</f>
        <v>2</v>
      </c>
      <c r="F1" s="84">
        <f ca="1">+Resultado!F3</f>
        <v>0</v>
      </c>
      <c r="G1" s="84">
        <f ca="1">+Resultado!G3</f>
        <v>1</v>
      </c>
      <c r="H1" s="84">
        <f ca="1">+Resultado!H3</f>
        <v>1</v>
      </c>
      <c r="I1" s="84">
        <f ca="1">+Resultado!I3</f>
        <v>2</v>
      </c>
      <c r="J1" s="84">
        <f ca="1">+Resultado!J3</f>
        <v>2</v>
      </c>
      <c r="K1" s="84">
        <f ca="1">+Resultado!K3</f>
        <v>0</v>
      </c>
      <c r="L1" s="84">
        <f ca="1">+Resultado!L3</f>
        <v>1</v>
      </c>
      <c r="M1" s="84">
        <f ca="1">+Resultado!M3</f>
        <v>2</v>
      </c>
      <c r="N1" s="84">
        <f ca="1">+Resultado!N3</f>
        <v>0</v>
      </c>
      <c r="O1" s="84">
        <f ca="1">+Resultado!O3</f>
        <v>0</v>
      </c>
      <c r="P1" s="84" t="str">
        <f ca="1">+Resultado!P3</f>
        <v>x</v>
      </c>
      <c r="Q1" s="84">
        <f ca="1">+Resultado!Q3</f>
        <v>2</v>
      </c>
      <c r="R1" s="84">
        <f ca="1">+Resultado!R3</f>
        <v>1</v>
      </c>
      <c r="S1" s="84">
        <f ca="1">+Resultado!S3</f>
        <v>1</v>
      </c>
      <c r="T1" s="84">
        <f ca="1">+Resultado!T3</f>
        <v>3</v>
      </c>
      <c r="U1" s="84">
        <f ca="1">+Resultado!U3</f>
        <v>0</v>
      </c>
      <c r="V1" s="84">
        <f ca="1">+Resultado!V3</f>
        <v>1</v>
      </c>
      <c r="W1" s="84">
        <f ca="1">+Resultado!W3</f>
        <v>2</v>
      </c>
      <c r="X1" s="84">
        <f ca="1">+Resultado!X3</f>
        <v>0</v>
      </c>
      <c r="Y1" s="84">
        <f ca="1">+Resultado!Y3</f>
        <v>1</v>
      </c>
      <c r="Z1" s="84">
        <f ca="1">+Resultado!Z3</f>
        <v>3</v>
      </c>
      <c r="AA1" s="84">
        <f ca="1">+Resultado!AA3</f>
        <v>0</v>
      </c>
      <c r="AB1" s="84">
        <f ca="1">+Resultado!AB3</f>
        <v>1</v>
      </c>
      <c r="AC1" s="84">
        <f ca="1">+Resultado!AC3</f>
        <v>0</v>
      </c>
      <c r="AD1" s="84">
        <f ca="1">+Resultado!AD3</f>
        <v>0</v>
      </c>
      <c r="AE1" s="84" t="str">
        <f ca="1">+Resultado!AE3</f>
        <v>x</v>
      </c>
      <c r="AF1" s="84">
        <f ca="1">+Resultado!AF3</f>
        <v>1</v>
      </c>
      <c r="AG1" s="84">
        <f ca="1">+Resultado!AG3</f>
        <v>3</v>
      </c>
      <c r="AH1" s="84">
        <f ca="1">+Resultado!AH3</f>
        <v>2</v>
      </c>
      <c r="AI1" s="84">
        <f ca="1">+Resultado!AI3</f>
        <v>2</v>
      </c>
      <c r="AJ1" s="84">
        <f ca="1">+Resultado!AJ3</f>
        <v>0</v>
      </c>
      <c r="AK1" s="84">
        <f ca="1">+Resultado!AK3</f>
        <v>1</v>
      </c>
      <c r="AL1" s="84">
        <f ca="1">+Resultado!AL3</f>
        <v>1</v>
      </c>
      <c r="AM1" s="84">
        <f ca="1">+Resultado!AM3</f>
        <v>0</v>
      </c>
      <c r="AN1" s="84">
        <f ca="1">+Resultado!AN3</f>
        <v>1</v>
      </c>
      <c r="AO1" s="84">
        <f ca="1">+Resultado!AO3</f>
        <v>1</v>
      </c>
      <c r="AP1" s="84">
        <f ca="1">+Resultado!AP3</f>
        <v>2</v>
      </c>
      <c r="AQ1" s="84">
        <f ca="1">+Resultado!AQ3</f>
        <v>2</v>
      </c>
      <c r="AR1" s="84">
        <f ca="1">+Resultado!AR3</f>
        <v>3</v>
      </c>
      <c r="AS1" s="84">
        <f ca="1">+Resultado!AS3</f>
        <v>0</v>
      </c>
      <c r="AT1" s="84">
        <f ca="1">+Resultado!AT3</f>
        <v>1</v>
      </c>
      <c r="AU1" s="84">
        <f ca="1">+Resultado!AU3</f>
        <v>2</v>
      </c>
      <c r="AV1" s="84">
        <f ca="1">+Resultado!AV3</f>
        <v>1</v>
      </c>
      <c r="AW1" s="84">
        <f ca="1">+Resultado!AW3</f>
        <v>1</v>
      </c>
      <c r="AX1" s="84">
        <f ca="1">+Resultado!AX3</f>
        <v>2</v>
      </c>
      <c r="AY1" s="84">
        <f ca="1">+Resultado!AY3</f>
        <v>3</v>
      </c>
      <c r="AZ1" s="84">
        <f ca="1">+Resultado!AZ3</f>
        <v>2</v>
      </c>
      <c r="BA1" s="84">
        <f ca="1">+Resultado!BA3</f>
        <v>1</v>
      </c>
      <c r="BB1" s="84">
        <f ca="1">+Resultado!BB3</f>
        <v>0</v>
      </c>
      <c r="BC1" s="84">
        <f ca="1">+Resultado!BC3</f>
        <v>1</v>
      </c>
      <c r="BD1" s="84">
        <f ca="1">+Resultado!BD3</f>
        <v>2</v>
      </c>
      <c r="BE1" s="84">
        <f ca="1">+Resultado!BE3</f>
        <v>1</v>
      </c>
      <c r="BF1" s="84">
        <f ca="1">+Resultado!BF3</f>
        <v>1</v>
      </c>
      <c r="BG1" s="84">
        <f ca="1">+Resultado!BG3</f>
        <v>1</v>
      </c>
      <c r="BH1" s="84">
        <f ca="1">+Resultado!BH3</f>
        <v>2</v>
      </c>
      <c r="BI1" s="84">
        <f ca="1">+Resultado!BI3</f>
        <v>2</v>
      </c>
      <c r="BJ1" s="84">
        <f ca="1">+Resultado!BJ3</f>
        <v>0</v>
      </c>
      <c r="BK1" s="84">
        <f ca="1">+Resultado!BK3</f>
        <v>2</v>
      </c>
      <c r="BL1" s="84">
        <f ca="1">+Resultado!BL3</f>
        <v>2</v>
      </c>
      <c r="BM1" s="84">
        <f ca="1">+Resultado!BM3</f>
        <v>1</v>
      </c>
      <c r="BN1" s="84">
        <f ca="1">+Resultado!BN3</f>
        <v>2</v>
      </c>
      <c r="BO1" s="84">
        <f ca="1">+Resultado!BO3</f>
        <v>2</v>
      </c>
      <c r="BP1" s="84">
        <f ca="1">+Resultado!BP3</f>
        <v>0</v>
      </c>
      <c r="BQ1" s="84">
        <f ca="1">+Resultado!BQ3</f>
        <v>0</v>
      </c>
      <c r="BR1" s="84" t="str">
        <f ca="1">+Resultado!BR3</f>
        <v>x</v>
      </c>
      <c r="BS1" s="84">
        <f ca="1">+Resultado!BS3</f>
        <v>2</v>
      </c>
      <c r="BT1" s="84">
        <f ca="1">+Resultado!BT3</f>
        <v>2</v>
      </c>
      <c r="BU1" s="84" t="str">
        <f ca="1">+Resultado!BU3</f>
        <v>x</v>
      </c>
      <c r="BV1" s="84">
        <f ca="1">+Resultado!BV3</f>
        <v>0</v>
      </c>
      <c r="BW1" s="84">
        <f ca="1">+Resultado!BW3</f>
        <v>0</v>
      </c>
      <c r="BX1" s="84" t="str">
        <f ca="1">+Resultado!BX3</f>
        <v>x</v>
      </c>
      <c r="BY1" s="84" t="str">
        <f ca="1">+Resultado!BY3</f>
        <v>Argentina</v>
      </c>
      <c r="BZ1" s="84" t="str">
        <f ca="1">+Resultado!BZ3</f>
        <v>Venezuela</v>
      </c>
      <c r="CA1" s="84" t="str">
        <f ca="1">+Resultado!CA3</f>
        <v>Uruguay</v>
      </c>
      <c r="CB1" s="84" t="str">
        <f ca="1">+Resultado!CB3</f>
        <v>Brasil</v>
      </c>
      <c r="CC1" s="84" t="str">
        <f ca="1">+Resultado!CC3</f>
        <v>Argentina</v>
      </c>
      <c r="CD1" s="84" t="str">
        <f ca="1">+Resultado!CD3</f>
        <v>Ecuador</v>
      </c>
      <c r="CE1" s="84" t="str">
        <f ca="1">+Resultado!CE3</f>
        <v>Venezuela</v>
      </c>
      <c r="CF1" s="84" t="str">
        <f ca="1">+Resultado!CF3</f>
        <v>Canadá</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Venezuela</v>
      </c>
      <c r="CM1" s="84" t="str">
        <f ca="1">+Resultado!CM3</f>
        <v>Uruguay</v>
      </c>
      <c r="CN1" s="84" t="str">
        <f ca="1">+Resultado!CN3</f>
        <v>Brasil</v>
      </c>
      <c r="CO1" s="84" t="str">
        <f ca="1">+Resultado!CO3</f>
        <v>Argentina</v>
      </c>
      <c r="CP1" s="84" t="str">
        <f ca="1">+Resultado!CP3</f>
        <v>Brasil</v>
      </c>
      <c r="CQ1" s="84" t="str">
        <f ca="1">+Resultado!CQ3</f>
        <v>Brasil</v>
      </c>
      <c r="CR1" s="84">
        <f ca="1">+Resultado!CR3</f>
        <v>2</v>
      </c>
      <c r="CS1" s="84">
        <f ca="1">+Resultado!CS3</f>
        <v>2</v>
      </c>
      <c r="CT1" s="84" t="str">
        <f ca="1">+Resultado!CT3</f>
        <v>x</v>
      </c>
      <c r="CU1" s="84">
        <f ca="1">+Resultado!CU3</f>
        <v>1</v>
      </c>
      <c r="CV1" s="84">
        <f ca="1">+Resultado!CV3</f>
        <v>1</v>
      </c>
      <c r="CW1" s="84" t="str">
        <f ca="1">+Resultado!CW3</f>
        <v>x</v>
      </c>
      <c r="CX1" s="84">
        <f ca="1">+Resultado!CX3</f>
        <v>3</v>
      </c>
      <c r="CY1" s="84">
        <f ca="1">+Resultado!CY3</f>
        <v>1</v>
      </c>
      <c r="CZ1" s="84">
        <f ca="1">+Resultado!CZ3</f>
        <v>1</v>
      </c>
      <c r="DA1" s="84">
        <f ca="1">+Resultado!DA3</f>
        <v>3</v>
      </c>
      <c r="DB1" s="84">
        <f ca="1">+Resultado!DB3</f>
        <v>2</v>
      </c>
      <c r="DC1" s="84">
        <f ca="1">+Resultado!DC3</f>
        <v>1</v>
      </c>
      <c r="DD1" s="84">
        <f ca="1">+Resultado!DD3</f>
        <v>3</v>
      </c>
      <c r="DE1" s="84">
        <f ca="1">+Resultado!DE3</f>
        <v>1</v>
      </c>
      <c r="DF1" s="84">
        <f ca="1">+Resultado!DF3</f>
        <v>1</v>
      </c>
      <c r="DG1" s="84">
        <f ca="1">+Resultado!DG3</f>
        <v>2</v>
      </c>
      <c r="DH1" s="84">
        <f ca="1">+Resultado!DH3</f>
        <v>2</v>
      </c>
      <c r="DI1" s="84" t="str">
        <f ca="1">+Resultado!DI3</f>
        <v>x</v>
      </c>
      <c r="DJ1" s="84">
        <f ca="1">+Resultado!DJ3</f>
        <v>2</v>
      </c>
      <c r="DK1" s="84">
        <f ca="1">+Resultado!DK3</f>
        <v>1</v>
      </c>
      <c r="DL1" s="84">
        <f ca="1">+Resultado!DL3</f>
        <v>1</v>
      </c>
      <c r="DM1" s="84">
        <f ca="1">+Resultado!DM3</f>
        <v>0</v>
      </c>
      <c r="DN1" s="84">
        <f ca="1">+Resultado!DN3</f>
        <v>2</v>
      </c>
      <c r="DO1" s="84">
        <f ca="1">+Resultado!DO3</f>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Microsoft Office User</cp:lastModifiedBy>
  <dcterms:created xsi:type="dcterms:W3CDTF">2024-01-15T16:01:21Z</dcterms:created>
  <dcterms:modified xsi:type="dcterms:W3CDTF">2024-06-20T16:24:33Z</dcterms:modified>
</cp:coreProperties>
</file>