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Capex &amp; Depreciation Schedule" sheetId="2" r:id="rId5"/>
    <sheet state="visible" name="Balance Sheet" sheetId="3" r:id="rId6"/>
    <sheet state="visible" name="Cash Flow Statement" sheetId="4" r:id="rId7"/>
  </sheets>
  <definedNames/>
  <calcPr/>
</workbook>
</file>

<file path=xl/sharedStrings.xml><?xml version="1.0" encoding="utf-8"?>
<sst xmlns="http://schemas.openxmlformats.org/spreadsheetml/2006/main" count="127" uniqueCount="89">
  <si>
    <t>Income Statement</t>
  </si>
  <si>
    <t>Year 1</t>
  </si>
  <si>
    <t>Year 2</t>
  </si>
  <si>
    <t>Year 3</t>
  </si>
  <si>
    <t>Year 4</t>
  </si>
  <si>
    <t>Revenue</t>
  </si>
  <si>
    <t>Gross Revenue</t>
  </si>
  <si>
    <t>Refunds</t>
  </si>
  <si>
    <t>Discounts</t>
  </si>
  <si>
    <t>Net Revenue</t>
  </si>
  <si>
    <t>Cost of Goods Sold</t>
  </si>
  <si>
    <t>Product</t>
  </si>
  <si>
    <t>Fulfillment</t>
  </si>
  <si>
    <t>Merchant Services</t>
  </si>
  <si>
    <t>Total COGS</t>
  </si>
  <si>
    <t>Gross Margin</t>
  </si>
  <si>
    <t>GM %</t>
  </si>
  <si>
    <t>Operating Expenses</t>
  </si>
  <si>
    <t>Personnel</t>
  </si>
  <si>
    <t>Marketing</t>
  </si>
  <si>
    <t>Other</t>
  </si>
  <si>
    <t>Depreciation</t>
  </si>
  <si>
    <t>Total OPEX</t>
  </si>
  <si>
    <t>Operating Income</t>
  </si>
  <si>
    <t xml:space="preserve">Interest </t>
  </si>
  <si>
    <t>NI Before Taxes</t>
  </si>
  <si>
    <t>Taxes</t>
  </si>
  <si>
    <t xml:space="preserve">Net Income </t>
  </si>
  <si>
    <t>NI %</t>
  </si>
  <si>
    <t>EBITDA</t>
  </si>
  <si>
    <t>ASSUMPTIONS</t>
  </si>
  <si>
    <t>New Customers</t>
  </si>
  <si>
    <t>AOV</t>
  </si>
  <si>
    <t>Refunds (as % of rev)</t>
  </si>
  <si>
    <t>COGS</t>
  </si>
  <si>
    <t>other model</t>
  </si>
  <si>
    <t>Interest</t>
  </si>
  <si>
    <t>Tax Rate</t>
  </si>
  <si>
    <t>Capex &amp; Depreciation</t>
  </si>
  <si>
    <t>Useful Life (Years)</t>
  </si>
  <si>
    <t>Capex</t>
  </si>
  <si>
    <t>Servers</t>
  </si>
  <si>
    <t>Custom Software</t>
  </si>
  <si>
    <t>Forklift</t>
  </si>
  <si>
    <t>Total Capex</t>
  </si>
  <si>
    <t>Total D&amp;A</t>
  </si>
  <si>
    <t>Balance Sheet</t>
  </si>
  <si>
    <t>Dec 31, Year 0</t>
  </si>
  <si>
    <t>Historicals</t>
  </si>
  <si>
    <t>ASSETS</t>
  </si>
  <si>
    <t xml:space="preserve">Cash </t>
  </si>
  <si>
    <t>Accounts Receivable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</si>
  <si>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</si>
  <si>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</si>
  <si>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</si>
  <si>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</si>
  <si>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</si>
  <si>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</si>
  <si>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Accounts Payable</t>
  </si>
  <si>
    <t>Deferred Revenue</t>
  </si>
  <si>
    <t>Long Term Debt</t>
  </si>
  <si>
    <t>Total Liabilities</t>
  </si>
  <si>
    <t>EQUITY</t>
  </si>
  <si>
    <t>Common Stock</t>
  </si>
  <si>
    <t>Retained Earnings</t>
  </si>
  <si>
    <t>Total Shareholders Equity</t>
  </si>
  <si>
    <t>Liabilities &amp; Shareholders Equity</t>
  </si>
  <si>
    <t>Balance Check</t>
  </si>
  <si>
    <t>AR (% of revenue)</t>
  </si>
  <si>
    <t xml:space="preserve">AP </t>
  </si>
  <si>
    <t>Deferred Rev</t>
  </si>
  <si>
    <t>Net Borrowing</t>
  </si>
  <si>
    <t>Debt Payments</t>
  </si>
  <si>
    <t>Interest Rate</t>
  </si>
  <si>
    <t>Interest Payments</t>
  </si>
  <si>
    <t>Cash Flow Statement</t>
  </si>
  <si>
    <t>Net Income</t>
  </si>
  <si>
    <t>Operating Activities</t>
  </si>
  <si>
    <t>Chg in AR</t>
  </si>
  <si>
    <t>Chg in AP</t>
  </si>
  <si>
    <t>Chg in Def Rev</t>
  </si>
  <si>
    <t>Operating Cash Flow</t>
  </si>
  <si>
    <t>Investing Activities</t>
  </si>
  <si>
    <t>Free Cash Flow</t>
  </si>
  <si>
    <t>Financing Activities</t>
  </si>
  <si>
    <t>Debt Repayment</t>
  </si>
  <si>
    <t>Net Borrowings</t>
  </si>
  <si>
    <t>NCF from Financing</t>
  </si>
  <si>
    <t>Net 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</si>
</sst>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]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[$£]#,##0"/>
  </numFmts>
  <fonts count="13">
    <font>
      <sz val="12.0"/>
      <color theme="1"/>
      <name val="Calibri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i/>
      <sz val="12.0"/>
      <color theme="1"/>
      <name val="Calibri"/>
    </font>
    <font>
      <u/>
      <sz val="12.0"/>
      <color theme="1"/>
      <name val="Calibri"/>
    </font>
    <font>
      <sz val="12.0"/>
      <color rgb="FF0000FF"/>
      <name val="Calibri"/>
    </font>
    <font>
      <b/>
      <i/>
      <sz val="12.0"/>
      <color theme="1"/>
      <name val="Calibri"/>
    </font>
    <font>
      <sz val="12.0"/>
      <color rgb="FFFF0000"/>
      <name val="Calibri"/>
    </font>
    <font>
      <sz val="12.0"/>
      <color rgb="FF0432FF"/>
      <name val="Calibri"/>
    </font>
    <font>
      <b/>
      <u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1" fillId="0" fontId="5" numFmtId="164" xfId="0" applyBorder="1" applyFont="1" applyNumberFormat="1"/>
    <xf borderId="0" fillId="0" fontId="1" numFmtId="164" xfId="0" applyFont="1" applyNumberFormat="1"/>
    <xf borderId="0" fillId="0" fontId="4" numFmtId="164" xfId="0" applyFont="1" applyNumberFormat="1"/>
    <xf borderId="2" fillId="0" fontId="1" numFmtId="164" xfId="0" applyBorder="1" applyFont="1" applyNumberFormat="1"/>
    <xf borderId="0" fillId="0" fontId="6" numFmtId="0" xfId="0" applyFont="1"/>
    <xf borderId="0" fillId="0" fontId="6" numFmtId="9" xfId="0" applyFont="1" applyNumberFormat="1"/>
    <xf borderId="0" fillId="0" fontId="5" numFmtId="0" xfId="0" applyFont="1"/>
    <xf borderId="0" fillId="0" fontId="6" numFmtId="164" xfId="0" applyFont="1" applyNumberFormat="1"/>
    <xf borderId="3" fillId="2" fontId="5" numFmtId="0" xfId="0" applyBorder="1" applyFill="1" applyFont="1"/>
    <xf borderId="0" fillId="0" fontId="7" numFmtId="0" xfId="0" applyFont="1"/>
    <xf borderId="0" fillId="0" fontId="8" numFmtId="165" xfId="0" applyAlignment="1" applyFont="1" applyNumberFormat="1">
      <alignment readingOrder="0"/>
    </xf>
    <xf borderId="0" fillId="0" fontId="8" numFmtId="166" xfId="0" applyAlignment="1" applyFont="1" applyNumberFormat="1">
      <alignment readingOrder="0"/>
    </xf>
    <xf borderId="0" fillId="0" fontId="8" numFmtId="9" xfId="0" applyAlignment="1" applyFont="1" applyNumberFormat="1">
      <alignment readingOrder="0"/>
    </xf>
    <xf borderId="0" fillId="0" fontId="8" numFmtId="9" xfId="0" applyFont="1" applyNumberFormat="1"/>
    <xf borderId="0" fillId="0" fontId="9" numFmtId="0" xfId="0" applyAlignment="1" applyFont="1">
      <alignment horizontal="center"/>
    </xf>
    <xf borderId="0" fillId="0" fontId="8" numFmtId="165" xfId="0" applyFont="1" applyNumberFormat="1"/>
    <xf borderId="0" fillId="0" fontId="8" numFmtId="164" xfId="0" applyFont="1" applyNumberFormat="1"/>
    <xf borderId="1" fillId="0" fontId="8" numFmtId="164" xfId="0" applyBorder="1" applyFont="1" applyNumberFormat="1"/>
    <xf borderId="0" fillId="0" fontId="10" numFmtId="0" xfId="0" applyAlignment="1" applyFont="1">
      <alignment horizontal="center"/>
    </xf>
    <xf borderId="0" fillId="0" fontId="11" numFmtId="167" xfId="0" applyFont="1" applyNumberFormat="1"/>
    <xf borderId="0" fillId="0" fontId="5" numFmtId="167" xfId="0" applyFont="1" applyNumberFormat="1"/>
    <xf borderId="1" fillId="0" fontId="11" numFmtId="167" xfId="0" applyBorder="1" applyFont="1" applyNumberFormat="1"/>
    <xf borderId="1" fillId="0" fontId="5" numFmtId="167" xfId="0" applyBorder="1" applyFont="1" applyNumberFormat="1"/>
    <xf borderId="0" fillId="0" fontId="4" numFmtId="167" xfId="0" applyFont="1" applyNumberFormat="1"/>
    <xf borderId="2" fillId="0" fontId="5" numFmtId="167" xfId="0" applyBorder="1" applyFont="1" applyNumberFormat="1"/>
    <xf borderId="0" fillId="0" fontId="12" numFmtId="167" xfId="0" applyFont="1" applyNumberFormat="1"/>
    <xf borderId="0" fillId="0" fontId="1" numFmtId="167" xfId="0" applyFont="1" applyNumberFormat="1"/>
    <xf borderId="4" fillId="3" fontId="5" numFmtId="167" xfId="0" applyBorder="1" applyFill="1" applyFont="1" applyNumberFormat="1"/>
    <xf borderId="2" fillId="0" fontId="5" numFmtId="165" xfId="0" applyBorder="1" applyFont="1" applyNumberFormat="1"/>
    <xf borderId="0" fillId="0" fontId="10" numFmtId="165" xfId="0" applyFont="1" applyNumberFormat="1"/>
    <xf borderId="0" fillId="0" fontId="4" numFmtId="164" xfId="0" applyFont="1" applyNumberFormat="1"/>
    <xf borderId="0" fillId="0" fontId="8" numFmtId="166" xfId="0" applyFont="1" applyNumberFormat="1"/>
    <xf borderId="0" fillId="0" fontId="8" numFmtId="167" xfId="0" applyFont="1" applyNumberFormat="1"/>
    <xf borderId="0" fillId="0" fontId="5" numFmtId="167" xfId="0" applyFont="1" applyNumberFormat="1"/>
    <xf borderId="0" fillId="0" fontId="5" numFmtId="165" xfId="0" applyFont="1" applyNumberFormat="1"/>
    <xf borderId="1" fillId="0" fontId="5" numFmtId="165" xfId="0" applyBorder="1" applyFont="1" applyNumberFormat="1"/>
    <xf borderId="2" fillId="0" fontId="1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8.33"/>
    <col customWidth="1" min="2" max="5" width="13.44"/>
    <col customWidth="1" min="6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/>
    <row r="3" ht="15.75" customHeight="1">
      <c r="A3" s="3" t="s">
        <v>5</v>
      </c>
    </row>
    <row r="4" ht="15.75" customHeight="1"/>
    <row r="5" ht="15.75" customHeight="1">
      <c r="A5" s="4" t="s">
        <v>6</v>
      </c>
      <c r="B5" s="5">
        <f t="shared" ref="B5:E5" si="1">B42*B43</f>
        <v>2100000</v>
      </c>
      <c r="C5" s="5">
        <f t="shared" si="1"/>
        <v>3500000</v>
      </c>
      <c r="D5" s="5">
        <f t="shared" si="1"/>
        <v>6300000</v>
      </c>
      <c r="E5" s="5">
        <f t="shared" si="1"/>
        <v>11200000</v>
      </c>
    </row>
    <row r="6" ht="15.75" customHeight="1">
      <c r="A6" s="4" t="s">
        <v>7</v>
      </c>
      <c r="B6" s="5">
        <f t="shared" ref="B6:E6" si="2">-B$5*B44</f>
        <v>-126000</v>
      </c>
      <c r="C6" s="5">
        <f t="shared" si="2"/>
        <v>-210000</v>
      </c>
      <c r="D6" s="5">
        <f t="shared" si="2"/>
        <v>-378000</v>
      </c>
      <c r="E6" s="5">
        <f t="shared" si="2"/>
        <v>-672000</v>
      </c>
    </row>
    <row r="7" ht="15.75" customHeight="1">
      <c r="A7" s="4" t="s">
        <v>8</v>
      </c>
      <c r="B7" s="6">
        <f t="shared" ref="B7:E7" si="3">-B$5*B45</f>
        <v>-189000</v>
      </c>
      <c r="C7" s="6">
        <f t="shared" si="3"/>
        <v>-315000</v>
      </c>
      <c r="D7" s="6">
        <f t="shared" si="3"/>
        <v>-567000</v>
      </c>
      <c r="E7" s="6">
        <f t="shared" si="3"/>
        <v>-1008000</v>
      </c>
    </row>
    <row r="8" ht="15.75" customHeight="1">
      <c r="A8" s="1" t="s">
        <v>9</v>
      </c>
      <c r="B8" s="7">
        <f t="shared" ref="B8:E8" si="4">SUM(B5:B7)</f>
        <v>1785000</v>
      </c>
      <c r="C8" s="7">
        <f t="shared" si="4"/>
        <v>2975000</v>
      </c>
      <c r="D8" s="7">
        <f t="shared" si="4"/>
        <v>5355000</v>
      </c>
      <c r="E8" s="7">
        <f t="shared" si="4"/>
        <v>9520000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B9" s="8"/>
      <c r="C9" s="8"/>
      <c r="D9" s="8"/>
      <c r="E9" s="8"/>
    </row>
    <row r="10" ht="15.75" customHeight="1">
      <c r="A10" s="3" t="s">
        <v>10</v>
      </c>
      <c r="B10" s="8"/>
      <c r="C10" s="8"/>
      <c r="D10" s="8"/>
      <c r="E10" s="8"/>
    </row>
    <row r="11" ht="15.75" customHeight="1">
      <c r="A11" s="4" t="s">
        <v>11</v>
      </c>
      <c r="B11" s="5">
        <f t="shared" ref="B11:E11" si="5">B$8*B48</f>
        <v>589050</v>
      </c>
      <c r="C11" s="5">
        <f t="shared" si="5"/>
        <v>981750</v>
      </c>
      <c r="D11" s="5">
        <f t="shared" si="5"/>
        <v>1767150</v>
      </c>
      <c r="E11" s="5">
        <f t="shared" si="5"/>
        <v>3141600</v>
      </c>
    </row>
    <row r="12" ht="15.75" customHeight="1">
      <c r="A12" s="4" t="s">
        <v>12</v>
      </c>
      <c r="B12" s="5">
        <f t="shared" ref="B12:E12" si="6">B$8*B49</f>
        <v>107100</v>
      </c>
      <c r="C12" s="5">
        <f t="shared" si="6"/>
        <v>178500</v>
      </c>
      <c r="D12" s="5">
        <f t="shared" si="6"/>
        <v>321300</v>
      </c>
      <c r="E12" s="5">
        <f t="shared" si="6"/>
        <v>571200</v>
      </c>
    </row>
    <row r="13" ht="15.75" customHeight="1">
      <c r="A13" s="4" t="s">
        <v>13</v>
      </c>
      <c r="B13" s="6">
        <f t="shared" ref="B13:E13" si="7">B$8*B50</f>
        <v>71400</v>
      </c>
      <c r="C13" s="6">
        <f t="shared" si="7"/>
        <v>119000</v>
      </c>
      <c r="D13" s="6">
        <f t="shared" si="7"/>
        <v>214200</v>
      </c>
      <c r="E13" s="6">
        <f t="shared" si="7"/>
        <v>380800</v>
      </c>
    </row>
    <row r="14" ht="15.75" customHeight="1">
      <c r="A14" s="1" t="s">
        <v>14</v>
      </c>
      <c r="B14" s="7">
        <f t="shared" ref="B14:E14" si="8">SUM(B11:B13)</f>
        <v>767550</v>
      </c>
      <c r="C14" s="7">
        <f t="shared" si="8"/>
        <v>1279250</v>
      </c>
      <c r="D14" s="7">
        <f t="shared" si="8"/>
        <v>2302650</v>
      </c>
      <c r="E14" s="7">
        <f t="shared" si="8"/>
        <v>4093600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B15" s="8"/>
      <c r="C15" s="8"/>
      <c r="D15" s="8"/>
      <c r="E15" s="8"/>
    </row>
    <row r="16" ht="15.75" customHeight="1">
      <c r="A16" s="1" t="s">
        <v>15</v>
      </c>
      <c r="B16" s="9">
        <f t="shared" ref="B16:E16" si="9">B8-B14</f>
        <v>1017450</v>
      </c>
      <c r="C16" s="9">
        <f t="shared" si="9"/>
        <v>1695750</v>
      </c>
      <c r="D16" s="9">
        <f t="shared" si="9"/>
        <v>3052350</v>
      </c>
      <c r="E16" s="9">
        <f t="shared" si="9"/>
        <v>5426400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0" t="s">
        <v>16</v>
      </c>
      <c r="B17" s="11">
        <f t="shared" ref="B17:E17" si="10">B16/B8</f>
        <v>0.57</v>
      </c>
      <c r="C17" s="11">
        <f t="shared" si="10"/>
        <v>0.57</v>
      </c>
      <c r="D17" s="11">
        <f t="shared" si="10"/>
        <v>0.57</v>
      </c>
      <c r="E17" s="11">
        <f t="shared" si="10"/>
        <v>0.57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/>
    <row r="19" ht="15.75" customHeight="1">
      <c r="A19" s="3" t="s">
        <v>17</v>
      </c>
    </row>
    <row r="20" ht="15.75" customHeight="1">
      <c r="A20" s="4" t="s">
        <v>18</v>
      </c>
      <c r="B20" s="5">
        <f t="shared" ref="B20:E20" si="11">B$8*B53</f>
        <v>357000</v>
      </c>
      <c r="C20" s="5">
        <f t="shared" si="11"/>
        <v>595000</v>
      </c>
      <c r="D20" s="5">
        <f t="shared" si="11"/>
        <v>1071000</v>
      </c>
      <c r="E20" s="5">
        <f t="shared" si="11"/>
        <v>1904000</v>
      </c>
    </row>
    <row r="21" ht="15.75" customHeight="1">
      <c r="A21" s="4" t="s">
        <v>19</v>
      </c>
      <c r="B21" s="5">
        <f t="shared" ref="B21:E21" si="12">B$8*B54</f>
        <v>178500</v>
      </c>
      <c r="C21" s="5">
        <f t="shared" si="12"/>
        <v>297500</v>
      </c>
      <c r="D21" s="5">
        <f t="shared" si="12"/>
        <v>535500</v>
      </c>
      <c r="E21" s="5">
        <f t="shared" si="12"/>
        <v>952000</v>
      </c>
    </row>
    <row r="22" ht="15.75" customHeight="1">
      <c r="A22" s="4" t="s">
        <v>20</v>
      </c>
      <c r="B22" s="5">
        <f t="shared" ref="B22:E22" si="13">B$8*B55</f>
        <v>89250</v>
      </c>
      <c r="C22" s="5">
        <f t="shared" si="13"/>
        <v>148750</v>
      </c>
      <c r="D22" s="5">
        <f t="shared" si="13"/>
        <v>267750</v>
      </c>
      <c r="E22" s="5">
        <f t="shared" si="13"/>
        <v>476000</v>
      </c>
    </row>
    <row r="23" ht="15.75" customHeight="1">
      <c r="A23" s="4" t="s">
        <v>21</v>
      </c>
      <c r="B23" s="6">
        <f>'Capex &amp; Depreciation Schedule'!C13</f>
        <v>31666.66667</v>
      </c>
      <c r="C23" s="6">
        <f>'Capex &amp; Depreciation Schedule'!D13</f>
        <v>65000</v>
      </c>
      <c r="D23" s="6">
        <f>'Capex &amp; Depreciation Schedule'!E13</f>
        <v>103333.3333</v>
      </c>
      <c r="E23" s="6">
        <f>'Capex &amp; Depreciation Schedule'!F13</f>
        <v>86666.66667</v>
      </c>
    </row>
    <row r="24" ht="15.75" customHeight="1">
      <c r="A24" s="1" t="s">
        <v>22</v>
      </c>
      <c r="B24" s="7">
        <f t="shared" ref="B24:E24" si="14">SUM(B20:B23)</f>
        <v>656416.6667</v>
      </c>
      <c r="C24" s="7">
        <f t="shared" si="14"/>
        <v>1106250</v>
      </c>
      <c r="D24" s="7">
        <f t="shared" si="14"/>
        <v>1977583.333</v>
      </c>
      <c r="E24" s="7">
        <f t="shared" si="14"/>
        <v>3418666.667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B25" s="8"/>
      <c r="C25" s="8"/>
      <c r="D25" s="8"/>
      <c r="E25" s="8"/>
    </row>
    <row r="26" ht="15.75" customHeight="1">
      <c r="A26" s="1" t="s">
        <v>23</v>
      </c>
      <c r="B26" s="7">
        <f t="shared" ref="B26:E26" si="15">B16-B24</f>
        <v>361033.3333</v>
      </c>
      <c r="C26" s="7">
        <f t="shared" si="15"/>
        <v>589500</v>
      </c>
      <c r="D26" s="7">
        <f t="shared" si="15"/>
        <v>1074766.667</v>
      </c>
      <c r="E26" s="7">
        <f t="shared" si="15"/>
        <v>2007733.333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/>
      <c r="C27" s="7"/>
      <c r="D27" s="7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2" t="s">
        <v>24</v>
      </c>
      <c r="B28" s="5">
        <f>'Balance Sheet'!C45</f>
        <v>192000</v>
      </c>
      <c r="C28" s="5">
        <f>'Balance Sheet'!D45</f>
        <v>240000</v>
      </c>
      <c r="D28" s="5">
        <f>'Balance Sheet'!E45</f>
        <v>168000</v>
      </c>
      <c r="E28" s="5">
        <f>'Balance Sheet'!F45</f>
        <v>96000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"/>
      <c r="B29" s="7"/>
      <c r="C29" s="7"/>
      <c r="D29" s="7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25</v>
      </c>
      <c r="B30" s="7">
        <f t="shared" ref="B30:E30" si="16">B26-B28</f>
        <v>169033.3333</v>
      </c>
      <c r="C30" s="7">
        <f t="shared" si="16"/>
        <v>349500</v>
      </c>
      <c r="D30" s="7">
        <f t="shared" si="16"/>
        <v>906766.6667</v>
      </c>
      <c r="E30" s="7">
        <f t="shared" si="16"/>
        <v>1911733.333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7"/>
      <c r="C31" s="7"/>
      <c r="D31" s="7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2" t="s">
        <v>26</v>
      </c>
      <c r="B32" s="5">
        <f t="shared" ref="B32:E32" si="17">B30*B60</f>
        <v>35497</v>
      </c>
      <c r="C32" s="5">
        <f t="shared" si="17"/>
        <v>73395</v>
      </c>
      <c r="D32" s="5">
        <f t="shared" si="17"/>
        <v>190421</v>
      </c>
      <c r="E32" s="5">
        <f t="shared" si="17"/>
        <v>401464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5"/>
      <c r="C33" s="5"/>
      <c r="D33" s="5"/>
      <c r="E33" s="5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" t="s">
        <v>27</v>
      </c>
      <c r="B34" s="7">
        <f t="shared" ref="B34:E34" si="18">B30-B32</f>
        <v>133536.3333</v>
      </c>
      <c r="C34" s="7">
        <f t="shared" si="18"/>
        <v>276105</v>
      </c>
      <c r="D34" s="7">
        <f t="shared" si="18"/>
        <v>716345.6667</v>
      </c>
      <c r="E34" s="7">
        <f t="shared" si="18"/>
        <v>1510269.333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0" t="s">
        <v>28</v>
      </c>
      <c r="B35" s="13">
        <f t="shared" ref="B35:E35" si="19">B34/B8</f>
        <v>0.07481027077</v>
      </c>
      <c r="C35" s="13">
        <f t="shared" si="19"/>
        <v>0.09280840336</v>
      </c>
      <c r="D35" s="13">
        <f t="shared" si="19"/>
        <v>0.1337713663</v>
      </c>
      <c r="E35" s="13">
        <f t="shared" si="19"/>
        <v>0.1586417367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3"/>
      <c r="C36" s="13"/>
      <c r="D36" s="13"/>
      <c r="E36" s="13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2" t="s">
        <v>29</v>
      </c>
      <c r="B37" s="5">
        <f t="shared" ref="B37:E37" si="20">B26+B23</f>
        <v>392700</v>
      </c>
      <c r="C37" s="5">
        <f t="shared" si="20"/>
        <v>654500</v>
      </c>
      <c r="D37" s="5">
        <f t="shared" si="20"/>
        <v>1178100</v>
      </c>
      <c r="E37" s="5">
        <f t="shared" si="20"/>
        <v>2094400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4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/>
    <row r="41" ht="15.75" customHeight="1">
      <c r="A41" s="15" t="s">
        <v>5</v>
      </c>
    </row>
    <row r="42" ht="15.75" customHeight="1">
      <c r="A42" s="4" t="s">
        <v>31</v>
      </c>
      <c r="B42" s="16">
        <v>60000.0</v>
      </c>
      <c r="C42" s="16">
        <v>100000.0</v>
      </c>
      <c r="D42" s="16">
        <v>180000.0</v>
      </c>
      <c r="E42" s="16">
        <v>320000.0</v>
      </c>
    </row>
    <row r="43" ht="15.75" customHeight="1">
      <c r="A43" s="4" t="s">
        <v>32</v>
      </c>
      <c r="B43" s="17">
        <v>35.0</v>
      </c>
      <c r="C43" s="17">
        <v>35.0</v>
      </c>
      <c r="D43" s="17">
        <v>35.0</v>
      </c>
      <c r="E43" s="17">
        <v>35.0</v>
      </c>
    </row>
    <row r="44" ht="15.75" customHeight="1">
      <c r="A44" s="4" t="s">
        <v>33</v>
      </c>
      <c r="B44" s="18">
        <v>0.06</v>
      </c>
      <c r="C44" s="18">
        <v>0.06</v>
      </c>
      <c r="D44" s="18">
        <v>0.06</v>
      </c>
      <c r="E44" s="18">
        <v>0.06</v>
      </c>
    </row>
    <row r="45" ht="15.75" customHeight="1">
      <c r="A45" s="4" t="s">
        <v>8</v>
      </c>
      <c r="B45" s="18">
        <v>0.09</v>
      </c>
      <c r="C45" s="18">
        <v>0.09</v>
      </c>
      <c r="D45" s="18">
        <v>0.09</v>
      </c>
      <c r="E45" s="18">
        <v>0.09</v>
      </c>
    </row>
    <row r="46" ht="15.75" customHeight="1"/>
    <row r="47" ht="15.75" customHeight="1">
      <c r="A47" s="15" t="s">
        <v>34</v>
      </c>
    </row>
    <row r="48" ht="15.75" customHeight="1">
      <c r="A48" s="4" t="s">
        <v>11</v>
      </c>
      <c r="B48" s="18">
        <v>0.33</v>
      </c>
      <c r="C48" s="18">
        <v>0.33</v>
      </c>
      <c r="D48" s="18">
        <v>0.33</v>
      </c>
      <c r="E48" s="18">
        <v>0.33</v>
      </c>
    </row>
    <row r="49" ht="15.75" customHeight="1">
      <c r="A49" s="4" t="s">
        <v>12</v>
      </c>
      <c r="B49" s="18">
        <v>0.06</v>
      </c>
      <c r="C49" s="18">
        <v>0.06</v>
      </c>
      <c r="D49" s="18">
        <v>0.06</v>
      </c>
      <c r="E49" s="18">
        <v>0.06</v>
      </c>
    </row>
    <row r="50" ht="15.75" customHeight="1">
      <c r="A50" s="4" t="s">
        <v>13</v>
      </c>
      <c r="B50" s="18">
        <v>0.04</v>
      </c>
      <c r="C50" s="18">
        <v>0.04</v>
      </c>
      <c r="D50" s="18">
        <v>0.04</v>
      </c>
      <c r="E50" s="18">
        <v>0.04</v>
      </c>
    </row>
    <row r="51" ht="15.75" customHeight="1"/>
    <row r="52" ht="15.75" customHeight="1">
      <c r="A52" s="15" t="s">
        <v>17</v>
      </c>
    </row>
    <row r="53" ht="15.75" customHeight="1">
      <c r="A53" s="4" t="s">
        <v>18</v>
      </c>
      <c r="B53" s="19">
        <v>0.2</v>
      </c>
      <c r="C53" s="19">
        <v>0.2</v>
      </c>
      <c r="D53" s="19">
        <v>0.2</v>
      </c>
      <c r="E53" s="19">
        <v>0.2</v>
      </c>
    </row>
    <row r="54" ht="15.75" customHeight="1">
      <c r="A54" s="4" t="s">
        <v>19</v>
      </c>
      <c r="B54" s="19">
        <v>0.1</v>
      </c>
      <c r="C54" s="19">
        <v>0.1</v>
      </c>
      <c r="D54" s="19">
        <v>0.1</v>
      </c>
      <c r="E54" s="19">
        <v>0.1</v>
      </c>
    </row>
    <row r="55" ht="15.75" customHeight="1">
      <c r="A55" s="4" t="s">
        <v>20</v>
      </c>
      <c r="B55" s="19">
        <v>0.05</v>
      </c>
      <c r="C55" s="19">
        <v>0.05</v>
      </c>
      <c r="D55" s="19">
        <v>0.05</v>
      </c>
      <c r="E55" s="19">
        <v>0.05</v>
      </c>
    </row>
    <row r="56" ht="15.75" customHeight="1">
      <c r="A56" s="4" t="s">
        <v>21</v>
      </c>
      <c r="B56" s="4" t="s">
        <v>35</v>
      </c>
      <c r="C56" s="4" t="s">
        <v>35</v>
      </c>
      <c r="D56" s="4" t="s">
        <v>35</v>
      </c>
      <c r="E56" s="4" t="s">
        <v>35</v>
      </c>
    </row>
    <row r="57" ht="15.75" customHeight="1"/>
    <row r="58" ht="15.75" customHeight="1">
      <c r="A58" s="4" t="s">
        <v>36</v>
      </c>
      <c r="B58" s="4" t="s">
        <v>35</v>
      </c>
      <c r="C58" s="4" t="s">
        <v>35</v>
      </c>
      <c r="D58" s="4" t="s">
        <v>35</v>
      </c>
      <c r="E58" s="4" t="s">
        <v>35</v>
      </c>
    </row>
    <row r="59" ht="15.75" customHeight="1"/>
    <row r="60" ht="15.75" customHeight="1">
      <c r="A60" s="4" t="s">
        <v>37</v>
      </c>
      <c r="B60" s="19">
        <v>0.21</v>
      </c>
      <c r="C60" s="19">
        <v>0.21</v>
      </c>
      <c r="D60" s="19">
        <v>0.21</v>
      </c>
      <c r="E60" s="19">
        <v>0.21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8.78"/>
    <col customWidth="1" min="3" max="3" width="11.33"/>
    <col customWidth="1" min="4" max="4" width="11.0"/>
    <col customWidth="1" min="5" max="6" width="11.33"/>
    <col customWidth="1" min="7" max="26" width="11.0"/>
  </cols>
  <sheetData>
    <row r="1" ht="15.75" customHeight="1">
      <c r="A1" s="1" t="s">
        <v>38</v>
      </c>
      <c r="B1" s="20" t="s">
        <v>39</v>
      </c>
      <c r="C1" s="2" t="s">
        <v>1</v>
      </c>
      <c r="D1" s="2" t="s">
        <v>2</v>
      </c>
      <c r="E1" s="2" t="s">
        <v>3</v>
      </c>
      <c r="F1" s="2" t="s">
        <v>4</v>
      </c>
    </row>
    <row r="2" ht="15.75" customHeight="1"/>
    <row r="3" ht="15.75" customHeight="1">
      <c r="A3" s="15" t="s">
        <v>40</v>
      </c>
    </row>
    <row r="4" ht="15.75" customHeight="1">
      <c r="A4" s="4" t="s">
        <v>41</v>
      </c>
      <c r="B4" s="21">
        <v>5.0</v>
      </c>
      <c r="C4" s="22">
        <v>75000.0</v>
      </c>
      <c r="D4" s="22"/>
      <c r="E4" s="22"/>
      <c r="F4" s="22"/>
    </row>
    <row r="5" ht="15.75" customHeight="1">
      <c r="A5" s="4" t="s">
        <v>42</v>
      </c>
      <c r="B5" s="21">
        <v>3.0</v>
      </c>
      <c r="C5" s="22">
        <v>50000.0</v>
      </c>
      <c r="D5" s="22">
        <v>100000.0</v>
      </c>
      <c r="E5" s="22">
        <v>100000.0</v>
      </c>
      <c r="F5" s="22"/>
    </row>
    <row r="6" ht="15.75" customHeight="1">
      <c r="A6" s="4" t="s">
        <v>43</v>
      </c>
      <c r="B6" s="21">
        <v>6.0</v>
      </c>
      <c r="C6" s="23"/>
      <c r="D6" s="23"/>
      <c r="E6" s="23">
        <v>30000.0</v>
      </c>
      <c r="F6" s="23"/>
    </row>
    <row r="7" ht="15.75" customHeight="1">
      <c r="A7" s="1" t="s">
        <v>44</v>
      </c>
      <c r="B7" s="1"/>
      <c r="C7" s="7">
        <f t="shared" ref="C7:F7" si="1">SUM(C4:C6)</f>
        <v>125000</v>
      </c>
      <c r="D7" s="7">
        <f t="shared" si="1"/>
        <v>100000</v>
      </c>
      <c r="E7" s="7">
        <f t="shared" si="1"/>
        <v>130000</v>
      </c>
      <c r="F7" s="7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C8" s="8"/>
      <c r="D8" s="8"/>
      <c r="E8" s="8"/>
      <c r="F8" s="8"/>
    </row>
    <row r="9" ht="15.75" customHeight="1">
      <c r="A9" s="15" t="s">
        <v>21</v>
      </c>
      <c r="C9" s="8"/>
      <c r="D9" s="8"/>
      <c r="E9" s="8"/>
      <c r="F9" s="8"/>
    </row>
    <row r="10" ht="15.75" customHeight="1">
      <c r="A10" s="4" t="s">
        <v>41</v>
      </c>
      <c r="C10" s="5">
        <f t="shared" ref="C10:F10" si="2">$C$4/$B$4</f>
        <v>15000</v>
      </c>
      <c r="D10" s="5">
        <f t="shared" si="2"/>
        <v>15000</v>
      </c>
      <c r="E10" s="5">
        <f t="shared" si="2"/>
        <v>15000</v>
      </c>
      <c r="F10" s="5">
        <f t="shared" si="2"/>
        <v>15000</v>
      </c>
    </row>
    <row r="11" ht="15.75" customHeight="1">
      <c r="A11" s="4" t="s">
        <v>42</v>
      </c>
      <c r="C11" s="5">
        <f>$C$5/$B$5</f>
        <v>16666.66667</v>
      </c>
      <c r="D11" s="5">
        <f>$C$5/$B$5+$D$5/$B$5</f>
        <v>50000</v>
      </c>
      <c r="E11" s="5">
        <f>$C$5/$B$5+$D$5/$B$5+$E$5/$B$5</f>
        <v>83333.33333</v>
      </c>
      <c r="F11" s="5">
        <f>$D$5/$B$5+$E$5/$B$5</f>
        <v>66666.66667</v>
      </c>
    </row>
    <row r="12" ht="15.75" customHeight="1">
      <c r="A12" s="4" t="s">
        <v>43</v>
      </c>
      <c r="C12" s="6"/>
      <c r="D12" s="6"/>
      <c r="E12" s="6">
        <f t="shared" ref="E12:F12" si="3">$E$6/$B$6</f>
        <v>5000</v>
      </c>
      <c r="F12" s="6">
        <f t="shared" si="3"/>
        <v>5000</v>
      </c>
    </row>
    <row r="13" ht="15.75" customHeight="1">
      <c r="A13" s="1" t="s">
        <v>45</v>
      </c>
      <c r="B13" s="1"/>
      <c r="C13" s="5">
        <f t="shared" ref="C13:F13" si="4">SUM(C10:C12)</f>
        <v>31666.66667</v>
      </c>
      <c r="D13" s="5">
        <f t="shared" si="4"/>
        <v>65000</v>
      </c>
      <c r="E13" s="5">
        <f t="shared" si="4"/>
        <v>103333.3333</v>
      </c>
      <c r="F13" s="5">
        <f t="shared" si="4"/>
        <v>86666.66667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11"/>
    <col customWidth="1" min="2" max="2" width="13.11"/>
    <col customWidth="1" min="3" max="5" width="11.44"/>
    <col customWidth="1" min="6" max="6" width="12.44"/>
    <col customWidth="1" min="7" max="26" width="11.0"/>
  </cols>
  <sheetData>
    <row r="1" ht="15.75" customHeight="1">
      <c r="A1" s="1" t="s">
        <v>46</v>
      </c>
      <c r="B1" s="3" t="s">
        <v>47</v>
      </c>
      <c r="C1" s="2" t="s">
        <v>1</v>
      </c>
      <c r="D1" s="2" t="s">
        <v>2</v>
      </c>
      <c r="E1" s="2" t="s">
        <v>3</v>
      </c>
      <c r="F1" s="2" t="s">
        <v>4</v>
      </c>
    </row>
    <row r="2" ht="15.75" customHeight="1">
      <c r="B2" s="24" t="s">
        <v>48</v>
      </c>
    </row>
    <row r="3" ht="15.75" customHeight="1">
      <c r="A3" s="3" t="s">
        <v>49</v>
      </c>
      <c r="B3" s="3"/>
    </row>
    <row r="4" ht="15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4" t="s">
        <v>50</v>
      </c>
      <c r="B5" s="25">
        <v>4250000.0</v>
      </c>
      <c r="C5" s="26">
        <f>B5+'Cash Flow Statement'!B22</f>
        <v>3781603</v>
      </c>
      <c r="D5" s="26">
        <f>C5+'Cash Flow Statement'!C22</f>
        <v>4729808</v>
      </c>
      <c r="E5" s="26">
        <f>D5+'Cash Flow Statement'!D22</f>
        <v>4822937</v>
      </c>
      <c r="F5" s="26">
        <f>E5+'Cash Flow Statement'!E22</f>
        <v>6085123</v>
      </c>
    </row>
    <row r="6" ht="15.75" customHeight="1">
      <c r="A6" s="4" t="s">
        <v>51</v>
      </c>
      <c r="B6" s="27">
        <v>120000.0</v>
      </c>
      <c r="C6" s="28">
        <f t="shared" ref="C6:F6" si="1">C37*C38</f>
        <v>89250</v>
      </c>
      <c r="D6" s="28">
        <f t="shared" si="1"/>
        <v>148750</v>
      </c>
      <c r="E6" s="28">
        <f t="shared" si="1"/>
        <v>267750</v>
      </c>
      <c r="F6" s="28">
        <f t="shared" si="1"/>
        <v>476000</v>
      </c>
    </row>
    <row r="7" ht="15.75" customHeight="1">
      <c r="A7" s="1" t="s">
        <v>52</v>
      </c>
      <c r="B7" s="26">
        <f t="shared" ref="B7:F7" si="2">SUM(B5:B6)</f>
        <v>4370000</v>
      </c>
      <c r="C7" s="26">
        <f t="shared" si="2"/>
        <v>3870853</v>
      </c>
      <c r="D7" s="26">
        <f t="shared" si="2"/>
        <v>4878558</v>
      </c>
      <c r="E7" s="26">
        <f t="shared" si="2"/>
        <v>5090687</v>
      </c>
      <c r="F7" s="26">
        <f t="shared" si="2"/>
        <v>6561123</v>
      </c>
    </row>
    <row r="8" ht="15.75" customHeight="1">
      <c r="B8" s="29"/>
      <c r="C8" s="29"/>
      <c r="D8" s="29"/>
      <c r="E8" s="29"/>
      <c r="F8" s="29"/>
    </row>
    <row r="9" ht="15.75" customHeight="1">
      <c r="A9" s="4" t="s">
        <v>53</v>
      </c>
      <c r="B9" s="25">
        <v>40000.0</v>
      </c>
      <c r="C9" s="26">
        <f>B9+'Capex &amp; Depreciation Schedule'!C7</f>
        <v>165000</v>
      </c>
      <c r="D9" s="26">
        <f>C9+'Capex &amp; Depreciation Schedule'!D7</f>
        <v>265000</v>
      </c>
      <c r="E9" s="26">
        <f>D9+'Capex &amp; Depreciation Schedule'!E7</f>
        <v>395000</v>
      </c>
      <c r="F9" s="26">
        <f>E9+'Capex &amp; Depreciation Schedule'!F7</f>
        <v>395000</v>
      </c>
    </row>
    <row r="10" ht="15.75" customHeight="1">
      <c r="A10" s="4" t="s">
        <v>54</v>
      </c>
      <c r="B10" s="27">
        <v>-10000.0</v>
      </c>
      <c r="C10" s="28">
        <f>B10-'Capex &amp; Depreciation Schedule'!C13</f>
        <v>-41666.66667</v>
      </c>
      <c r="D10" s="28">
        <f>C10-'Capex &amp; Depreciation Schedule'!D13</f>
        <v>-106666.6667</v>
      </c>
      <c r="E10" s="28">
        <f>D10-'Capex &amp; Depreciation Schedule'!E13</f>
        <v>-210000</v>
      </c>
      <c r="F10" s="28">
        <f>E10-'Capex &amp; Depreciation Schedule'!F13</f>
        <v>-296666.6667</v>
      </c>
    </row>
    <row r="11" ht="15.75" customHeight="1">
      <c r="A11" s="1" t="s">
        <v>55</v>
      </c>
      <c r="B11" s="26">
        <f t="shared" ref="B11:F11" si="3">SUM(B9:B10)</f>
        <v>30000</v>
      </c>
      <c r="C11" s="26">
        <f t="shared" si="3"/>
        <v>123333.3333</v>
      </c>
      <c r="D11" s="26">
        <f t="shared" si="3"/>
        <v>158333.3333</v>
      </c>
      <c r="E11" s="26">
        <f t="shared" si="3"/>
        <v>185000</v>
      </c>
      <c r="F11" s="26">
        <f t="shared" si="3"/>
        <v>98333.33333</v>
      </c>
    </row>
    <row r="12" ht="15.75" customHeight="1">
      <c r="B12" s="29"/>
      <c r="C12" s="29"/>
      <c r="D12" s="29"/>
      <c r="E12" s="29"/>
      <c r="F12" s="29"/>
    </row>
    <row r="13" ht="15.75" customHeight="1">
      <c r="A13" s="1" t="s">
        <v>56</v>
      </c>
      <c r="B13" s="30">
        <f t="shared" ref="B13:F13" si="4">B7+B11</f>
        <v>4400000</v>
      </c>
      <c r="C13" s="30">
        <f t="shared" si="4"/>
        <v>3994186.333</v>
      </c>
      <c r="D13" s="30">
        <f t="shared" si="4"/>
        <v>5036891.333</v>
      </c>
      <c r="E13" s="30">
        <f t="shared" si="4"/>
        <v>5275687</v>
      </c>
      <c r="F13" s="30">
        <f t="shared" si="4"/>
        <v>6659456.333</v>
      </c>
    </row>
    <row r="14" ht="15.75" customHeight="1">
      <c r="B14" s="29"/>
      <c r="C14" s="29"/>
      <c r="D14" s="29"/>
      <c r="E14" s="29"/>
      <c r="F14" s="29"/>
    </row>
    <row r="15" ht="15.75" customHeight="1">
      <c r="A15" s="3" t="s">
        <v>57</v>
      </c>
      <c r="B15" s="31"/>
      <c r="C15" s="32"/>
      <c r="D15" s="32"/>
      <c r="E15" s="32"/>
      <c r="F15" s="3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B16" s="29"/>
      <c r="C16" s="29"/>
      <c r="D16" s="29"/>
      <c r="E16" s="29"/>
      <c r="F16" s="29"/>
    </row>
    <row r="17" ht="15.75" customHeight="1">
      <c r="A17" s="4" t="s">
        <v>58</v>
      </c>
      <c r="B17" s="25">
        <v>75000.0</v>
      </c>
      <c r="C17" s="26">
        <f t="shared" ref="C17:F17" si="5">C37*C39</f>
        <v>107100</v>
      </c>
      <c r="D17" s="26">
        <f t="shared" si="5"/>
        <v>178500</v>
      </c>
      <c r="E17" s="26">
        <f t="shared" si="5"/>
        <v>321300</v>
      </c>
      <c r="F17" s="26">
        <f t="shared" si="5"/>
        <v>571200</v>
      </c>
    </row>
    <row r="18" ht="15.75" customHeight="1">
      <c r="A18" s="12" t="s">
        <v>59</v>
      </c>
      <c r="B18" s="27">
        <v>25000.0</v>
      </c>
      <c r="C18" s="28">
        <f t="shared" ref="C18:F18" si="6">C37*C40</f>
        <v>53550</v>
      </c>
      <c r="D18" s="28">
        <f t="shared" si="6"/>
        <v>148750</v>
      </c>
      <c r="E18" s="28">
        <f t="shared" si="6"/>
        <v>428400</v>
      </c>
      <c r="F18" s="28">
        <f t="shared" si="6"/>
        <v>952000</v>
      </c>
    </row>
    <row r="19" ht="15.75" customHeight="1">
      <c r="A19" s="1" t="s">
        <v>52</v>
      </c>
      <c r="B19" s="26">
        <f t="shared" ref="B19:F19" si="7">SUM(B17:B18)</f>
        <v>100000</v>
      </c>
      <c r="C19" s="26">
        <f t="shared" si="7"/>
        <v>160650</v>
      </c>
      <c r="D19" s="26">
        <f t="shared" si="7"/>
        <v>327250</v>
      </c>
      <c r="E19" s="26">
        <f t="shared" si="7"/>
        <v>749700</v>
      </c>
      <c r="F19" s="26">
        <f t="shared" si="7"/>
        <v>1523200</v>
      </c>
    </row>
    <row r="20" ht="15.75" customHeight="1">
      <c r="B20" s="29"/>
      <c r="C20" s="29"/>
      <c r="D20" s="29"/>
      <c r="E20" s="29"/>
      <c r="F20" s="29"/>
    </row>
    <row r="21" ht="15.75" customHeight="1">
      <c r="A21" s="4" t="s">
        <v>60</v>
      </c>
      <c r="B21" s="25">
        <v>3000000.0</v>
      </c>
      <c r="C21" s="26">
        <f t="shared" ref="C21:F21" si="8">B21+C42-C43</f>
        <v>2400000</v>
      </c>
      <c r="D21" s="26">
        <f t="shared" si="8"/>
        <v>3000000</v>
      </c>
      <c r="E21" s="26">
        <f t="shared" si="8"/>
        <v>2100000</v>
      </c>
      <c r="F21" s="26">
        <f t="shared" si="8"/>
        <v>1200000</v>
      </c>
    </row>
    <row r="22" ht="15.75" customHeight="1">
      <c r="B22" s="29"/>
      <c r="C22" s="29"/>
      <c r="D22" s="29"/>
      <c r="E22" s="29"/>
      <c r="F22" s="29"/>
    </row>
    <row r="23" ht="15.75" customHeight="1">
      <c r="A23" s="1" t="s">
        <v>61</v>
      </c>
      <c r="B23" s="30">
        <f t="shared" ref="B23:F23" si="9">B19+B21</f>
        <v>3100000</v>
      </c>
      <c r="C23" s="30">
        <f t="shared" si="9"/>
        <v>2560650</v>
      </c>
      <c r="D23" s="30">
        <f t="shared" si="9"/>
        <v>3327250</v>
      </c>
      <c r="E23" s="30">
        <f t="shared" si="9"/>
        <v>2849700</v>
      </c>
      <c r="F23" s="30">
        <f t="shared" si="9"/>
        <v>2723200</v>
      </c>
    </row>
    <row r="24" ht="15.75" customHeight="1">
      <c r="B24" s="29"/>
      <c r="C24" s="29"/>
      <c r="D24" s="29"/>
      <c r="E24" s="29"/>
      <c r="F24" s="29"/>
    </row>
    <row r="25" ht="15.75" customHeight="1">
      <c r="A25" s="3" t="s">
        <v>62</v>
      </c>
      <c r="B25" s="31"/>
      <c r="C25" s="32"/>
      <c r="D25" s="32"/>
      <c r="E25" s="32"/>
      <c r="F25" s="3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B26" s="29"/>
      <c r="C26" s="29"/>
      <c r="D26" s="29"/>
      <c r="E26" s="29"/>
      <c r="F26" s="29"/>
    </row>
    <row r="27" ht="15.75" customHeight="1">
      <c r="A27" s="4" t="s">
        <v>63</v>
      </c>
      <c r="B27" s="25">
        <v>50000.0</v>
      </c>
      <c r="C27" s="26">
        <f t="shared" ref="C27:F27" si="10">B27</f>
        <v>50000</v>
      </c>
      <c r="D27" s="26">
        <f t="shared" si="10"/>
        <v>50000</v>
      </c>
      <c r="E27" s="26">
        <f t="shared" si="10"/>
        <v>50000</v>
      </c>
      <c r="F27" s="26">
        <f t="shared" si="10"/>
        <v>50000</v>
      </c>
    </row>
    <row r="28" ht="15.75" customHeight="1">
      <c r="A28" s="4" t="s">
        <v>64</v>
      </c>
      <c r="B28" s="27">
        <v>1250000.0</v>
      </c>
      <c r="C28" s="33">
        <f>B28+'Income Statement'!B34</f>
        <v>1383536.333</v>
      </c>
      <c r="D28" s="28">
        <f>C28+'Income Statement'!C34</f>
        <v>1659641.333</v>
      </c>
      <c r="E28" s="28">
        <f>D28+'Income Statement'!D34</f>
        <v>2375987</v>
      </c>
      <c r="F28" s="28">
        <f>E28+'Income Statement'!E34</f>
        <v>3886256.333</v>
      </c>
    </row>
    <row r="29" ht="15.75" customHeight="1">
      <c r="A29" s="4" t="s">
        <v>65</v>
      </c>
      <c r="B29" s="26">
        <f t="shared" ref="B29:F29" si="11">SUM(B27:B28)</f>
        <v>1300000</v>
      </c>
      <c r="C29" s="26">
        <f t="shared" si="11"/>
        <v>1433536.333</v>
      </c>
      <c r="D29" s="26">
        <f t="shared" si="11"/>
        <v>1709641.333</v>
      </c>
      <c r="E29" s="26">
        <f t="shared" si="11"/>
        <v>2425987</v>
      </c>
      <c r="F29" s="26">
        <f t="shared" si="11"/>
        <v>3936256.333</v>
      </c>
    </row>
    <row r="30" ht="15.75" customHeight="1">
      <c r="B30" s="8"/>
      <c r="C30" s="8"/>
      <c r="D30" s="8"/>
      <c r="E30" s="8"/>
      <c r="F30" s="8"/>
    </row>
    <row r="31" ht="15.75" customHeight="1">
      <c r="A31" s="1" t="s">
        <v>66</v>
      </c>
      <c r="B31" s="34">
        <f t="shared" ref="B31:F31" si="12">B23+B29</f>
        <v>4400000</v>
      </c>
      <c r="C31" s="34">
        <f t="shared" si="12"/>
        <v>3994186.333</v>
      </c>
      <c r="D31" s="34">
        <f t="shared" si="12"/>
        <v>5036891.333</v>
      </c>
      <c r="E31" s="34">
        <f t="shared" si="12"/>
        <v>5275687</v>
      </c>
      <c r="F31" s="34">
        <f t="shared" si="12"/>
        <v>6659456.333</v>
      </c>
    </row>
    <row r="32" ht="15.75" customHeight="1"/>
    <row r="33" ht="15.75" customHeight="1">
      <c r="A33" s="4" t="s">
        <v>67</v>
      </c>
      <c r="B33" s="35">
        <f t="shared" ref="B33:F33" si="13">B13-B31</f>
        <v>0</v>
      </c>
      <c r="C33" s="35">
        <f t="shared" si="13"/>
        <v>0</v>
      </c>
      <c r="D33" s="35">
        <f t="shared" si="13"/>
        <v>-0.0000000009313225746</v>
      </c>
      <c r="E33" s="35">
        <f t="shared" si="13"/>
        <v>0</v>
      </c>
      <c r="F33" s="35">
        <f t="shared" si="13"/>
        <v>-0.0000000009313225746</v>
      </c>
    </row>
    <row r="34" ht="15.75" customHeight="1"/>
    <row r="35" ht="15.75" customHeight="1">
      <c r="A35" s="14" t="s">
        <v>30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C36" s="36"/>
      <c r="D36" s="36"/>
      <c r="E36" s="36"/>
      <c r="F36" s="36"/>
    </row>
    <row r="37" ht="15.75" customHeight="1">
      <c r="A37" s="4" t="s">
        <v>9</v>
      </c>
      <c r="C37" s="26">
        <f>'Income Statement'!B8</f>
        <v>1785000</v>
      </c>
      <c r="D37" s="26">
        <f>'Income Statement'!C8</f>
        <v>2975000</v>
      </c>
      <c r="E37" s="26">
        <f>'Income Statement'!D8</f>
        <v>5355000</v>
      </c>
      <c r="F37" s="26">
        <f>'Income Statement'!E8</f>
        <v>9520000</v>
      </c>
    </row>
    <row r="38" ht="15.75" customHeight="1">
      <c r="A38" s="4" t="s">
        <v>68</v>
      </c>
      <c r="C38" s="19">
        <v>0.05</v>
      </c>
      <c r="D38" s="19">
        <v>0.05</v>
      </c>
      <c r="E38" s="19">
        <v>0.05</v>
      </c>
      <c r="F38" s="19">
        <v>0.05</v>
      </c>
    </row>
    <row r="39" ht="15.75" customHeight="1">
      <c r="A39" s="4" t="s">
        <v>69</v>
      </c>
      <c r="C39" s="19">
        <v>0.06</v>
      </c>
      <c r="D39" s="19">
        <v>0.06</v>
      </c>
      <c r="E39" s="19">
        <v>0.06</v>
      </c>
      <c r="F39" s="19">
        <v>0.06</v>
      </c>
    </row>
    <row r="40" ht="15.75" customHeight="1">
      <c r="A40" s="4" t="s">
        <v>70</v>
      </c>
      <c r="C40" s="19">
        <v>0.03</v>
      </c>
      <c r="D40" s="19">
        <v>0.05</v>
      </c>
      <c r="E40" s="19">
        <v>0.08</v>
      </c>
      <c r="F40" s="19">
        <v>0.1</v>
      </c>
    </row>
    <row r="41" ht="15.75" customHeight="1"/>
    <row r="42" ht="15.75" customHeight="1">
      <c r="A42" s="4" t="s">
        <v>71</v>
      </c>
      <c r="C42" s="37"/>
      <c r="D42" s="37">
        <v>1500000.0</v>
      </c>
      <c r="E42" s="37"/>
      <c r="F42" s="37"/>
    </row>
    <row r="43" ht="15.75" customHeight="1">
      <c r="A43" s="4" t="s">
        <v>72</v>
      </c>
      <c r="C43" s="38">
        <v>600000.0</v>
      </c>
      <c r="D43" s="38">
        <v>900000.0</v>
      </c>
      <c r="E43" s="38">
        <v>900000.0</v>
      </c>
      <c r="F43" s="38">
        <v>900000.0</v>
      </c>
    </row>
    <row r="44" ht="15.75" customHeight="1">
      <c r="A44" s="4" t="s">
        <v>73</v>
      </c>
      <c r="C44" s="19">
        <v>0.08</v>
      </c>
      <c r="D44" s="19">
        <v>0.08</v>
      </c>
      <c r="E44" s="19">
        <v>0.08</v>
      </c>
      <c r="F44" s="19">
        <v>0.08</v>
      </c>
    </row>
    <row r="45" ht="15.75" customHeight="1">
      <c r="A45" s="4" t="s">
        <v>74</v>
      </c>
      <c r="C45" s="39">
        <f t="shared" ref="C45:F45" si="14">C44*C21</f>
        <v>192000</v>
      </c>
      <c r="D45" s="39">
        <f t="shared" si="14"/>
        <v>240000</v>
      </c>
      <c r="E45" s="39">
        <f t="shared" si="14"/>
        <v>168000</v>
      </c>
      <c r="F45" s="39">
        <f t="shared" si="14"/>
        <v>96000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0.11"/>
    <col customWidth="1" min="2" max="2" width="13.11"/>
    <col customWidth="1" min="3" max="3" width="12.67"/>
    <col customWidth="1" min="4" max="5" width="13.78"/>
    <col customWidth="1" min="6" max="26" width="11.0"/>
  </cols>
  <sheetData>
    <row r="1" ht="15.75" customHeight="1">
      <c r="A1" s="1" t="s">
        <v>75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/>
    <row r="3" ht="15.75" customHeight="1">
      <c r="A3" s="4" t="s">
        <v>76</v>
      </c>
      <c r="B3" s="26">
        <f>'Income Statement'!B34</f>
        <v>133536.3333</v>
      </c>
      <c r="C3" s="26">
        <f>'Income Statement'!C34</f>
        <v>276105</v>
      </c>
      <c r="D3" s="26">
        <f>'Income Statement'!D34</f>
        <v>716345.6667</v>
      </c>
      <c r="E3" s="26">
        <f>'Income Statement'!E34</f>
        <v>1510269.333</v>
      </c>
    </row>
    <row r="4" ht="15.75" customHeight="1"/>
    <row r="5" ht="15.75" customHeight="1">
      <c r="A5" s="15" t="s">
        <v>77</v>
      </c>
    </row>
    <row r="6" ht="15.75" customHeight="1">
      <c r="A6" s="4" t="s">
        <v>21</v>
      </c>
      <c r="B6" s="40">
        <f>'Capex &amp; Depreciation Schedule'!C13</f>
        <v>31666.66667</v>
      </c>
      <c r="C6" s="40">
        <f>'Capex &amp; Depreciation Schedule'!D13</f>
        <v>65000</v>
      </c>
      <c r="D6" s="40">
        <f>'Capex &amp; Depreciation Schedule'!E13</f>
        <v>103333.3333</v>
      </c>
      <c r="E6" s="40">
        <f>'Capex &amp; Depreciation Schedule'!F13</f>
        <v>86666.66667</v>
      </c>
    </row>
    <row r="7" ht="15.75" customHeight="1">
      <c r="A7" s="4" t="s">
        <v>78</v>
      </c>
      <c r="B7" s="40">
        <f>'Balance Sheet'!B6-'Balance Sheet'!C6</f>
        <v>30750</v>
      </c>
      <c r="C7" s="40">
        <f>'Balance Sheet'!C6-'Balance Sheet'!D6</f>
        <v>-59500</v>
      </c>
      <c r="D7" s="40">
        <f>'Balance Sheet'!D6-'Balance Sheet'!E6</f>
        <v>-119000</v>
      </c>
      <c r="E7" s="40">
        <f>'Balance Sheet'!E6-'Balance Sheet'!F6</f>
        <v>-208250</v>
      </c>
    </row>
    <row r="8" ht="15.75" customHeight="1">
      <c r="A8" s="4" t="s">
        <v>79</v>
      </c>
      <c r="B8" s="40">
        <f>'Balance Sheet'!C17-'Balance Sheet'!B17</f>
        <v>32100</v>
      </c>
      <c r="C8" s="40">
        <f>'Balance Sheet'!D17-'Balance Sheet'!C17</f>
        <v>71400</v>
      </c>
      <c r="D8" s="40">
        <f>'Balance Sheet'!E17-'Balance Sheet'!D17</f>
        <v>142800</v>
      </c>
      <c r="E8" s="40">
        <f>'Balance Sheet'!F17-'Balance Sheet'!E17</f>
        <v>249900</v>
      </c>
    </row>
    <row r="9" ht="15.75" customHeight="1">
      <c r="A9" s="4" t="s">
        <v>80</v>
      </c>
      <c r="B9" s="41">
        <f>'Balance Sheet'!C18-'Balance Sheet'!B18</f>
        <v>28550</v>
      </c>
      <c r="C9" s="41">
        <f>'Balance Sheet'!D18-'Balance Sheet'!C18</f>
        <v>95200</v>
      </c>
      <c r="D9" s="41">
        <f>'Balance Sheet'!E18-'Balance Sheet'!D18</f>
        <v>279650</v>
      </c>
      <c r="E9" s="41">
        <f>'Balance Sheet'!F18-'Balance Sheet'!E18</f>
        <v>523600</v>
      </c>
    </row>
    <row r="10" ht="15.75" customHeight="1">
      <c r="A10" s="4" t="s">
        <v>81</v>
      </c>
      <c r="B10" s="26">
        <f t="shared" ref="B10:E10" si="1">B3+SUM(B6:B9)</f>
        <v>256603</v>
      </c>
      <c r="C10" s="26">
        <f t="shared" si="1"/>
        <v>448205</v>
      </c>
      <c r="D10" s="26">
        <f t="shared" si="1"/>
        <v>1123129</v>
      </c>
      <c r="E10" s="26">
        <f t="shared" si="1"/>
        <v>2162186</v>
      </c>
    </row>
    <row r="11" ht="15.75" customHeight="1"/>
    <row r="12" ht="15.75" customHeight="1">
      <c r="A12" s="15" t="s">
        <v>82</v>
      </c>
    </row>
    <row r="13" ht="15.75" customHeight="1">
      <c r="A13" s="4" t="s">
        <v>40</v>
      </c>
      <c r="B13" s="40">
        <f>'Capex &amp; Depreciation Schedule'!C7</f>
        <v>125000</v>
      </c>
      <c r="C13" s="40">
        <f>'Capex &amp; Depreciation Schedule'!D7</f>
        <v>100000</v>
      </c>
      <c r="D13" s="40">
        <f>'Capex &amp; Depreciation Schedule'!E7</f>
        <v>130000</v>
      </c>
      <c r="E13" s="40">
        <f>'Capex &amp; Depreciation Schedule'!F7</f>
        <v>0</v>
      </c>
    </row>
    <row r="14" ht="15.75" customHeight="1"/>
    <row r="15" ht="15.75" customHeight="1">
      <c r="A15" s="4" t="s">
        <v>83</v>
      </c>
      <c r="B15" s="26">
        <f t="shared" ref="B15:E15" si="2">B10-B13</f>
        <v>131603</v>
      </c>
      <c r="C15" s="26">
        <f t="shared" si="2"/>
        <v>348205</v>
      </c>
      <c r="D15" s="26">
        <f t="shared" si="2"/>
        <v>993129</v>
      </c>
      <c r="E15" s="26">
        <f t="shared" si="2"/>
        <v>2162186</v>
      </c>
    </row>
    <row r="16" ht="15.75" customHeight="1"/>
    <row r="17" ht="15.75" customHeight="1">
      <c r="A17" s="15" t="s">
        <v>84</v>
      </c>
    </row>
    <row r="18" ht="15.75" customHeight="1">
      <c r="A18" s="4" t="s">
        <v>85</v>
      </c>
      <c r="B18" s="40">
        <f>-'Balance Sheet'!C43</f>
        <v>-600000</v>
      </c>
      <c r="C18" s="40">
        <f>-'Balance Sheet'!D43</f>
        <v>-900000</v>
      </c>
      <c r="D18" s="40">
        <f>-'Balance Sheet'!E43</f>
        <v>-900000</v>
      </c>
      <c r="E18" s="40">
        <f>-'Balance Sheet'!F43</f>
        <v>-900000</v>
      </c>
    </row>
    <row r="19" ht="15.75" customHeight="1">
      <c r="A19" s="4" t="s">
        <v>86</v>
      </c>
      <c r="B19" s="41" t="str">
        <f>'Balance Sheet'!C42</f>
        <v/>
      </c>
      <c r="C19" s="41">
        <f>'Balance Sheet'!D42</f>
        <v>1500000</v>
      </c>
      <c r="D19" s="41" t="str">
        <f>'Balance Sheet'!E42</f>
        <v/>
      </c>
      <c r="E19" s="41" t="str">
        <f>'Balance Sheet'!F42</f>
        <v/>
      </c>
    </row>
    <row r="20" ht="15.75" customHeight="1">
      <c r="A20" s="4" t="s">
        <v>87</v>
      </c>
      <c r="B20" s="40">
        <f t="shared" ref="B20:E20" si="3">SUM(B18:B19)</f>
        <v>-600000</v>
      </c>
      <c r="C20" s="40">
        <f t="shared" si="3"/>
        <v>600000</v>
      </c>
      <c r="D20" s="40">
        <f t="shared" si="3"/>
        <v>-900000</v>
      </c>
      <c r="E20" s="40">
        <f t="shared" si="3"/>
        <v>-900000</v>
      </c>
    </row>
    <row r="21" ht="15.75" customHeight="1"/>
    <row r="22" ht="15.75" customHeight="1">
      <c r="A22" s="1" t="s">
        <v>88</v>
      </c>
      <c r="B22" s="42">
        <f t="shared" ref="B22:E22" si="4">B15+B20</f>
        <v>-468397</v>
      </c>
      <c r="C22" s="42">
        <f t="shared" si="4"/>
        <v>948205</v>
      </c>
      <c r="D22" s="42">
        <f t="shared" si="4"/>
        <v>93129</v>
      </c>
      <c r="E22" s="42">
        <f t="shared" si="4"/>
        <v>1262186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