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emit\Documents\Octavo Semestre Emill\Gestión de Proyectos IT\"/>
    </mc:Choice>
  </mc:AlternateContent>
  <xr:revisionPtr revIDLastSave="0" documentId="8_{71FA79B0-55C9-4632-9634-3BF2C4754C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QUERIMIENTO  INVENTARIO MERC" sheetId="16" r:id="rId1"/>
    <sheet name="RESUMEN DE INVERSIONES" sheetId="15" r:id="rId2"/>
    <sheet name="RESUMEN DE GASTOS OPERACIONALES" sheetId="13" r:id="rId3"/>
    <sheet name="Origen de Fondos" sheetId="1" r:id="rId4"/>
    <sheet name="Estructura Financiera" sheetId="2" r:id="rId5"/>
    <sheet name="Amortización Deuda" sheetId="3" state="hidden" r:id="rId6"/>
    <sheet name="Tasa de Interés" sheetId="6" state="hidden" r:id="rId7"/>
    <sheet name="Balance General" sheetId="7" r:id="rId8"/>
    <sheet name="PyG" sheetId="8" r:id="rId9"/>
    <sheet name="PRESUPUESTO ACTIVOS FIJOS" sheetId="10" r:id="rId10"/>
    <sheet name="DEPRECIACIONES" sheetId="11" r:id="rId11"/>
    <sheet name="MANEJO RESPOSICIÓN ACTIVOS DEP" sheetId="12" r:id="rId12"/>
    <sheet name="RESUMEN CAPITAL DE TRABAJO" sheetId="14" r:id="rId13"/>
    <sheet name="FNE" sheetId="9" state="hidden" r:id="rId14"/>
  </sheets>
  <externalReferences>
    <externalReference r:id="rId15"/>
    <externalReference r:id="rId16"/>
    <externalReference r:id="rId17"/>
  </externalReferences>
  <definedNames>
    <definedName name="Interés">[2]Clínica!$K$100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6" l="1"/>
  <c r="F2" i="16" s="1"/>
  <c r="F3" i="16" s="1"/>
  <c r="C5" i="15"/>
  <c r="C4" i="15"/>
  <c r="C3" i="15"/>
  <c r="C5" i="14"/>
  <c r="C6" i="14" s="1"/>
  <c r="B4" i="13"/>
  <c r="E5" i="12"/>
  <c r="G5" i="12" s="1"/>
  <c r="C5" i="12"/>
  <c r="E4" i="12"/>
  <c r="G3" i="12"/>
  <c r="C4" i="12" s="1"/>
  <c r="B13" i="11"/>
  <c r="B4" i="11"/>
  <c r="E4" i="11" s="1"/>
  <c r="F4" i="11" s="1"/>
  <c r="G4" i="11" s="1"/>
  <c r="H4" i="11" s="1"/>
  <c r="I4" i="11" s="1"/>
  <c r="A4" i="11"/>
  <c r="B3" i="11"/>
  <c r="A3" i="11"/>
  <c r="E7" i="10"/>
  <c r="E8" i="10" s="1"/>
  <c r="E6" i="10"/>
  <c r="E4" i="10"/>
  <c r="E5" i="10" s="1"/>
  <c r="C31" i="8"/>
  <c r="E12" i="8"/>
  <c r="F12" i="8" s="1"/>
  <c r="G12" i="8" s="1"/>
  <c r="D12" i="8"/>
  <c r="C17" i="8"/>
  <c r="F9" i="16" l="1"/>
  <c r="F7" i="16"/>
  <c r="F8" i="16" s="1"/>
  <c r="D5" i="14"/>
  <c r="D6" i="14" s="1"/>
  <c r="D7" i="14" s="1"/>
  <c r="C6" i="12"/>
  <c r="E6" i="12"/>
  <c r="G6" i="12"/>
  <c r="J4" i="11"/>
  <c r="E3" i="11"/>
  <c r="E9" i="10"/>
  <c r="C10" i="8"/>
  <c r="D10" i="8"/>
  <c r="E10" i="8" s="1"/>
  <c r="F10" i="8" s="1"/>
  <c r="G10" i="8" s="1"/>
  <c r="C9" i="8"/>
  <c r="D9" i="8" s="1"/>
  <c r="E9" i="8" s="1"/>
  <c r="F9" i="8" s="1"/>
  <c r="G9" i="8" s="1"/>
  <c r="B10" i="7"/>
  <c r="A10" i="7"/>
  <c r="D8" i="1"/>
  <c r="B6" i="1"/>
  <c r="B4" i="8" s="1"/>
  <c r="C17" i="9"/>
  <c r="G7" i="12" l="1"/>
  <c r="E7" i="12"/>
  <c r="C7" i="12"/>
  <c r="E5" i="11"/>
  <c r="F3" i="11"/>
  <c r="C11" i="8"/>
  <c r="H14" i="8"/>
  <c r="E8" i="12" l="1"/>
  <c r="G8" i="12" s="1"/>
  <c r="C8" i="12"/>
  <c r="G3" i="11"/>
  <c r="F5" i="11"/>
  <c r="C15" i="3"/>
  <c r="C16" i="3" s="1"/>
  <c r="H3" i="11" l="1"/>
  <c r="G5" i="11"/>
  <c r="E7" i="6"/>
  <c r="I3" i="11" l="1"/>
  <c r="H5" i="11"/>
  <c r="G18" i="6"/>
  <c r="I5" i="11" l="1"/>
  <c r="J3" i="11"/>
  <c r="J5" i="11" s="1"/>
  <c r="B16" i="6"/>
  <c r="B17" i="6" s="1"/>
  <c r="B18" i="6" s="1"/>
  <c r="B19" i="6" s="1"/>
  <c r="H14" i="9" l="1"/>
  <c r="D6" i="9" l="1"/>
  <c r="E6" i="9"/>
  <c r="F6" i="9"/>
  <c r="G6" i="9"/>
  <c r="C6" i="9"/>
  <c r="D5" i="9"/>
  <c r="E5" i="9"/>
  <c r="F5" i="9"/>
  <c r="G5" i="9"/>
  <c r="C5" i="9"/>
  <c r="B11" i="1" l="1"/>
  <c r="B9" i="9" l="1"/>
  <c r="B8" i="9"/>
  <c r="D11" i="8"/>
  <c r="D17" i="8" s="1"/>
  <c r="E11" i="8"/>
  <c r="E17" i="8" s="1"/>
  <c r="F11" i="8"/>
  <c r="F17" i="8" s="1"/>
  <c r="G11" i="8"/>
  <c r="G17" i="8" s="1"/>
  <c r="C13" i="7" l="1"/>
  <c r="C8" i="7"/>
  <c r="B7" i="2" l="1"/>
  <c r="C5" i="6" l="1"/>
  <c r="C12" i="6" s="1"/>
  <c r="B27" i="7"/>
  <c r="C26" i="7" l="1"/>
  <c r="F16" i="6"/>
  <c r="F18" i="6"/>
  <c r="F19" i="6"/>
  <c r="C4" i="3"/>
  <c r="F17" i="6"/>
  <c r="F15" i="6"/>
  <c r="C15" i="6"/>
  <c r="E15" i="6" s="1"/>
  <c r="C20" i="8" s="1"/>
  <c r="C22" i="8" s="1"/>
  <c r="C23" i="8" l="1"/>
  <c r="C24" i="8" s="1"/>
  <c r="C25" i="8" s="1"/>
  <c r="D15" i="6"/>
  <c r="C5" i="3"/>
  <c r="C6" i="3" s="1"/>
  <c r="C7" i="3" s="1"/>
  <c r="C8" i="3" s="1"/>
  <c r="A4" i="3"/>
  <c r="B7" i="8" s="1"/>
  <c r="C26" i="8" l="1"/>
  <c r="B13" i="9"/>
  <c r="B4" i="3"/>
  <c r="B11" i="3" s="1"/>
  <c r="B13" i="3" s="1"/>
  <c r="C27" i="8" l="1"/>
  <c r="C7" i="9" s="1"/>
  <c r="C16" i="6"/>
  <c r="E16" i="6" s="1"/>
  <c r="D20" i="8" s="1"/>
  <c r="D22" i="8" s="1"/>
  <c r="D4" i="3"/>
  <c r="C28" i="8" l="1"/>
  <c r="C4" i="9" s="1"/>
  <c r="C15" i="9" s="1"/>
  <c r="D23" i="8"/>
  <c r="D24" i="8" s="1"/>
  <c r="E4" i="3"/>
  <c r="A5" i="3" s="1"/>
  <c r="B5" i="3"/>
  <c r="C11" i="3" s="1"/>
  <c r="C13" i="3" s="1"/>
  <c r="D25" i="8" l="1"/>
  <c r="D26" i="8" s="1"/>
  <c r="D27" i="8" s="1"/>
  <c r="D7" i="9" s="1"/>
  <c r="D16" i="6"/>
  <c r="D5" i="3" s="1"/>
  <c r="E5" i="3" s="1"/>
  <c r="A6" i="3" s="1"/>
  <c r="D28" i="8" l="1"/>
  <c r="C17" i="6"/>
  <c r="E17" i="6" s="1"/>
  <c r="E20" i="8" s="1"/>
  <c r="E22" i="8" s="1"/>
  <c r="D4" i="9" l="1"/>
  <c r="D15" i="9" s="1"/>
  <c r="D16" i="9" s="1"/>
  <c r="E23" i="8"/>
  <c r="E24" i="8" s="1"/>
  <c r="B6" i="3"/>
  <c r="D11" i="3" s="1"/>
  <c r="D13" i="3" s="1"/>
  <c r="E25" i="8" l="1"/>
  <c r="E26" i="8" s="1"/>
  <c r="E27" i="8" s="1"/>
  <c r="E7" i="9" s="1"/>
  <c r="D17" i="6"/>
  <c r="D6" i="3" s="1"/>
  <c r="E6" i="3" s="1"/>
  <c r="A7" i="3" s="1"/>
  <c r="E28" i="8" l="1"/>
  <c r="E4" i="9" s="1"/>
  <c r="E15" i="9" s="1"/>
  <c r="E16" i="9" s="1"/>
  <c r="C18" i="6"/>
  <c r="E18" i="6" s="1"/>
  <c r="B7" i="3" l="1"/>
  <c r="E11" i="3" s="1"/>
  <c r="E13" i="3" s="1"/>
  <c r="F20" i="8"/>
  <c r="F22" i="8" s="1"/>
  <c r="F23" i="8" s="1"/>
  <c r="F24" i="8" s="1"/>
  <c r="D18" i="6"/>
  <c r="D7" i="3" s="1"/>
  <c r="E7" i="3" s="1"/>
  <c r="A8" i="3" s="1"/>
  <c r="F25" i="8" l="1"/>
  <c r="F26" i="8" s="1"/>
  <c r="F27" i="8" s="1"/>
  <c r="F7" i="9" s="1"/>
  <c r="C19" i="6"/>
  <c r="F28" i="8" l="1"/>
  <c r="E19" i="6"/>
  <c r="F4" i="9" l="1"/>
  <c r="F15" i="9" s="1"/>
  <c r="F16" i="9" s="1"/>
  <c r="D19" i="6"/>
  <c r="D8" i="3" s="1"/>
  <c r="E8" i="3" s="1"/>
  <c r="G20" i="8"/>
  <c r="G22" i="8" s="1"/>
  <c r="B8" i="3"/>
  <c r="F11" i="3" s="1"/>
  <c r="F13" i="3" s="1"/>
  <c r="G23" i="8" l="1"/>
  <c r="G24" i="8" s="1"/>
  <c r="G25" i="8" l="1"/>
  <c r="G26" i="8" s="1"/>
  <c r="G27" i="8" s="1"/>
  <c r="G7" i="9" s="1"/>
  <c r="G28" i="8" l="1"/>
  <c r="G4" i="9" l="1"/>
  <c r="B7" i="1" l="1"/>
  <c r="B6" i="8" l="1"/>
  <c r="B28" i="8" s="1"/>
  <c r="B8" i="1"/>
  <c r="D9" i="1" s="1"/>
  <c r="C7" i="2" s="1"/>
  <c r="C6" i="7"/>
  <c r="C21" i="7" s="1"/>
  <c r="B10" i="9"/>
  <c r="C7" i="1"/>
  <c r="C8" i="1" s="1"/>
  <c r="C9" i="1" l="1"/>
  <c r="C6" i="2" s="1"/>
  <c r="C8" i="2" s="1"/>
  <c r="B6" i="2"/>
  <c r="B8" i="2" s="1"/>
  <c r="B30" i="7"/>
  <c r="C29" i="7" s="1"/>
  <c r="C32" i="7" s="1"/>
  <c r="D33" i="7" s="1"/>
  <c r="G11" i="9"/>
  <c r="G15" i="9" s="1"/>
  <c r="B15" i="9"/>
  <c r="B36" i="8"/>
  <c r="B34" i="8"/>
  <c r="B19" i="9" l="1"/>
  <c r="C19" i="9"/>
  <c r="D18" i="9"/>
  <c r="B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Fecha de inicio + 30 días
</t>
        </r>
      </text>
    </comment>
  </commentList>
</comments>
</file>

<file path=xl/sharedStrings.xml><?xml version="1.0" encoding="utf-8"?>
<sst xmlns="http://schemas.openxmlformats.org/spreadsheetml/2006/main" count="236" uniqueCount="206">
  <si>
    <t>Empresa Comercializadora de Lubricantes de Aditivos ubicada en el Valle de los Chillos</t>
  </si>
  <si>
    <t>Estado del Origen de Fondos y la Aplicación de Recursos</t>
  </si>
  <si>
    <t>Inversiones</t>
  </si>
  <si>
    <t>Origen y Aplicación de Fondos</t>
  </si>
  <si>
    <t>Valor Total</t>
  </si>
  <si>
    <t>Recursos Propios</t>
  </si>
  <si>
    <t>Recursos Financiados</t>
  </si>
  <si>
    <t>Activos Fijos</t>
  </si>
  <si>
    <t>-</t>
  </si>
  <si>
    <t>Capital de Trabajo</t>
  </si>
  <si>
    <t>Total de Inversiones</t>
  </si>
  <si>
    <t>Porcentaje</t>
  </si>
  <si>
    <t>Estructura Financiera</t>
  </si>
  <si>
    <t>Detalle</t>
  </si>
  <si>
    <t>Monto de la Inversión</t>
  </si>
  <si>
    <t>Total</t>
  </si>
  <si>
    <t>Datos del crédito</t>
  </si>
  <si>
    <t>Monto</t>
  </si>
  <si>
    <t>Plazo</t>
  </si>
  <si>
    <t>años</t>
  </si>
  <si>
    <t>Tasa de interés</t>
  </si>
  <si>
    <t>Tipo de amortización</t>
  </si>
  <si>
    <t xml:space="preserve">Pago de la cuota </t>
  </si>
  <si>
    <t>mensual</t>
  </si>
  <si>
    <t>Tasa reajustable</t>
  </si>
  <si>
    <t>No</t>
  </si>
  <si>
    <t>Dividendos</t>
  </si>
  <si>
    <t>Fecha de pago</t>
  </si>
  <si>
    <t>Saldo capital</t>
  </si>
  <si>
    <t>Couta del Interés</t>
  </si>
  <si>
    <t>Francesa</t>
  </si>
  <si>
    <t>Fórmula para el cálculo de la Cuota a pagar cada período</t>
  </si>
  <si>
    <r>
      <t xml:space="preserve">               </t>
    </r>
    <r>
      <rPr>
        <sz val="11"/>
        <color rgb="FFE36C0A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 xml:space="preserve"> i * (1 + i)</t>
    </r>
    <r>
      <rPr>
        <vertAlign val="superscript"/>
        <sz val="11"/>
        <color theme="1"/>
        <rFont val="Calibri"/>
        <family val="2"/>
        <scheme val="minor"/>
      </rPr>
      <t xml:space="preserve">n  </t>
    </r>
    <r>
      <rPr>
        <sz val="11"/>
        <color rgb="FFE36C0A"/>
        <rFont val="Calibri"/>
        <family val="2"/>
        <scheme val="minor"/>
      </rPr>
      <t>)</t>
    </r>
  </si>
  <si>
    <t>C = M * -----------------</t>
  </si>
  <si>
    <r>
      <t xml:space="preserve">              </t>
    </r>
    <r>
      <rPr>
        <sz val="11"/>
        <color rgb="FFE36C0A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 xml:space="preserve"> (1 + i)</t>
    </r>
    <r>
      <rPr>
        <vertAlign val="superscript"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- 1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rgb="FFE36C0A"/>
        <rFont val="Calibri"/>
        <family val="2"/>
        <scheme val="minor"/>
      </rPr>
      <t>)</t>
    </r>
  </si>
  <si>
    <t>Cálculo de la Cuota a pagar cada período</t>
  </si>
  <si>
    <t>Cuota Total del período</t>
  </si>
  <si>
    <t>Interés</t>
  </si>
  <si>
    <t>Tabla de Amortización calculado con el tipo de amortización FRANCES</t>
  </si>
  <si>
    <t>Amortización de la Deuda</t>
  </si>
  <si>
    <t>Capital</t>
  </si>
  <si>
    <t>Cuota Fija</t>
  </si>
  <si>
    <t>Amortización del Capital</t>
  </si>
  <si>
    <t>Monto de la Deuda</t>
  </si>
  <si>
    <t>Observación</t>
  </si>
  <si>
    <t>Pago Anual</t>
  </si>
  <si>
    <t>Balance General o Estado de Situación Inicial</t>
  </si>
  <si>
    <t>ACTIVOS</t>
  </si>
  <si>
    <t>Activos Corrientes</t>
  </si>
  <si>
    <t>Capital de Trabajo (Caja+Bancos)</t>
  </si>
  <si>
    <t>CUENTAS</t>
  </si>
  <si>
    <t>VALOR INDIVIDUAL</t>
  </si>
  <si>
    <t>VALOR TOTAL</t>
  </si>
  <si>
    <t>Activos No Corrientes</t>
  </si>
  <si>
    <t>Propiedad, Planta y Equipo</t>
  </si>
  <si>
    <t>Equipos de oficina</t>
  </si>
  <si>
    <t>Diferidos e Intangibles</t>
  </si>
  <si>
    <t>Estudios de factibilidad</t>
  </si>
  <si>
    <t>Gatos de constitución de la Empresa</t>
  </si>
  <si>
    <t>Patentes y marcas</t>
  </si>
  <si>
    <t>Gastos de instalación y puesta en marcha</t>
  </si>
  <si>
    <t>Sistema informático contable</t>
  </si>
  <si>
    <t>Franquicia</t>
  </si>
  <si>
    <t>ACTIVO TOTAL</t>
  </si>
  <si>
    <t>PASIVOS</t>
  </si>
  <si>
    <t>Pasivos Corrientes</t>
  </si>
  <si>
    <t>Pasivos No Corrientes</t>
  </si>
  <si>
    <t>Préstamo a largo plazo (5 años)</t>
  </si>
  <si>
    <t>PATRIMONIO</t>
  </si>
  <si>
    <t>Capital Social</t>
  </si>
  <si>
    <t>PASIVO+PATRIMONIO TOTAL</t>
  </si>
  <si>
    <t>a</t>
  </si>
  <si>
    <t>Cuota del Capital o  valor amortizado</t>
  </si>
  <si>
    <t>Estado de Situación económica o stado de Pérdidas y Ganancias</t>
  </si>
  <si>
    <t>Concepto</t>
  </si>
  <si>
    <t>Año 1</t>
  </si>
  <si>
    <t>Año2</t>
  </si>
  <si>
    <t>Año 3</t>
  </si>
  <si>
    <t>Año 4</t>
  </si>
  <si>
    <t>Año 5</t>
  </si>
  <si>
    <t>(-) COSTOS DE VENTAS</t>
  </si>
  <si>
    <t xml:space="preserve">(=) UTILIDAD BRUTA </t>
  </si>
  <si>
    <t>(-) GASTOS OPERACIONALES</t>
  </si>
  <si>
    <t>(-) Gastos Administrativos</t>
  </si>
  <si>
    <t>(-) Gastos de Ventas</t>
  </si>
  <si>
    <t>(-) Depreciación</t>
  </si>
  <si>
    <t>(-) Amortización</t>
  </si>
  <si>
    <t>(=) UTILIDAD OPERACIONAL</t>
  </si>
  <si>
    <t>(+) Ingresos No Operacionales (venta de activos depreciados)</t>
  </si>
  <si>
    <t>(-) Gastos No Operacionales</t>
  </si>
  <si>
    <t>(-) Gastos Financieros</t>
  </si>
  <si>
    <t>Año1</t>
  </si>
  <si>
    <t>Año3</t>
  </si>
  <si>
    <t>Año4</t>
  </si>
  <si>
    <t>Año5</t>
  </si>
  <si>
    <t>Servicios y Comisiones bancarias</t>
  </si>
  <si>
    <t>GASTOS FINANCIEROS</t>
  </si>
  <si>
    <t>(-) 15% Participación de Empleados</t>
  </si>
  <si>
    <t>(=)UTILIDADES ANTES DE IMPUESTOS</t>
  </si>
  <si>
    <t>(=) UTILIDAD ANTES DE RESERVA LEGAL</t>
  </si>
  <si>
    <t>(-) 5%  Reserva Legal</t>
  </si>
  <si>
    <t>(=)UTILIDAD NETA</t>
  </si>
  <si>
    <t>FLUJOS NETOS DE EFECTIVO</t>
  </si>
  <si>
    <t>(=) UTILIDAD NETA</t>
  </si>
  <si>
    <t>(+) DEPRECIACIÓN</t>
  </si>
  <si>
    <t>(+) AMORTIZACIÓN</t>
  </si>
  <si>
    <t>(+) RESERVA LEGAL</t>
  </si>
  <si>
    <t>Año 0</t>
  </si>
  <si>
    <t>(-) Inversión Activos Fijos</t>
  </si>
  <si>
    <t>(-) Activos Intangibles</t>
  </si>
  <si>
    <t>(-)CAPITAL DE TRABAJO</t>
  </si>
  <si>
    <t>(+) recuperación del capital de trabajo</t>
  </si>
  <si>
    <t>(+) Valor Residual</t>
  </si>
  <si>
    <t>(+) CRÉDITO RECIBIDO</t>
  </si>
  <si>
    <t>(-) PAGO DEL CAPITAL</t>
  </si>
  <si>
    <t>(=) FLUJOS NETOS EN EFECTIVO</t>
  </si>
  <si>
    <t>VNA</t>
  </si>
  <si>
    <t>TIR</t>
  </si>
  <si>
    <t xml:space="preserve">TMAR </t>
  </si>
  <si>
    <t>(-) Otros Gastos NO Operacionales</t>
  </si>
  <si>
    <t>(=) UTILIDADES ANTES DE LA PARTICIPACIÓN DE TRABAJADORES</t>
  </si>
  <si>
    <t xml:space="preserve"> </t>
  </si>
  <si>
    <t>Cuando VPN o VAN es mayor a 1, el proyecto es RENTABLE</t>
  </si>
  <si>
    <t xml:space="preserve">Esta tasa de interés es mayor a la de los bancos </t>
  </si>
  <si>
    <t>Fase inicial - momento 0</t>
  </si>
  <si>
    <t xml:space="preserve">EVALUACIÓN FINANCIERA </t>
  </si>
  <si>
    <t xml:space="preserve">Aplicar una tasa de interés anual </t>
  </si>
  <si>
    <t>1.- VALOR NETO ACTUAL (VNA)</t>
  </si>
  <si>
    <t>2.- TASA INTERNA DE RETORNO (TIR)</t>
  </si>
  <si>
    <t xml:space="preserve">INGRESOS OPERACIONALES  </t>
  </si>
  <si>
    <t>Incremento del 10% anual tanto en los ingresos como en los costos de venta</t>
  </si>
  <si>
    <t>El VNA es negativo, por tanto el proyecto no  es rentable</t>
  </si>
  <si>
    <t xml:space="preserve">La tasa de retorno de la inversión es de -5%, es bastante mala </t>
  </si>
  <si>
    <t>(-) 26% Impuestos a la Renta</t>
  </si>
  <si>
    <t xml:space="preserve">ACTIVOS </t>
  </si>
  <si>
    <t>ACTIVO FIJO</t>
  </si>
  <si>
    <t>CARACTERÍSTICA</t>
  </si>
  <si>
    <t>CANTIDAD</t>
  </si>
  <si>
    <t>COSTO UNITARIO</t>
  </si>
  <si>
    <t>COSTO TOTAL</t>
  </si>
  <si>
    <t>Equipos de Producción</t>
  </si>
  <si>
    <t>TOTAL  Equipos de Producción</t>
  </si>
  <si>
    <t>EQUIPO DE OFICINA</t>
  </si>
  <si>
    <t>TOTAL EQUIPO DE OFICINA</t>
  </si>
  <si>
    <t>TOTAL ACTIVOS FIJOS</t>
  </si>
  <si>
    <t>COMPRENDE LA SUMATORIA DE LOS TOTALES DE VEHÍCULOS, MUEBLES Y ENSERES, MUEBLES DE OFICINA, EQUIPOS DE OFICINA Y EQUIPOS DE COMPUTACIÓN.</t>
  </si>
  <si>
    <t>ACTIVO</t>
  </si>
  <si>
    <t>VALOR TOTAL                         ($)</t>
  </si>
  <si>
    <t>AÑOS DE VIDA ÚTIL</t>
  </si>
  <si>
    <t>% DE DEPRECIACIÓN ANUAL</t>
  </si>
  <si>
    <t>DEPRECIACIÓN POR AÑOS EXPRESADA EN DÓLARES ($)</t>
  </si>
  <si>
    <t>VALOR RESIDUAL</t>
  </si>
  <si>
    <t>AÑO 1</t>
  </si>
  <si>
    <t>AÑO 2</t>
  </si>
  <si>
    <t>AÑO 3</t>
  </si>
  <si>
    <t>AÑO 4</t>
  </si>
  <si>
    <t>AÑO 5</t>
  </si>
  <si>
    <t>TOTAL DEPRECIACIÓN</t>
  </si>
  <si>
    <t>Promedio de la inflación del segmento, en los últimos 3 años</t>
  </si>
  <si>
    <t>PERIODO</t>
  </si>
  <si>
    <t>VALOR DEL ACTIVO al 3%</t>
  </si>
  <si>
    <t>CÁLCULO DEL VALOR ADICIONAL</t>
  </si>
  <si>
    <t>RESULTADO DEL INCREMENTO</t>
  </si>
  <si>
    <t>CÁLCULO VALOR ACTUALIZADO</t>
  </si>
  <si>
    <t>VALOR ACTUALIZADO</t>
  </si>
  <si>
    <t>AHORA</t>
  </si>
  <si>
    <t>5.000 X 1%</t>
  </si>
  <si>
    <t>5.000 + 150</t>
  </si>
  <si>
    <t>5.150 X 3%</t>
  </si>
  <si>
    <t>5150 + 154,50</t>
  </si>
  <si>
    <t>5304,50 X 3%</t>
  </si>
  <si>
    <t xml:space="preserve">5304,50 + 159,14 </t>
  </si>
  <si>
    <t>5463,64 X 3%</t>
  </si>
  <si>
    <t>5463,64 + 163,91</t>
  </si>
  <si>
    <t>5627,54 X 3%</t>
  </si>
  <si>
    <t>5627,54 + 168,83</t>
  </si>
  <si>
    <t>TOTAL GASTOS OPERACIONALES AL AÑO</t>
  </si>
  <si>
    <t>GASTOS ADMINISTRATIVOS</t>
  </si>
  <si>
    <t>Material</t>
  </si>
  <si>
    <t>TOTAL</t>
  </si>
  <si>
    <t>RESUMEN DE CAPITAL DE TRABAJO</t>
  </si>
  <si>
    <t>RUBRO</t>
  </si>
  <si>
    <t>EGRESO</t>
  </si>
  <si>
    <t>ANÁLISIS DE CÁLCULOS</t>
  </si>
  <si>
    <t>ANUAL</t>
  </si>
  <si>
    <t>MENSUAL</t>
  </si>
  <si>
    <t>GASTOS OPERACIONALES</t>
  </si>
  <si>
    <t>El egreso presupuestado anual dividimos para doce con el propósito de conocer el rubro mensual.</t>
  </si>
  <si>
    <t>Sumatoria del inventario más gastos operacionales y no operacionales</t>
  </si>
  <si>
    <t>CÁLCULO DEL CAPITAL DE TRABAJO PARA TRES MESES</t>
  </si>
  <si>
    <t>Egreso presupuestado mensualmente por tres meses de requerimiento para el capital de trabajo.</t>
  </si>
  <si>
    <t>RESUMEN DE INVERSIONES</t>
  </si>
  <si>
    <t>CONCEPTO</t>
  </si>
  <si>
    <t>REFERENCIA</t>
  </si>
  <si>
    <t>Inversión de activos fijos</t>
  </si>
  <si>
    <t>EJERCICIO DE EJEMPLO 1</t>
  </si>
  <si>
    <t>Inversión en capital de trabajo</t>
  </si>
  <si>
    <t>EJERCICIO DE EJEMPLO 5</t>
  </si>
  <si>
    <t>INVERSIÓN TOTAL</t>
  </si>
  <si>
    <t>Sumatoria del total de inversiones</t>
  </si>
  <si>
    <t>COSTO AL QUE SE COMPRA AL FABRICANTE</t>
  </si>
  <si>
    <t xml:space="preserve">UNIDADES QUE INICIALMENTE SE PODRÁ COMERCIALIZAR POR MES </t>
  </si>
  <si>
    <t>UNIDADES A COMERCIALIZAR POR AÑO</t>
  </si>
  <si>
    <t>COSTO ANUAL DE LA MERCADERÍA</t>
  </si>
  <si>
    <t>Material Directo</t>
  </si>
  <si>
    <t>COSTO TOTAL 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</si>
</sst>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;[Red]&quot;$&quot;\-#,##0.00"/>
    <numFmt numFmtId="44" formatCode="_ &quot;$&quot;* #,##0.00_ ;_ &quot;$&quot;* \-#,##0.00_ ;_ &quot;$&quot;* &quot;-&quot;??_ ;_ @_ "/>
    <numFmt numFmtId="164" formatCode="_(* #,##0_);_(* \(#,##0\);_(* &quot;-&quot;_);_(@_)"/>
    <numFmt numFmtId="165" formatCode="_(&quot;$&quot;\ * #,##0.00_);_(&quot;$&quot;\ * \(#,##0.00\);_(&quot;$&quot;\ * &quot;-&quot;??_);_(@_)"/>
    <numFmt numFmtId="166" formatCode="dd/mm/yy;@"/>
    <numFmt numFmtId="167" formatCode="0.000"/>
    <numFmt numFmtId="168" formatCode="_ &quot;$&quot;\ * #,##0.00_ ;_ &quot;$&quot;\ * \-#,##0.00_ ;_ &quot;$&quot;\ * &quot;-&quot;??_ ;_ @_ "/>
    <numFmt numFmtId="169" formatCode="&quot;$&quot;\ #,##0_);[Red]\(&quot;$&quot;\ #,##0\)"/>
    <numFmt numFmtId="170" formatCode="&quot;$&quot;\ #,##0.00_);[Red]\(&quot;$&quot;\ #,##0.00\)"/>
    <numFmt numFmtId="171" formatCode="_(&quot;$&quot;\ * #,##0_);_(&quot;$&quot;\ * \(#,##0\);_(&quot;$&quot;\ 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E36C0A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168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</cellStyleXfs>
  <cellXfs count="16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2" fillId="0" borderId="1" xfId="1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1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0" xfId="0" applyFont="1" applyFill="1"/>
    <xf numFmtId="165" fontId="0" fillId="0" borderId="0" xfId="0" applyNumberFormat="1"/>
    <xf numFmtId="0" fontId="0" fillId="3" borderId="1" xfId="0" applyFill="1" applyBorder="1"/>
    <xf numFmtId="165" fontId="0" fillId="3" borderId="1" xfId="3" applyFont="1" applyFill="1" applyBorder="1"/>
    <xf numFmtId="164" fontId="0" fillId="3" borderId="1" xfId="2" applyNumberFormat="1" applyFont="1" applyFill="1" applyBorder="1"/>
    <xf numFmtId="10" fontId="0" fillId="3" borderId="1" xfId="2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1" xfId="0" applyFill="1" applyBorder="1"/>
    <xf numFmtId="165" fontId="0" fillId="0" borderId="1" xfId="3" applyFont="1" applyFill="1" applyBorder="1"/>
    <xf numFmtId="165" fontId="0" fillId="0" borderId="1" xfId="3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165" fontId="0" fillId="0" borderId="0" xfId="3" applyFont="1" applyBorder="1"/>
    <xf numFmtId="2" fontId="0" fillId="0" borderId="0" xfId="0" applyNumberFormat="1" applyBorder="1"/>
    <xf numFmtId="0" fontId="0" fillId="0" borderId="0" xfId="0" applyFill="1"/>
    <xf numFmtId="0" fontId="0" fillId="0" borderId="0" xfId="0" applyNumberFormat="1" applyFill="1"/>
    <xf numFmtId="0" fontId="0" fillId="0" borderId="1" xfId="0" applyFill="1" applyBorder="1" applyAlignment="1">
      <alignment wrapText="1"/>
    </xf>
    <xf numFmtId="44" fontId="0" fillId="0" borderId="1" xfId="1" applyFont="1" applyFill="1" applyBorder="1"/>
    <xf numFmtId="2" fontId="2" fillId="0" borderId="0" xfId="0" applyNumberFormat="1" applyFont="1" applyFill="1"/>
    <xf numFmtId="0" fontId="0" fillId="0" borderId="1" xfId="0" applyFont="1" applyBorder="1"/>
    <xf numFmtId="44" fontId="2" fillId="4" borderId="1" xfId="0" applyNumberFormat="1" applyFont="1" applyFill="1" applyBorder="1"/>
    <xf numFmtId="0" fontId="2" fillId="0" borderId="0" xfId="0" applyFont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/>
    <xf numFmtId="44" fontId="0" fillId="4" borderId="1" xfId="1" applyFont="1" applyFill="1" applyBorder="1"/>
    <xf numFmtId="0" fontId="2" fillId="4" borderId="2" xfId="0" applyFont="1" applyFill="1" applyBorder="1"/>
    <xf numFmtId="165" fontId="2" fillId="4" borderId="0" xfId="0" applyNumberFormat="1" applyFont="1" applyFill="1"/>
    <xf numFmtId="165" fontId="6" fillId="4" borderId="0" xfId="0" applyNumberFormat="1" applyFont="1" applyFill="1"/>
    <xf numFmtId="167" fontId="0" fillId="0" borderId="0" xfId="0" applyNumberFormat="1"/>
    <xf numFmtId="0" fontId="7" fillId="0" borderId="0" xfId="0" applyFont="1"/>
    <xf numFmtId="8" fontId="0" fillId="0" borderId="0" xfId="0" applyNumberFormat="1"/>
    <xf numFmtId="10" fontId="0" fillId="0" borderId="0" xfId="0" applyNumberFormat="1"/>
    <xf numFmtId="44" fontId="0" fillId="0" borderId="0" xfId="0" applyNumberFormat="1"/>
    <xf numFmtId="165" fontId="2" fillId="0" borderId="3" xfId="0" applyNumberFormat="1" applyFont="1" applyFill="1" applyBorder="1"/>
    <xf numFmtId="44" fontId="0" fillId="0" borderId="0" xfId="0" applyNumberFormat="1" applyBorder="1"/>
    <xf numFmtId="165" fontId="2" fillId="4" borderId="1" xfId="0" applyNumberFormat="1" applyFont="1" applyFill="1" applyBorder="1"/>
    <xf numFmtId="0" fontId="8" fillId="5" borderId="1" xfId="0" applyFont="1" applyFill="1" applyBorder="1"/>
    <xf numFmtId="165" fontId="8" fillId="5" borderId="1" xfId="0" applyNumberFormat="1" applyFont="1" applyFill="1" applyBorder="1"/>
    <xf numFmtId="44" fontId="0" fillId="5" borderId="0" xfId="0" applyNumberFormat="1" applyFill="1"/>
    <xf numFmtId="8" fontId="0" fillId="0" borderId="1" xfId="0" applyNumberFormat="1" applyBorder="1"/>
    <xf numFmtId="10" fontId="0" fillId="0" borderId="1" xfId="0" applyNumberFormat="1" applyBorder="1"/>
    <xf numFmtId="0" fontId="7" fillId="0" borderId="1" xfId="0" applyFont="1" applyBorder="1"/>
    <xf numFmtId="44" fontId="7" fillId="0" borderId="1" xfId="1" applyFont="1" applyFill="1" applyBorder="1"/>
    <xf numFmtId="44" fontId="9" fillId="0" borderId="1" xfId="1" applyFont="1" applyFill="1" applyBorder="1"/>
    <xf numFmtId="0" fontId="9" fillId="0" borderId="1" xfId="0" applyFont="1" applyBorder="1"/>
    <xf numFmtId="44" fontId="6" fillId="5" borderId="1" xfId="0" applyNumberFormat="1" applyFont="1" applyFill="1" applyBorder="1"/>
    <xf numFmtId="0" fontId="0" fillId="5" borderId="1" xfId="0" applyFill="1" applyBorder="1"/>
    <xf numFmtId="44" fontId="0" fillId="5" borderId="1" xfId="0" applyNumberFormat="1" applyFill="1" applyBorder="1"/>
    <xf numFmtId="9" fontId="0" fillId="5" borderId="1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4" borderId="0" xfId="4" applyFont="1" applyFill="1"/>
    <xf numFmtId="0" fontId="10" fillId="0" borderId="0" xfId="4"/>
    <xf numFmtId="0" fontId="12" fillId="6" borderId="4" xfId="4" applyFont="1" applyFill="1" applyBorder="1" applyAlignment="1">
      <alignment horizontal="center" vertical="center" wrapText="1"/>
    </xf>
    <xf numFmtId="0" fontId="12" fillId="7" borderId="4" xfId="4" applyFont="1" applyFill="1" applyBorder="1" applyAlignment="1">
      <alignment horizontal="left" vertical="center" wrapText="1"/>
    </xf>
    <xf numFmtId="0" fontId="12" fillId="7" borderId="4" xfId="4" applyFont="1" applyFill="1" applyBorder="1" applyAlignment="1">
      <alignment horizontal="center" vertical="center" wrapText="1"/>
    </xf>
    <xf numFmtId="0" fontId="13" fillId="7" borderId="4" xfId="4" applyFont="1" applyFill="1" applyBorder="1" applyAlignment="1">
      <alignment horizontal="left" vertical="center" wrapText="1"/>
    </xf>
    <xf numFmtId="0" fontId="13" fillId="7" borderId="4" xfId="4" applyFont="1" applyFill="1" applyBorder="1" applyAlignment="1">
      <alignment horizontal="center" vertical="center" wrapText="1"/>
    </xf>
    <xf numFmtId="168" fontId="13" fillId="7" borderId="4" xfId="5" applyFont="1" applyFill="1" applyBorder="1" applyAlignment="1">
      <alignment horizontal="left" vertical="center" wrapText="1"/>
    </xf>
    <xf numFmtId="0" fontId="14" fillId="3" borderId="4" xfId="4" applyFont="1" applyFill="1" applyBorder="1" applyAlignment="1">
      <alignment horizontal="left" vertical="center" wrapText="1"/>
    </xf>
    <xf numFmtId="0" fontId="14" fillId="3" borderId="5" xfId="4" applyFont="1" applyFill="1" applyBorder="1" applyAlignment="1">
      <alignment horizontal="left" vertical="center" wrapText="1"/>
    </xf>
    <xf numFmtId="0" fontId="14" fillId="3" borderId="4" xfId="4" applyFont="1" applyFill="1" applyBorder="1" applyAlignment="1">
      <alignment horizontal="center" vertical="center" wrapText="1"/>
    </xf>
    <xf numFmtId="168" fontId="14" fillId="3" borderId="4" xfId="5" applyFont="1" applyFill="1" applyBorder="1" applyAlignment="1">
      <alignment horizontal="left" vertical="center" wrapText="1"/>
    </xf>
    <xf numFmtId="0" fontId="13" fillId="7" borderId="5" xfId="4" applyFont="1" applyFill="1" applyBorder="1" applyAlignment="1">
      <alignment horizontal="justify" vertical="center" wrapText="1"/>
    </xf>
    <xf numFmtId="0" fontId="10" fillId="7" borderId="4" xfId="4" applyFill="1" applyBorder="1" applyAlignment="1">
      <alignment horizontal="center" vertical="center" wrapText="1"/>
    </xf>
    <xf numFmtId="0" fontId="12" fillId="8" borderId="4" xfId="4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0" fillId="8" borderId="5" xfId="4" applyFill="1" applyBorder="1" applyAlignment="1">
      <alignment horizontal="center" vertical="center" wrapText="1"/>
    </xf>
    <xf numFmtId="0" fontId="10" fillId="8" borderId="6" xfId="4" applyFill="1" applyBorder="1" applyAlignment="1">
      <alignment horizontal="center" vertical="center" wrapText="1"/>
    </xf>
    <xf numFmtId="168" fontId="14" fillId="8" borderId="4" xfId="5" applyFont="1" applyFill="1" applyBorder="1" applyAlignment="1">
      <alignment horizontal="left" vertical="center" wrapText="1"/>
    </xf>
    <xf numFmtId="0" fontId="14" fillId="6" borderId="7" xfId="4" applyFont="1" applyFill="1" applyBorder="1" applyAlignment="1">
      <alignment horizontal="center" vertical="center" wrapText="1"/>
    </xf>
    <xf numFmtId="0" fontId="14" fillId="6" borderId="7" xfId="4" applyFont="1" applyFill="1" applyBorder="1" applyAlignment="1">
      <alignment horizontal="center" vertical="center" textRotation="90" wrapText="1"/>
    </xf>
    <xf numFmtId="0" fontId="14" fillId="6" borderId="5" xfId="4" applyFont="1" applyFill="1" applyBorder="1" applyAlignment="1">
      <alignment horizontal="center" vertical="center" wrapText="1"/>
    </xf>
    <xf numFmtId="0" fontId="14" fillId="6" borderId="8" xfId="4" applyFont="1" applyFill="1" applyBorder="1" applyAlignment="1">
      <alignment horizontal="center" vertical="center" wrapText="1"/>
    </xf>
    <xf numFmtId="0" fontId="14" fillId="6" borderId="6" xfId="4" applyFont="1" applyFill="1" applyBorder="1" applyAlignment="1">
      <alignment horizontal="center" vertical="center" wrapText="1"/>
    </xf>
    <xf numFmtId="0" fontId="14" fillId="6" borderId="9" xfId="4" applyFont="1" applyFill="1" applyBorder="1" applyAlignment="1">
      <alignment horizontal="center" vertical="center" wrapText="1"/>
    </xf>
    <xf numFmtId="0" fontId="14" fillId="6" borderId="9" xfId="4" applyFont="1" applyFill="1" applyBorder="1" applyAlignment="1">
      <alignment horizontal="center" vertical="center" textRotation="90" wrapText="1"/>
    </xf>
    <xf numFmtId="0" fontId="14" fillId="6" borderId="4" xfId="4" applyFont="1" applyFill="1" applyBorder="1" applyAlignment="1">
      <alignment horizontal="center" vertical="center" wrapText="1"/>
    </xf>
    <xf numFmtId="0" fontId="13" fillId="7" borderId="7" xfId="4" applyFont="1" applyFill="1" applyBorder="1" applyAlignment="1">
      <alignment horizontal="justify" vertical="center" wrapText="1"/>
    </xf>
    <xf numFmtId="168" fontId="13" fillId="7" borderId="4" xfId="5" applyFont="1" applyFill="1" applyBorder="1" applyAlignment="1">
      <alignment horizontal="center" vertical="center" wrapText="1"/>
    </xf>
    <xf numFmtId="0" fontId="13" fillId="0" borderId="4" xfId="4" applyFont="1" applyBorder="1" applyAlignment="1">
      <alignment horizontal="center" vertical="center"/>
    </xf>
    <xf numFmtId="9" fontId="13" fillId="0" borderId="4" xfId="6" applyFont="1" applyFill="1" applyBorder="1" applyAlignment="1">
      <alignment horizontal="center" vertical="center"/>
    </xf>
    <xf numFmtId="4" fontId="13" fillId="0" borderId="4" xfId="4" applyNumberFormat="1" applyFont="1" applyBorder="1" applyAlignment="1">
      <alignment horizontal="center" vertical="center"/>
    </xf>
    <xf numFmtId="0" fontId="13" fillId="9" borderId="5" xfId="4" applyFont="1" applyFill="1" applyBorder="1" applyAlignment="1">
      <alignment horizontal="center" vertical="center" wrapText="1"/>
    </xf>
    <xf numFmtId="0" fontId="13" fillId="9" borderId="8" xfId="4" applyFont="1" applyFill="1" applyBorder="1" applyAlignment="1">
      <alignment horizontal="center" vertical="center" wrapText="1"/>
    </xf>
    <xf numFmtId="0" fontId="13" fillId="9" borderId="6" xfId="4" applyFont="1" applyFill="1" applyBorder="1" applyAlignment="1">
      <alignment horizontal="center" vertical="center" wrapText="1"/>
    </xf>
    <xf numFmtId="4" fontId="13" fillId="9" borderId="4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44" fontId="10" fillId="0" borderId="0" xfId="4" applyNumberFormat="1"/>
    <xf numFmtId="2" fontId="10" fillId="0" borderId="0" xfId="4" applyNumberFormat="1"/>
    <xf numFmtId="0" fontId="11" fillId="0" borderId="0" xfId="4" applyFont="1"/>
    <xf numFmtId="0" fontId="14" fillId="0" borderId="4" xfId="4" applyFont="1" applyBorder="1" applyAlignment="1">
      <alignment horizontal="center" vertical="center" wrapText="1"/>
    </xf>
    <xf numFmtId="0" fontId="13" fillId="0" borderId="0" xfId="4" applyFont="1" applyAlignment="1">
      <alignment horizontal="center" vertical="center" wrapText="1"/>
    </xf>
    <xf numFmtId="0" fontId="13" fillId="0" borderId="4" xfId="4" applyFont="1" applyBorder="1" applyAlignment="1">
      <alignment horizontal="center" vertical="center" wrapText="1"/>
    </xf>
    <xf numFmtId="169" fontId="13" fillId="0" borderId="4" xfId="4" applyNumberFormat="1" applyFont="1" applyBorder="1" applyAlignment="1">
      <alignment horizontal="center" vertical="center" wrapText="1"/>
    </xf>
    <xf numFmtId="170" fontId="13" fillId="0" borderId="4" xfId="4" applyNumberFormat="1" applyFont="1" applyBorder="1" applyAlignment="1">
      <alignment horizontal="center" vertical="center" wrapText="1"/>
    </xf>
    <xf numFmtId="0" fontId="15" fillId="10" borderId="5" xfId="4" applyFont="1" applyFill="1" applyBorder="1" applyAlignment="1">
      <alignment horizontal="center" vertical="center" wrapText="1"/>
    </xf>
    <xf numFmtId="0" fontId="15" fillId="10" borderId="6" xfId="4" applyFont="1" applyFill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7" fillId="0" borderId="4" xfId="4" applyFont="1" applyBorder="1" applyAlignment="1">
      <alignment horizontal="center" vertical="center" wrapText="1"/>
    </xf>
    <xf numFmtId="165" fontId="17" fillId="0" borderId="4" xfId="4" applyNumberFormat="1" applyFont="1" applyBorder="1" applyAlignment="1">
      <alignment horizontal="center" vertical="center" wrapText="1"/>
    </xf>
    <xf numFmtId="0" fontId="15" fillId="11" borderId="4" xfId="4" applyFont="1" applyFill="1" applyBorder="1" applyAlignment="1">
      <alignment horizontal="center" vertical="center" wrapText="1"/>
    </xf>
    <xf numFmtId="165" fontId="15" fillId="11" borderId="4" xfId="4" applyNumberFormat="1" applyFont="1" applyFill="1" applyBorder="1" applyAlignment="1">
      <alignment horizontal="center" vertical="center" wrapText="1"/>
    </xf>
    <xf numFmtId="0" fontId="12" fillId="12" borderId="10" xfId="4" applyFont="1" applyFill="1" applyBorder="1" applyAlignment="1">
      <alignment horizontal="center" vertical="center" wrapText="1"/>
    </xf>
    <xf numFmtId="0" fontId="12" fillId="12" borderId="11" xfId="4" applyFont="1" applyFill="1" applyBorder="1" applyAlignment="1">
      <alignment horizontal="center" vertical="center" wrapText="1"/>
    </xf>
    <xf numFmtId="0" fontId="12" fillId="12" borderId="12" xfId="4" applyFont="1" applyFill="1" applyBorder="1" applyAlignment="1">
      <alignment horizontal="center" vertical="center" wrapText="1"/>
    </xf>
    <xf numFmtId="0" fontId="16" fillId="0" borderId="0" xfId="4" applyFont="1"/>
    <xf numFmtId="0" fontId="12" fillId="10" borderId="10" xfId="4" applyFont="1" applyFill="1" applyBorder="1" applyAlignment="1">
      <alignment horizontal="center" vertical="center" wrapText="1"/>
    </xf>
    <xf numFmtId="0" fontId="12" fillId="10" borderId="12" xfId="4" applyFont="1" applyFill="1" applyBorder="1" applyAlignment="1">
      <alignment horizontal="center" vertical="center" wrapText="1"/>
    </xf>
    <xf numFmtId="0" fontId="12" fillId="10" borderId="7" xfId="4" applyFont="1" applyFill="1" applyBorder="1" applyAlignment="1">
      <alignment horizontal="center" vertical="center" wrapText="1"/>
    </xf>
    <xf numFmtId="0" fontId="12" fillId="10" borderId="13" xfId="4" applyFont="1" applyFill="1" applyBorder="1" applyAlignment="1">
      <alignment horizontal="center" vertical="center" wrapText="1"/>
    </xf>
    <xf numFmtId="0" fontId="12" fillId="10" borderId="4" xfId="4" applyFont="1" applyFill="1" applyBorder="1" applyAlignment="1">
      <alignment horizontal="center" vertical="center" wrapText="1"/>
    </xf>
    <xf numFmtId="0" fontId="12" fillId="10" borderId="9" xfId="4" applyFont="1" applyFill="1" applyBorder="1" applyAlignment="1">
      <alignment horizontal="center" vertical="center" wrapText="1"/>
    </xf>
    <xf numFmtId="0" fontId="10" fillId="0" borderId="4" xfId="4" applyBorder="1" applyAlignment="1">
      <alignment horizontal="center" vertical="center" wrapText="1"/>
    </xf>
    <xf numFmtId="168" fontId="13" fillId="0" borderId="4" xfId="5" applyFont="1" applyFill="1" applyBorder="1" applyAlignment="1">
      <alignment horizontal="center" vertical="center" wrapText="1"/>
    </xf>
    <xf numFmtId="165" fontId="13" fillId="0" borderId="4" xfId="5" applyNumberFormat="1" applyFont="1" applyFill="1" applyBorder="1" applyAlignment="1">
      <alignment horizontal="center" vertical="center" wrapText="1"/>
    </xf>
    <xf numFmtId="168" fontId="12" fillId="0" borderId="4" xfId="4" applyNumberFormat="1" applyFont="1" applyBorder="1" applyAlignment="1">
      <alignment horizontal="center" vertical="center" wrapText="1"/>
    </xf>
    <xf numFmtId="0" fontId="14" fillId="0" borderId="5" xfId="4" applyFont="1" applyBorder="1" applyAlignment="1">
      <alignment horizontal="center" vertical="center" wrapText="1"/>
    </xf>
    <xf numFmtId="0" fontId="14" fillId="0" borderId="6" xfId="4" applyFont="1" applyBorder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7" fillId="0" borderId="0" xfId="4" applyFont="1"/>
    <xf numFmtId="0" fontId="18" fillId="13" borderId="4" xfId="4" applyFont="1" applyFill="1" applyBorder="1" applyAlignment="1">
      <alignment horizontal="center" vertical="center" wrapText="1"/>
    </xf>
    <xf numFmtId="165" fontId="17" fillId="0" borderId="4" xfId="5" applyNumberFormat="1" applyFont="1" applyFill="1" applyBorder="1" applyAlignment="1">
      <alignment horizontal="center" vertical="center" wrapText="1"/>
    </xf>
    <xf numFmtId="165" fontId="17" fillId="0" borderId="0" xfId="4" applyNumberFormat="1" applyFont="1"/>
    <xf numFmtId="0" fontId="15" fillId="10" borderId="4" xfId="4" applyFont="1" applyFill="1" applyBorder="1" applyAlignment="1">
      <alignment horizontal="center" vertical="center" wrapText="1"/>
    </xf>
    <xf numFmtId="165" fontId="15" fillId="0" borderId="4" xfId="5" applyNumberFormat="1" applyFont="1" applyFill="1" applyBorder="1" applyAlignment="1">
      <alignment horizontal="center" vertical="center" wrapText="1"/>
    </xf>
    <xf numFmtId="0" fontId="17" fillId="10" borderId="4" xfId="4" applyFont="1" applyFill="1" applyBorder="1" applyAlignment="1">
      <alignment horizontal="center" vertical="center" wrapText="1"/>
    </xf>
    <xf numFmtId="0" fontId="19" fillId="14" borderId="4" xfId="7" applyFont="1" applyFill="1" applyBorder="1" applyAlignment="1">
      <alignment horizontal="center" vertical="center" wrapText="1"/>
    </xf>
    <xf numFmtId="0" fontId="20" fillId="0" borderId="0" xfId="7" applyFont="1"/>
    <xf numFmtId="0" fontId="20" fillId="0" borderId="4" xfId="7" applyFont="1" applyBorder="1"/>
    <xf numFmtId="165" fontId="20" fillId="0" borderId="4" xfId="3" applyFont="1" applyBorder="1"/>
    <xf numFmtId="0" fontId="20" fillId="0" borderId="4" xfId="7" applyFont="1" applyBorder="1" applyAlignment="1">
      <alignment horizontal="center"/>
    </xf>
    <xf numFmtId="171" fontId="20" fillId="0" borderId="4" xfId="7" applyNumberFormat="1" applyFont="1" applyBorder="1"/>
    <xf numFmtId="0" fontId="21" fillId="15" borderId="5" xfId="7" applyFont="1" applyFill="1" applyBorder="1" applyAlignment="1">
      <alignment horizontal="center"/>
    </xf>
    <xf numFmtId="0" fontId="21" fillId="15" borderId="8" xfId="7" applyFont="1" applyFill="1" applyBorder="1" applyAlignment="1">
      <alignment horizontal="center"/>
    </xf>
    <xf numFmtId="0" fontId="21" fillId="15" borderId="6" xfId="7" applyFont="1" applyFill="1" applyBorder="1" applyAlignment="1">
      <alignment horizontal="center"/>
    </xf>
    <xf numFmtId="171" fontId="20" fillId="15" borderId="4" xfId="7" applyNumberFormat="1" applyFont="1" applyFill="1" applyBorder="1"/>
    <xf numFmtId="0" fontId="10" fillId="0" borderId="0" xfId="7"/>
    <xf numFmtId="168" fontId="0" fillId="0" borderId="1" xfId="5" applyFont="1" applyBorder="1"/>
    <xf numFmtId="171" fontId="10" fillId="0" borderId="0" xfId="7" applyNumberFormat="1"/>
  </cellXfs>
  <cellStyles count="8">
    <cellStyle name="Moneda" xfId="1" builtinId="4"/>
    <cellStyle name="Moneda 2" xfId="3" xr:uid="{00000000-0005-0000-0000-000001000000}"/>
    <cellStyle name="Moneda 3" xfId="5" xr:uid="{E8BEF67B-ADB7-4A97-A064-1A47FF31EA92}"/>
    <cellStyle name="Normal" xfId="0" builtinId="0"/>
    <cellStyle name="Normal 2" xfId="4" xr:uid="{7C95CD3D-2224-4543-82FB-C849D8CAA424}"/>
    <cellStyle name="Normal 3" xfId="7" xr:uid="{D7221624-2300-474E-B1D3-4FD6F03C7540}"/>
    <cellStyle name="Porcentaje" xfId="2" builtinId="5"/>
    <cellStyle name="Porcentaje 2" xfId="6" xr:uid="{C9BD9373-2622-4678-8F55-A938FD4B7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8</xdr:row>
      <xdr:rowOff>38100</xdr:rowOff>
    </xdr:from>
    <xdr:to>
      <xdr:col>6</xdr:col>
      <xdr:colOff>638175</xdr:colOff>
      <xdr:row>11</xdr:row>
      <xdr:rowOff>85725</xdr:rowOff>
    </xdr:to>
    <xdr:sp macro="" textlink="">
      <xdr:nvSpPr>
        <xdr:cNvPr id="2" name="2 Abrir corche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991225" y="1562100"/>
          <a:ext cx="200025" cy="67627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C" sz="1100"/>
        </a:p>
      </xdr:txBody>
    </xdr:sp>
    <xdr:clientData/>
  </xdr:twoCellAnchor>
  <xdr:twoCellAnchor>
    <xdr:from>
      <xdr:col>7</xdr:col>
      <xdr:colOff>637190</xdr:colOff>
      <xdr:row>8</xdr:row>
      <xdr:rowOff>38100</xdr:rowOff>
    </xdr:from>
    <xdr:to>
      <xdr:col>8</xdr:col>
      <xdr:colOff>6832</xdr:colOff>
      <xdr:row>11</xdr:row>
      <xdr:rowOff>114300</xdr:rowOff>
    </xdr:to>
    <xdr:sp macro="" textlink="">
      <xdr:nvSpPr>
        <xdr:cNvPr id="3" name="3 Cerrar corchet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58000" y="1562100"/>
          <a:ext cx="131642" cy="700252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C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mit/Downloads/Ejercicio%20completo%20PRESUPUESTO%20y%20PROYECCIONES%20DE%20LA%20INVERSI&#211;N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vonne/MIO%20confidencial/tesis/Ivonne/orig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ampos/Documents/BEATRIZ/1PUCE/2FINANZAS/CURSO%20ADM%20FINANCIERA/BLOQUE%202/Copia%20de%20PRESUPUEST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ACTIVOS FIJOS"/>
      <sheetName val="DEPRECIACIONES"/>
      <sheetName val="MANEJO RESPOSICIÓN ACTIVOS DEP"/>
      <sheetName val="REQUERIMIENTOS DE GASTOS OPERAC"/>
      <sheetName val="GASTOS ADMINISTRATIVOS"/>
      <sheetName val="GASTOS DE VENTA"/>
      <sheetName val="RESUMEN DE GASTOS OPERACIONALES"/>
      <sheetName val="GASTOS NO OPERACIONALES"/>
      <sheetName val="RESUMEN CAPITAL DE TRABAJO"/>
      <sheetName val="RESUMEN DE INVERSIONES"/>
      <sheetName val="RESQUERIMIENTO  INVENTARIO MERC"/>
      <sheetName val="CRONOGRAMA DE INVERSIONES"/>
      <sheetName val="Origen de Fondos"/>
      <sheetName val="Estructura Financiera"/>
      <sheetName val="Tasa de Interés"/>
      <sheetName val="Amortización de la Deuda"/>
      <sheetName val="Balance General"/>
    </sheetNames>
    <sheetDataSet>
      <sheetData sheetId="0">
        <row r="3">
          <cell r="A3" t="str">
            <v>Equipos de Producción</v>
          </cell>
        </row>
        <row r="4">
          <cell r="A4" t="str">
            <v>Equipos de Producción</v>
          </cell>
        </row>
        <row r="5">
          <cell r="E5">
            <v>250000</v>
          </cell>
        </row>
        <row r="8">
          <cell r="E8">
            <v>0</v>
          </cell>
        </row>
        <row r="9">
          <cell r="E9">
            <v>250000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65000</v>
          </cell>
        </row>
      </sheetData>
      <sheetData sheetId="7"/>
      <sheetData sheetId="8">
        <row r="7">
          <cell r="D7">
            <v>16250</v>
          </cell>
        </row>
      </sheetData>
      <sheetData sheetId="9">
        <row r="3">
          <cell r="C3">
            <v>250000</v>
          </cell>
        </row>
        <row r="4">
          <cell r="C4">
            <v>16250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a y Oferta"/>
      <sheetName val="Honorarios"/>
      <sheetName val="Igresos"/>
      <sheetName val="Insumos"/>
      <sheetName val="Precios"/>
      <sheetName val="Clínica"/>
      <sheetName val="Curva Base"/>
      <sheetName val="Valmon"/>
      <sheetName val="Consolidado"/>
      <sheetName val="Evaluac. Finan"/>
      <sheetName val="Análisis Sensi"/>
      <sheetName val="Punto Equili"/>
      <sheetName val="Alianz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0">
          <cell r="K100">
            <v>6.5000000000000002E-2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ACTIVOS FIJOS"/>
      <sheetName val="ACTIVOS INTANGLIBLES"/>
      <sheetName val="CRONOGRAMA DE INVERSIONES"/>
      <sheetName val="PRESUPUESTO DE INGRESOS"/>
      <sheetName val="RESUMEN"/>
      <sheetName val="TIPO DE EGRESOS"/>
      <sheetName val="EGRESOS FIJOS"/>
      <sheetName val="RESUMEN FIJOS"/>
      <sheetName val="VARIABLES"/>
      <sheetName val="RESUMEN VARIABLES"/>
      <sheetName val="TOTAL EGRESOS"/>
      <sheetName val="FUENTES Y USO DE FONDOS"/>
      <sheetName val="ESTRUC FIN"/>
      <sheetName val="AMORTIZACIÓN DEUDA"/>
    </sheetNames>
    <sheetDataSet>
      <sheetData sheetId="0">
        <row r="3">
          <cell r="A3" t="str">
            <v>VEHÍCULOS</v>
          </cell>
        </row>
        <row r="16">
          <cell r="A16" t="str">
            <v>EQUIPO DE OFICINA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8705-F62F-4CBD-9BE5-E3A1EE6F9ACA}">
  <dimension ref="B1:F9"/>
  <sheetViews>
    <sheetView tabSelected="1" topLeftCell="B1" workbookViewId="0">
      <selection activeCell="F25" sqref="F25"/>
    </sheetView>
  </sheetViews>
  <sheetFormatPr baseColWidth="10" defaultRowHeight="12.75" x14ac:dyDescent="0.2"/>
  <cols>
    <col min="1" max="1" width="11.42578125" style="160"/>
    <col min="2" max="2" width="27.85546875" style="160" customWidth="1"/>
    <col min="3" max="3" width="21.5703125" style="160" customWidth="1"/>
    <col min="4" max="4" width="26.42578125" style="160" customWidth="1"/>
    <col min="5" max="5" width="22.85546875" style="160" customWidth="1"/>
    <col min="6" max="6" width="22.140625" style="160" customWidth="1"/>
    <col min="7" max="7" width="12.85546875" style="160" bestFit="1" customWidth="1"/>
    <col min="8" max="257" width="11.42578125" style="160"/>
    <col min="258" max="258" width="27.85546875" style="160" customWidth="1"/>
    <col min="259" max="259" width="21.5703125" style="160" customWidth="1"/>
    <col min="260" max="260" width="26.42578125" style="160" customWidth="1"/>
    <col min="261" max="261" width="22.85546875" style="160" customWidth="1"/>
    <col min="262" max="262" width="22.140625" style="160" customWidth="1"/>
    <col min="263" max="263" width="12.85546875" style="160" bestFit="1" customWidth="1"/>
    <col min="264" max="513" width="11.42578125" style="160"/>
    <col min="514" max="514" width="27.85546875" style="160" customWidth="1"/>
    <col min="515" max="515" width="21.5703125" style="160" customWidth="1"/>
    <col min="516" max="516" width="26.42578125" style="160" customWidth="1"/>
    <col min="517" max="517" width="22.85546875" style="160" customWidth="1"/>
    <col min="518" max="518" width="22.140625" style="160" customWidth="1"/>
    <col min="519" max="519" width="12.85546875" style="160" bestFit="1" customWidth="1"/>
    <col min="520" max="769" width="11.42578125" style="160"/>
    <col min="770" max="770" width="27.85546875" style="160" customWidth="1"/>
    <col min="771" max="771" width="21.5703125" style="160" customWidth="1"/>
    <col min="772" max="772" width="26.42578125" style="160" customWidth="1"/>
    <col min="773" max="773" width="22.85546875" style="160" customWidth="1"/>
    <col min="774" max="774" width="22.140625" style="160" customWidth="1"/>
    <col min="775" max="775" width="12.85546875" style="160" bestFit="1" customWidth="1"/>
    <col min="776" max="1025" width="11.42578125" style="160"/>
    <col min="1026" max="1026" width="27.85546875" style="160" customWidth="1"/>
    <col min="1027" max="1027" width="21.5703125" style="160" customWidth="1"/>
    <col min="1028" max="1028" width="26.42578125" style="160" customWidth="1"/>
    <col min="1029" max="1029" width="22.85546875" style="160" customWidth="1"/>
    <col min="1030" max="1030" width="22.140625" style="160" customWidth="1"/>
    <col min="1031" max="1031" width="12.85546875" style="160" bestFit="1" customWidth="1"/>
    <col min="1032" max="1281" width="11.42578125" style="160"/>
    <col min="1282" max="1282" width="27.85546875" style="160" customWidth="1"/>
    <col min="1283" max="1283" width="21.5703125" style="160" customWidth="1"/>
    <col min="1284" max="1284" width="26.42578125" style="160" customWidth="1"/>
    <col min="1285" max="1285" width="22.85546875" style="160" customWidth="1"/>
    <col min="1286" max="1286" width="22.140625" style="160" customWidth="1"/>
    <col min="1287" max="1287" width="12.85546875" style="160" bestFit="1" customWidth="1"/>
    <col min="1288" max="1537" width="11.42578125" style="160"/>
    <col min="1538" max="1538" width="27.85546875" style="160" customWidth="1"/>
    <col min="1539" max="1539" width="21.5703125" style="160" customWidth="1"/>
    <col min="1540" max="1540" width="26.42578125" style="160" customWidth="1"/>
    <col min="1541" max="1541" width="22.85546875" style="160" customWidth="1"/>
    <col min="1542" max="1542" width="22.140625" style="160" customWidth="1"/>
    <col min="1543" max="1543" width="12.85546875" style="160" bestFit="1" customWidth="1"/>
    <col min="1544" max="1793" width="11.42578125" style="160"/>
    <col min="1794" max="1794" width="27.85546875" style="160" customWidth="1"/>
    <col min="1795" max="1795" width="21.5703125" style="160" customWidth="1"/>
    <col min="1796" max="1796" width="26.42578125" style="160" customWidth="1"/>
    <col min="1797" max="1797" width="22.85546875" style="160" customWidth="1"/>
    <col min="1798" max="1798" width="22.140625" style="160" customWidth="1"/>
    <col min="1799" max="1799" width="12.85546875" style="160" bestFit="1" customWidth="1"/>
    <col min="1800" max="2049" width="11.42578125" style="160"/>
    <col min="2050" max="2050" width="27.85546875" style="160" customWidth="1"/>
    <col min="2051" max="2051" width="21.5703125" style="160" customWidth="1"/>
    <col min="2052" max="2052" width="26.42578125" style="160" customWidth="1"/>
    <col min="2053" max="2053" width="22.85546875" style="160" customWidth="1"/>
    <col min="2054" max="2054" width="22.140625" style="160" customWidth="1"/>
    <col min="2055" max="2055" width="12.85546875" style="160" bestFit="1" customWidth="1"/>
    <col min="2056" max="2305" width="11.42578125" style="160"/>
    <col min="2306" max="2306" width="27.85546875" style="160" customWidth="1"/>
    <col min="2307" max="2307" width="21.5703125" style="160" customWidth="1"/>
    <col min="2308" max="2308" width="26.42578125" style="160" customWidth="1"/>
    <col min="2309" max="2309" width="22.85546875" style="160" customWidth="1"/>
    <col min="2310" max="2310" width="22.140625" style="160" customWidth="1"/>
    <col min="2311" max="2311" width="12.85546875" style="160" bestFit="1" customWidth="1"/>
    <col min="2312" max="2561" width="11.42578125" style="160"/>
    <col min="2562" max="2562" width="27.85546875" style="160" customWidth="1"/>
    <col min="2563" max="2563" width="21.5703125" style="160" customWidth="1"/>
    <col min="2564" max="2564" width="26.42578125" style="160" customWidth="1"/>
    <col min="2565" max="2565" width="22.85546875" style="160" customWidth="1"/>
    <col min="2566" max="2566" width="22.140625" style="160" customWidth="1"/>
    <col min="2567" max="2567" width="12.85546875" style="160" bestFit="1" customWidth="1"/>
    <col min="2568" max="2817" width="11.42578125" style="160"/>
    <col min="2818" max="2818" width="27.85546875" style="160" customWidth="1"/>
    <col min="2819" max="2819" width="21.5703125" style="160" customWidth="1"/>
    <col min="2820" max="2820" width="26.42578125" style="160" customWidth="1"/>
    <col min="2821" max="2821" width="22.85546875" style="160" customWidth="1"/>
    <col min="2822" max="2822" width="22.140625" style="160" customWidth="1"/>
    <col min="2823" max="2823" width="12.85546875" style="160" bestFit="1" customWidth="1"/>
    <col min="2824" max="3073" width="11.42578125" style="160"/>
    <col min="3074" max="3074" width="27.85546875" style="160" customWidth="1"/>
    <col min="3075" max="3075" width="21.5703125" style="160" customWidth="1"/>
    <col min="3076" max="3076" width="26.42578125" style="160" customWidth="1"/>
    <col min="3077" max="3077" width="22.85546875" style="160" customWidth="1"/>
    <col min="3078" max="3078" width="22.140625" style="160" customWidth="1"/>
    <col min="3079" max="3079" width="12.85546875" style="160" bestFit="1" customWidth="1"/>
    <col min="3080" max="3329" width="11.42578125" style="160"/>
    <col min="3330" max="3330" width="27.85546875" style="160" customWidth="1"/>
    <col min="3331" max="3331" width="21.5703125" style="160" customWidth="1"/>
    <col min="3332" max="3332" width="26.42578125" style="160" customWidth="1"/>
    <col min="3333" max="3333" width="22.85546875" style="160" customWidth="1"/>
    <col min="3334" max="3334" width="22.140625" style="160" customWidth="1"/>
    <col min="3335" max="3335" width="12.85546875" style="160" bestFit="1" customWidth="1"/>
    <col min="3336" max="3585" width="11.42578125" style="160"/>
    <col min="3586" max="3586" width="27.85546875" style="160" customWidth="1"/>
    <col min="3587" max="3587" width="21.5703125" style="160" customWidth="1"/>
    <col min="3588" max="3588" width="26.42578125" style="160" customWidth="1"/>
    <col min="3589" max="3589" width="22.85546875" style="160" customWidth="1"/>
    <col min="3590" max="3590" width="22.140625" style="160" customWidth="1"/>
    <col min="3591" max="3591" width="12.85546875" style="160" bestFit="1" customWidth="1"/>
    <col min="3592" max="3841" width="11.42578125" style="160"/>
    <col min="3842" max="3842" width="27.85546875" style="160" customWidth="1"/>
    <col min="3843" max="3843" width="21.5703125" style="160" customWidth="1"/>
    <col min="3844" max="3844" width="26.42578125" style="160" customWidth="1"/>
    <col min="3845" max="3845" width="22.85546875" style="160" customWidth="1"/>
    <col min="3846" max="3846" width="22.140625" style="160" customWidth="1"/>
    <col min="3847" max="3847" width="12.85546875" style="160" bestFit="1" customWidth="1"/>
    <col min="3848" max="4097" width="11.42578125" style="160"/>
    <col min="4098" max="4098" width="27.85546875" style="160" customWidth="1"/>
    <col min="4099" max="4099" width="21.5703125" style="160" customWidth="1"/>
    <col min="4100" max="4100" width="26.42578125" style="160" customWidth="1"/>
    <col min="4101" max="4101" width="22.85546875" style="160" customWidth="1"/>
    <col min="4102" max="4102" width="22.140625" style="160" customWidth="1"/>
    <col min="4103" max="4103" width="12.85546875" style="160" bestFit="1" customWidth="1"/>
    <col min="4104" max="4353" width="11.42578125" style="160"/>
    <col min="4354" max="4354" width="27.85546875" style="160" customWidth="1"/>
    <col min="4355" max="4355" width="21.5703125" style="160" customWidth="1"/>
    <col min="4356" max="4356" width="26.42578125" style="160" customWidth="1"/>
    <col min="4357" max="4357" width="22.85546875" style="160" customWidth="1"/>
    <col min="4358" max="4358" width="22.140625" style="160" customWidth="1"/>
    <col min="4359" max="4359" width="12.85546875" style="160" bestFit="1" customWidth="1"/>
    <col min="4360" max="4609" width="11.42578125" style="160"/>
    <col min="4610" max="4610" width="27.85546875" style="160" customWidth="1"/>
    <col min="4611" max="4611" width="21.5703125" style="160" customWidth="1"/>
    <col min="4612" max="4612" width="26.42578125" style="160" customWidth="1"/>
    <col min="4613" max="4613" width="22.85546875" style="160" customWidth="1"/>
    <col min="4614" max="4614" width="22.140625" style="160" customWidth="1"/>
    <col min="4615" max="4615" width="12.85546875" style="160" bestFit="1" customWidth="1"/>
    <col min="4616" max="4865" width="11.42578125" style="160"/>
    <col min="4866" max="4866" width="27.85546875" style="160" customWidth="1"/>
    <col min="4867" max="4867" width="21.5703125" style="160" customWidth="1"/>
    <col min="4868" max="4868" width="26.42578125" style="160" customWidth="1"/>
    <col min="4869" max="4869" width="22.85546875" style="160" customWidth="1"/>
    <col min="4870" max="4870" width="22.140625" style="160" customWidth="1"/>
    <col min="4871" max="4871" width="12.85546875" style="160" bestFit="1" customWidth="1"/>
    <col min="4872" max="5121" width="11.42578125" style="160"/>
    <col min="5122" max="5122" width="27.85546875" style="160" customWidth="1"/>
    <col min="5123" max="5123" width="21.5703125" style="160" customWidth="1"/>
    <col min="5124" max="5124" width="26.42578125" style="160" customWidth="1"/>
    <col min="5125" max="5125" width="22.85546875" style="160" customWidth="1"/>
    <col min="5126" max="5126" width="22.140625" style="160" customWidth="1"/>
    <col min="5127" max="5127" width="12.85546875" style="160" bestFit="1" customWidth="1"/>
    <col min="5128" max="5377" width="11.42578125" style="160"/>
    <col min="5378" max="5378" width="27.85546875" style="160" customWidth="1"/>
    <col min="5379" max="5379" width="21.5703125" style="160" customWidth="1"/>
    <col min="5380" max="5380" width="26.42578125" style="160" customWidth="1"/>
    <col min="5381" max="5381" width="22.85546875" style="160" customWidth="1"/>
    <col min="5382" max="5382" width="22.140625" style="160" customWidth="1"/>
    <col min="5383" max="5383" width="12.85546875" style="160" bestFit="1" customWidth="1"/>
    <col min="5384" max="5633" width="11.42578125" style="160"/>
    <col min="5634" max="5634" width="27.85546875" style="160" customWidth="1"/>
    <col min="5635" max="5635" width="21.5703125" style="160" customWidth="1"/>
    <col min="5636" max="5636" width="26.42578125" style="160" customWidth="1"/>
    <col min="5637" max="5637" width="22.85546875" style="160" customWidth="1"/>
    <col min="5638" max="5638" width="22.140625" style="160" customWidth="1"/>
    <col min="5639" max="5639" width="12.85546875" style="160" bestFit="1" customWidth="1"/>
    <col min="5640" max="5889" width="11.42578125" style="160"/>
    <col min="5890" max="5890" width="27.85546875" style="160" customWidth="1"/>
    <col min="5891" max="5891" width="21.5703125" style="160" customWidth="1"/>
    <col min="5892" max="5892" width="26.42578125" style="160" customWidth="1"/>
    <col min="5893" max="5893" width="22.85546875" style="160" customWidth="1"/>
    <col min="5894" max="5894" width="22.140625" style="160" customWidth="1"/>
    <col min="5895" max="5895" width="12.85546875" style="160" bestFit="1" customWidth="1"/>
    <col min="5896" max="6145" width="11.42578125" style="160"/>
    <col min="6146" max="6146" width="27.85546875" style="160" customWidth="1"/>
    <col min="6147" max="6147" width="21.5703125" style="160" customWidth="1"/>
    <col min="6148" max="6148" width="26.42578125" style="160" customWidth="1"/>
    <col min="6149" max="6149" width="22.85546875" style="160" customWidth="1"/>
    <col min="6150" max="6150" width="22.140625" style="160" customWidth="1"/>
    <col min="6151" max="6151" width="12.85546875" style="160" bestFit="1" customWidth="1"/>
    <col min="6152" max="6401" width="11.42578125" style="160"/>
    <col min="6402" max="6402" width="27.85546875" style="160" customWidth="1"/>
    <col min="6403" max="6403" width="21.5703125" style="160" customWidth="1"/>
    <col min="6404" max="6404" width="26.42578125" style="160" customWidth="1"/>
    <col min="6405" max="6405" width="22.85546875" style="160" customWidth="1"/>
    <col min="6406" max="6406" width="22.140625" style="160" customWidth="1"/>
    <col min="6407" max="6407" width="12.85546875" style="160" bestFit="1" customWidth="1"/>
    <col min="6408" max="6657" width="11.42578125" style="160"/>
    <col min="6658" max="6658" width="27.85546875" style="160" customWidth="1"/>
    <col min="6659" max="6659" width="21.5703125" style="160" customWidth="1"/>
    <col min="6660" max="6660" width="26.42578125" style="160" customWidth="1"/>
    <col min="6661" max="6661" width="22.85546875" style="160" customWidth="1"/>
    <col min="6662" max="6662" width="22.140625" style="160" customWidth="1"/>
    <col min="6663" max="6663" width="12.85546875" style="160" bestFit="1" customWidth="1"/>
    <col min="6664" max="6913" width="11.42578125" style="160"/>
    <col min="6914" max="6914" width="27.85546875" style="160" customWidth="1"/>
    <col min="6915" max="6915" width="21.5703125" style="160" customWidth="1"/>
    <col min="6916" max="6916" width="26.42578125" style="160" customWidth="1"/>
    <col min="6917" max="6917" width="22.85546875" style="160" customWidth="1"/>
    <col min="6918" max="6918" width="22.140625" style="160" customWidth="1"/>
    <col min="6919" max="6919" width="12.85546875" style="160" bestFit="1" customWidth="1"/>
    <col min="6920" max="7169" width="11.42578125" style="160"/>
    <col min="7170" max="7170" width="27.85546875" style="160" customWidth="1"/>
    <col min="7171" max="7171" width="21.5703125" style="160" customWidth="1"/>
    <col min="7172" max="7172" width="26.42578125" style="160" customWidth="1"/>
    <col min="7173" max="7173" width="22.85546875" style="160" customWidth="1"/>
    <col min="7174" max="7174" width="22.140625" style="160" customWidth="1"/>
    <col min="7175" max="7175" width="12.85546875" style="160" bestFit="1" customWidth="1"/>
    <col min="7176" max="7425" width="11.42578125" style="160"/>
    <col min="7426" max="7426" width="27.85546875" style="160" customWidth="1"/>
    <col min="7427" max="7427" width="21.5703125" style="160" customWidth="1"/>
    <col min="7428" max="7428" width="26.42578125" style="160" customWidth="1"/>
    <col min="7429" max="7429" width="22.85546875" style="160" customWidth="1"/>
    <col min="7430" max="7430" width="22.140625" style="160" customWidth="1"/>
    <col min="7431" max="7431" width="12.85546875" style="160" bestFit="1" customWidth="1"/>
    <col min="7432" max="7681" width="11.42578125" style="160"/>
    <col min="7682" max="7682" width="27.85546875" style="160" customWidth="1"/>
    <col min="7683" max="7683" width="21.5703125" style="160" customWidth="1"/>
    <col min="7684" max="7684" width="26.42578125" style="160" customWidth="1"/>
    <col min="7685" max="7685" width="22.85546875" style="160" customWidth="1"/>
    <col min="7686" max="7686" width="22.140625" style="160" customWidth="1"/>
    <col min="7687" max="7687" width="12.85546875" style="160" bestFit="1" customWidth="1"/>
    <col min="7688" max="7937" width="11.42578125" style="160"/>
    <col min="7938" max="7938" width="27.85546875" style="160" customWidth="1"/>
    <col min="7939" max="7939" width="21.5703125" style="160" customWidth="1"/>
    <col min="7940" max="7940" width="26.42578125" style="160" customWidth="1"/>
    <col min="7941" max="7941" width="22.85546875" style="160" customWidth="1"/>
    <col min="7942" max="7942" width="22.140625" style="160" customWidth="1"/>
    <col min="7943" max="7943" width="12.85546875" style="160" bestFit="1" customWidth="1"/>
    <col min="7944" max="8193" width="11.42578125" style="160"/>
    <col min="8194" max="8194" width="27.85546875" style="160" customWidth="1"/>
    <col min="8195" max="8195" width="21.5703125" style="160" customWidth="1"/>
    <col min="8196" max="8196" width="26.42578125" style="160" customWidth="1"/>
    <col min="8197" max="8197" width="22.85546875" style="160" customWidth="1"/>
    <col min="8198" max="8198" width="22.140625" style="160" customWidth="1"/>
    <col min="8199" max="8199" width="12.85546875" style="160" bestFit="1" customWidth="1"/>
    <col min="8200" max="8449" width="11.42578125" style="160"/>
    <col min="8450" max="8450" width="27.85546875" style="160" customWidth="1"/>
    <col min="8451" max="8451" width="21.5703125" style="160" customWidth="1"/>
    <col min="8452" max="8452" width="26.42578125" style="160" customWidth="1"/>
    <col min="8453" max="8453" width="22.85546875" style="160" customWidth="1"/>
    <col min="8454" max="8454" width="22.140625" style="160" customWidth="1"/>
    <col min="8455" max="8455" width="12.85546875" style="160" bestFit="1" customWidth="1"/>
    <col min="8456" max="8705" width="11.42578125" style="160"/>
    <col min="8706" max="8706" width="27.85546875" style="160" customWidth="1"/>
    <col min="8707" max="8707" width="21.5703125" style="160" customWidth="1"/>
    <col min="8708" max="8708" width="26.42578125" style="160" customWidth="1"/>
    <col min="8709" max="8709" width="22.85546875" style="160" customWidth="1"/>
    <col min="8710" max="8710" width="22.140625" style="160" customWidth="1"/>
    <col min="8711" max="8711" width="12.85546875" style="160" bestFit="1" customWidth="1"/>
    <col min="8712" max="8961" width="11.42578125" style="160"/>
    <col min="8962" max="8962" width="27.85546875" style="160" customWidth="1"/>
    <col min="8963" max="8963" width="21.5703125" style="160" customWidth="1"/>
    <col min="8964" max="8964" width="26.42578125" style="160" customWidth="1"/>
    <col min="8965" max="8965" width="22.85546875" style="160" customWidth="1"/>
    <col min="8966" max="8966" width="22.140625" style="160" customWidth="1"/>
    <col min="8967" max="8967" width="12.85546875" style="160" bestFit="1" customWidth="1"/>
    <col min="8968" max="9217" width="11.42578125" style="160"/>
    <col min="9218" max="9218" width="27.85546875" style="160" customWidth="1"/>
    <col min="9219" max="9219" width="21.5703125" style="160" customWidth="1"/>
    <col min="9220" max="9220" width="26.42578125" style="160" customWidth="1"/>
    <col min="9221" max="9221" width="22.85546875" style="160" customWidth="1"/>
    <col min="9222" max="9222" width="22.140625" style="160" customWidth="1"/>
    <col min="9223" max="9223" width="12.85546875" style="160" bestFit="1" customWidth="1"/>
    <col min="9224" max="9473" width="11.42578125" style="160"/>
    <col min="9474" max="9474" width="27.85546875" style="160" customWidth="1"/>
    <col min="9475" max="9475" width="21.5703125" style="160" customWidth="1"/>
    <col min="9476" max="9476" width="26.42578125" style="160" customWidth="1"/>
    <col min="9477" max="9477" width="22.85546875" style="160" customWidth="1"/>
    <col min="9478" max="9478" width="22.140625" style="160" customWidth="1"/>
    <col min="9479" max="9479" width="12.85546875" style="160" bestFit="1" customWidth="1"/>
    <col min="9480" max="9729" width="11.42578125" style="160"/>
    <col min="9730" max="9730" width="27.85546875" style="160" customWidth="1"/>
    <col min="9731" max="9731" width="21.5703125" style="160" customWidth="1"/>
    <col min="9732" max="9732" width="26.42578125" style="160" customWidth="1"/>
    <col min="9733" max="9733" width="22.85546875" style="160" customWidth="1"/>
    <col min="9734" max="9734" width="22.140625" style="160" customWidth="1"/>
    <col min="9735" max="9735" width="12.85546875" style="160" bestFit="1" customWidth="1"/>
    <col min="9736" max="9985" width="11.42578125" style="160"/>
    <col min="9986" max="9986" width="27.85546875" style="160" customWidth="1"/>
    <col min="9987" max="9987" width="21.5703125" style="160" customWidth="1"/>
    <col min="9988" max="9988" width="26.42578125" style="160" customWidth="1"/>
    <col min="9989" max="9989" width="22.85546875" style="160" customWidth="1"/>
    <col min="9990" max="9990" width="22.140625" style="160" customWidth="1"/>
    <col min="9991" max="9991" width="12.85546875" style="160" bestFit="1" customWidth="1"/>
    <col min="9992" max="10241" width="11.42578125" style="160"/>
    <col min="10242" max="10242" width="27.85546875" style="160" customWidth="1"/>
    <col min="10243" max="10243" width="21.5703125" style="160" customWidth="1"/>
    <col min="10244" max="10244" width="26.42578125" style="160" customWidth="1"/>
    <col min="10245" max="10245" width="22.85546875" style="160" customWidth="1"/>
    <col min="10246" max="10246" width="22.140625" style="160" customWidth="1"/>
    <col min="10247" max="10247" width="12.85546875" style="160" bestFit="1" customWidth="1"/>
    <col min="10248" max="10497" width="11.42578125" style="160"/>
    <col min="10498" max="10498" width="27.85546875" style="160" customWidth="1"/>
    <col min="10499" max="10499" width="21.5703125" style="160" customWidth="1"/>
    <col min="10500" max="10500" width="26.42578125" style="160" customWidth="1"/>
    <col min="10501" max="10501" width="22.85546875" style="160" customWidth="1"/>
    <col min="10502" max="10502" width="22.140625" style="160" customWidth="1"/>
    <col min="10503" max="10503" width="12.85546875" style="160" bestFit="1" customWidth="1"/>
    <col min="10504" max="10753" width="11.42578125" style="160"/>
    <col min="10754" max="10754" width="27.85546875" style="160" customWidth="1"/>
    <col min="10755" max="10755" width="21.5703125" style="160" customWidth="1"/>
    <col min="10756" max="10756" width="26.42578125" style="160" customWidth="1"/>
    <col min="10757" max="10757" width="22.85546875" style="160" customWidth="1"/>
    <col min="10758" max="10758" width="22.140625" style="160" customWidth="1"/>
    <col min="10759" max="10759" width="12.85546875" style="160" bestFit="1" customWidth="1"/>
    <col min="10760" max="11009" width="11.42578125" style="160"/>
    <col min="11010" max="11010" width="27.85546875" style="160" customWidth="1"/>
    <col min="11011" max="11011" width="21.5703125" style="160" customWidth="1"/>
    <col min="11012" max="11012" width="26.42578125" style="160" customWidth="1"/>
    <col min="11013" max="11013" width="22.85546875" style="160" customWidth="1"/>
    <col min="11014" max="11014" width="22.140625" style="160" customWidth="1"/>
    <col min="11015" max="11015" width="12.85546875" style="160" bestFit="1" customWidth="1"/>
    <col min="11016" max="11265" width="11.42578125" style="160"/>
    <col min="11266" max="11266" width="27.85546875" style="160" customWidth="1"/>
    <col min="11267" max="11267" width="21.5703125" style="160" customWidth="1"/>
    <col min="11268" max="11268" width="26.42578125" style="160" customWidth="1"/>
    <col min="11269" max="11269" width="22.85546875" style="160" customWidth="1"/>
    <col min="11270" max="11270" width="22.140625" style="160" customWidth="1"/>
    <col min="11271" max="11271" width="12.85546875" style="160" bestFit="1" customWidth="1"/>
    <col min="11272" max="11521" width="11.42578125" style="160"/>
    <col min="11522" max="11522" width="27.85546875" style="160" customWidth="1"/>
    <col min="11523" max="11523" width="21.5703125" style="160" customWidth="1"/>
    <col min="11524" max="11524" width="26.42578125" style="160" customWidth="1"/>
    <col min="11525" max="11525" width="22.85546875" style="160" customWidth="1"/>
    <col min="11526" max="11526" width="22.140625" style="160" customWidth="1"/>
    <col min="11527" max="11527" width="12.85546875" style="160" bestFit="1" customWidth="1"/>
    <col min="11528" max="11777" width="11.42578125" style="160"/>
    <col min="11778" max="11778" width="27.85546875" style="160" customWidth="1"/>
    <col min="11779" max="11779" width="21.5703125" style="160" customWidth="1"/>
    <col min="11780" max="11780" width="26.42578125" style="160" customWidth="1"/>
    <col min="11781" max="11781" width="22.85546875" style="160" customWidth="1"/>
    <col min="11782" max="11782" width="22.140625" style="160" customWidth="1"/>
    <col min="11783" max="11783" width="12.85546875" style="160" bestFit="1" customWidth="1"/>
    <col min="11784" max="12033" width="11.42578125" style="160"/>
    <col min="12034" max="12034" width="27.85546875" style="160" customWidth="1"/>
    <col min="12035" max="12035" width="21.5703125" style="160" customWidth="1"/>
    <col min="12036" max="12036" width="26.42578125" style="160" customWidth="1"/>
    <col min="12037" max="12037" width="22.85546875" style="160" customWidth="1"/>
    <col min="12038" max="12038" width="22.140625" style="160" customWidth="1"/>
    <col min="12039" max="12039" width="12.85546875" style="160" bestFit="1" customWidth="1"/>
    <col min="12040" max="12289" width="11.42578125" style="160"/>
    <col min="12290" max="12290" width="27.85546875" style="160" customWidth="1"/>
    <col min="12291" max="12291" width="21.5703125" style="160" customWidth="1"/>
    <col min="12292" max="12292" width="26.42578125" style="160" customWidth="1"/>
    <col min="12293" max="12293" width="22.85546875" style="160" customWidth="1"/>
    <col min="12294" max="12294" width="22.140625" style="160" customWidth="1"/>
    <col min="12295" max="12295" width="12.85546875" style="160" bestFit="1" customWidth="1"/>
    <col min="12296" max="12545" width="11.42578125" style="160"/>
    <col min="12546" max="12546" width="27.85546875" style="160" customWidth="1"/>
    <col min="12547" max="12547" width="21.5703125" style="160" customWidth="1"/>
    <col min="12548" max="12548" width="26.42578125" style="160" customWidth="1"/>
    <col min="12549" max="12549" width="22.85546875" style="160" customWidth="1"/>
    <col min="12550" max="12550" width="22.140625" style="160" customWidth="1"/>
    <col min="12551" max="12551" width="12.85546875" style="160" bestFit="1" customWidth="1"/>
    <col min="12552" max="12801" width="11.42578125" style="160"/>
    <col min="12802" max="12802" width="27.85546875" style="160" customWidth="1"/>
    <col min="12803" max="12803" width="21.5703125" style="160" customWidth="1"/>
    <col min="12804" max="12804" width="26.42578125" style="160" customWidth="1"/>
    <col min="12805" max="12805" width="22.85546875" style="160" customWidth="1"/>
    <col min="12806" max="12806" width="22.140625" style="160" customWidth="1"/>
    <col min="12807" max="12807" width="12.85546875" style="160" bestFit="1" customWidth="1"/>
    <col min="12808" max="13057" width="11.42578125" style="160"/>
    <col min="13058" max="13058" width="27.85546875" style="160" customWidth="1"/>
    <col min="13059" max="13059" width="21.5703125" style="160" customWidth="1"/>
    <col min="13060" max="13060" width="26.42578125" style="160" customWidth="1"/>
    <col min="13061" max="13061" width="22.85546875" style="160" customWidth="1"/>
    <col min="13062" max="13062" width="22.140625" style="160" customWidth="1"/>
    <col min="13063" max="13063" width="12.85546875" style="160" bestFit="1" customWidth="1"/>
    <col min="13064" max="13313" width="11.42578125" style="160"/>
    <col min="13314" max="13314" width="27.85546875" style="160" customWidth="1"/>
    <col min="13315" max="13315" width="21.5703125" style="160" customWidth="1"/>
    <col min="13316" max="13316" width="26.42578125" style="160" customWidth="1"/>
    <col min="13317" max="13317" width="22.85546875" style="160" customWidth="1"/>
    <col min="13318" max="13318" width="22.140625" style="160" customWidth="1"/>
    <col min="13319" max="13319" width="12.85546875" style="160" bestFit="1" customWidth="1"/>
    <col min="13320" max="13569" width="11.42578125" style="160"/>
    <col min="13570" max="13570" width="27.85546875" style="160" customWidth="1"/>
    <col min="13571" max="13571" width="21.5703125" style="160" customWidth="1"/>
    <col min="13572" max="13572" width="26.42578125" style="160" customWidth="1"/>
    <col min="13573" max="13573" width="22.85546875" style="160" customWidth="1"/>
    <col min="13574" max="13574" width="22.140625" style="160" customWidth="1"/>
    <col min="13575" max="13575" width="12.85546875" style="160" bestFit="1" customWidth="1"/>
    <col min="13576" max="13825" width="11.42578125" style="160"/>
    <col min="13826" max="13826" width="27.85546875" style="160" customWidth="1"/>
    <col min="13827" max="13827" width="21.5703125" style="160" customWidth="1"/>
    <col min="13828" max="13828" width="26.42578125" style="160" customWidth="1"/>
    <col min="13829" max="13829" width="22.85546875" style="160" customWidth="1"/>
    <col min="13830" max="13830" width="22.140625" style="160" customWidth="1"/>
    <col min="13831" max="13831" width="12.85546875" style="160" bestFit="1" customWidth="1"/>
    <col min="13832" max="14081" width="11.42578125" style="160"/>
    <col min="14082" max="14082" width="27.85546875" style="160" customWidth="1"/>
    <col min="14083" max="14083" width="21.5703125" style="160" customWidth="1"/>
    <col min="14084" max="14084" width="26.42578125" style="160" customWidth="1"/>
    <col min="14085" max="14085" width="22.85546875" style="160" customWidth="1"/>
    <col min="14086" max="14086" width="22.140625" style="160" customWidth="1"/>
    <col min="14087" max="14087" width="12.85546875" style="160" bestFit="1" customWidth="1"/>
    <col min="14088" max="14337" width="11.42578125" style="160"/>
    <col min="14338" max="14338" width="27.85546875" style="160" customWidth="1"/>
    <col min="14339" max="14339" width="21.5703125" style="160" customWidth="1"/>
    <col min="14340" max="14340" width="26.42578125" style="160" customWidth="1"/>
    <col min="14341" max="14341" width="22.85546875" style="160" customWidth="1"/>
    <col min="14342" max="14342" width="22.140625" style="160" customWidth="1"/>
    <col min="14343" max="14343" width="12.85546875" style="160" bestFit="1" customWidth="1"/>
    <col min="14344" max="14593" width="11.42578125" style="160"/>
    <col min="14594" max="14594" width="27.85546875" style="160" customWidth="1"/>
    <col min="14595" max="14595" width="21.5703125" style="160" customWidth="1"/>
    <col min="14596" max="14596" width="26.42578125" style="160" customWidth="1"/>
    <col min="14597" max="14597" width="22.85546875" style="160" customWidth="1"/>
    <col min="14598" max="14598" width="22.140625" style="160" customWidth="1"/>
    <col min="14599" max="14599" width="12.85546875" style="160" bestFit="1" customWidth="1"/>
    <col min="14600" max="14849" width="11.42578125" style="160"/>
    <col min="14850" max="14850" width="27.85546875" style="160" customWidth="1"/>
    <col min="14851" max="14851" width="21.5703125" style="160" customWidth="1"/>
    <col min="14852" max="14852" width="26.42578125" style="160" customWidth="1"/>
    <col min="14853" max="14853" width="22.85546875" style="160" customWidth="1"/>
    <col min="14854" max="14854" width="22.140625" style="160" customWidth="1"/>
    <col min="14855" max="14855" width="12.85546875" style="160" bestFit="1" customWidth="1"/>
    <col min="14856" max="15105" width="11.42578125" style="160"/>
    <col min="15106" max="15106" width="27.85546875" style="160" customWidth="1"/>
    <col min="15107" max="15107" width="21.5703125" style="160" customWidth="1"/>
    <col min="15108" max="15108" width="26.42578125" style="160" customWidth="1"/>
    <col min="15109" max="15109" width="22.85546875" style="160" customWidth="1"/>
    <col min="15110" max="15110" width="22.140625" style="160" customWidth="1"/>
    <col min="15111" max="15111" width="12.85546875" style="160" bestFit="1" customWidth="1"/>
    <col min="15112" max="15361" width="11.42578125" style="160"/>
    <col min="15362" max="15362" width="27.85546875" style="160" customWidth="1"/>
    <col min="15363" max="15363" width="21.5703125" style="160" customWidth="1"/>
    <col min="15364" max="15364" width="26.42578125" style="160" customWidth="1"/>
    <col min="15365" max="15365" width="22.85546875" style="160" customWidth="1"/>
    <col min="15366" max="15366" width="22.140625" style="160" customWidth="1"/>
    <col min="15367" max="15367" width="12.85546875" style="160" bestFit="1" customWidth="1"/>
    <col min="15368" max="15617" width="11.42578125" style="160"/>
    <col min="15618" max="15618" width="27.85546875" style="160" customWidth="1"/>
    <col min="15619" max="15619" width="21.5703125" style="160" customWidth="1"/>
    <col min="15620" max="15620" width="26.42578125" style="160" customWidth="1"/>
    <col min="15621" max="15621" width="22.85546875" style="160" customWidth="1"/>
    <col min="15622" max="15622" width="22.140625" style="160" customWidth="1"/>
    <col min="15623" max="15623" width="12.85546875" style="160" bestFit="1" customWidth="1"/>
    <col min="15624" max="15873" width="11.42578125" style="160"/>
    <col min="15874" max="15874" width="27.85546875" style="160" customWidth="1"/>
    <col min="15875" max="15875" width="21.5703125" style="160" customWidth="1"/>
    <col min="15876" max="15876" width="26.42578125" style="160" customWidth="1"/>
    <col min="15877" max="15877" width="22.85546875" style="160" customWidth="1"/>
    <col min="15878" max="15878" width="22.140625" style="160" customWidth="1"/>
    <col min="15879" max="15879" width="12.85546875" style="160" bestFit="1" customWidth="1"/>
    <col min="15880" max="16129" width="11.42578125" style="160"/>
    <col min="16130" max="16130" width="27.85546875" style="160" customWidth="1"/>
    <col min="16131" max="16131" width="21.5703125" style="160" customWidth="1"/>
    <col min="16132" max="16132" width="26.42578125" style="160" customWidth="1"/>
    <col min="16133" max="16133" width="22.85546875" style="160" customWidth="1"/>
    <col min="16134" max="16134" width="22.140625" style="160" customWidth="1"/>
    <col min="16135" max="16135" width="12.85546875" style="160" bestFit="1" customWidth="1"/>
    <col min="16136" max="16384" width="11.42578125" style="160"/>
  </cols>
  <sheetData>
    <row r="1" spans="2:6" s="151" customFormat="1" ht="81.75" customHeight="1" thickBot="1" x14ac:dyDescent="0.25">
      <c r="B1" s="150" t="s">
        <v>13</v>
      </c>
      <c r="C1" s="150" t="s">
        <v>200</v>
      </c>
      <c r="D1" s="150" t="s">
        <v>201</v>
      </c>
      <c r="E1" s="150" t="s">
        <v>202</v>
      </c>
      <c r="F1" s="150" t="s">
        <v>203</v>
      </c>
    </row>
    <row r="2" spans="2:6" s="151" customFormat="1" ht="15.75" thickBot="1" x14ac:dyDescent="0.25">
      <c r="B2" s="152" t="s">
        <v>204</v>
      </c>
      <c r="C2" s="153">
        <v>60000</v>
      </c>
      <c r="D2" s="154">
        <v>300</v>
      </c>
      <c r="E2" s="154">
        <f>D2*12</f>
        <v>3600</v>
      </c>
      <c r="F2" s="155">
        <f>E2*C2</f>
        <v>216000000</v>
      </c>
    </row>
    <row r="3" spans="2:6" s="151" customFormat="1" ht="18.75" thickBot="1" x14ac:dyDescent="0.3">
      <c r="B3" s="156" t="s">
        <v>205</v>
      </c>
      <c r="C3" s="157"/>
      <c r="D3" s="157"/>
      <c r="E3" s="158"/>
      <c r="F3" s="159">
        <f>SUM(F2:F2)</f>
        <v>216000000</v>
      </c>
    </row>
    <row r="4" spans="2:6" s="151" customFormat="1" ht="15" x14ac:dyDescent="0.2"/>
    <row r="5" spans="2:6" ht="15" x14ac:dyDescent="0.25">
      <c r="F5" s="161">
        <v>892764</v>
      </c>
    </row>
    <row r="7" spans="2:6" x14ac:dyDescent="0.2">
      <c r="F7" s="160">
        <f>F3/F5</f>
        <v>241.94523972740836</v>
      </c>
    </row>
    <row r="8" spans="2:6" x14ac:dyDescent="0.2">
      <c r="F8" s="160">
        <f>1-F7</f>
        <v>-240.94523972740836</v>
      </c>
    </row>
    <row r="9" spans="2:6" x14ac:dyDescent="0.2">
      <c r="F9" s="162">
        <f>F3*27.17%+F3</f>
        <v>274687200</v>
      </c>
    </row>
  </sheetData>
  <mergeCells count="1">
    <mergeCell ref="B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FF62-4E87-4CBD-8975-3BBB0F0D8789}">
  <dimension ref="A1:E9"/>
  <sheetViews>
    <sheetView zoomScale="90" zoomScaleNormal="90" workbookViewId="0">
      <selection activeCell="A4" sqref="A4"/>
    </sheetView>
  </sheetViews>
  <sheetFormatPr baseColWidth="10" defaultRowHeight="12.75" x14ac:dyDescent="0.2"/>
  <cols>
    <col min="1" max="1" width="49" style="73" customWidth="1"/>
    <col min="2" max="2" width="41.140625" style="73" customWidth="1"/>
    <col min="3" max="3" width="15.5703125" style="73" customWidth="1"/>
    <col min="4" max="4" width="17.140625" style="73" customWidth="1"/>
    <col min="5" max="5" width="16.42578125" style="73" customWidth="1"/>
    <col min="6" max="6" width="15.85546875" style="73" customWidth="1"/>
    <col min="7" max="256" width="11.42578125" style="73"/>
    <col min="257" max="257" width="49" style="73" customWidth="1"/>
    <col min="258" max="258" width="41.140625" style="73" customWidth="1"/>
    <col min="259" max="259" width="15.5703125" style="73" customWidth="1"/>
    <col min="260" max="260" width="17.140625" style="73" customWidth="1"/>
    <col min="261" max="261" width="16.42578125" style="73" customWidth="1"/>
    <col min="262" max="262" width="15.85546875" style="73" customWidth="1"/>
    <col min="263" max="512" width="11.42578125" style="73"/>
    <col min="513" max="513" width="49" style="73" customWidth="1"/>
    <col min="514" max="514" width="41.140625" style="73" customWidth="1"/>
    <col min="515" max="515" width="15.5703125" style="73" customWidth="1"/>
    <col min="516" max="516" width="17.140625" style="73" customWidth="1"/>
    <col min="517" max="517" width="16.42578125" style="73" customWidth="1"/>
    <col min="518" max="518" width="15.85546875" style="73" customWidth="1"/>
    <col min="519" max="768" width="11.42578125" style="73"/>
    <col min="769" max="769" width="49" style="73" customWidth="1"/>
    <col min="770" max="770" width="41.140625" style="73" customWidth="1"/>
    <col min="771" max="771" width="15.5703125" style="73" customWidth="1"/>
    <col min="772" max="772" width="17.140625" style="73" customWidth="1"/>
    <col min="773" max="773" width="16.42578125" style="73" customWidth="1"/>
    <col min="774" max="774" width="15.85546875" style="73" customWidth="1"/>
    <col min="775" max="1024" width="11.42578125" style="73"/>
    <col min="1025" max="1025" width="49" style="73" customWidth="1"/>
    <col min="1026" max="1026" width="41.140625" style="73" customWidth="1"/>
    <col min="1027" max="1027" width="15.5703125" style="73" customWidth="1"/>
    <col min="1028" max="1028" width="17.140625" style="73" customWidth="1"/>
    <col min="1029" max="1029" width="16.42578125" style="73" customWidth="1"/>
    <col min="1030" max="1030" width="15.85546875" style="73" customWidth="1"/>
    <col min="1031" max="1280" width="11.42578125" style="73"/>
    <col min="1281" max="1281" width="49" style="73" customWidth="1"/>
    <col min="1282" max="1282" width="41.140625" style="73" customWidth="1"/>
    <col min="1283" max="1283" width="15.5703125" style="73" customWidth="1"/>
    <col min="1284" max="1284" width="17.140625" style="73" customWidth="1"/>
    <col min="1285" max="1285" width="16.42578125" style="73" customWidth="1"/>
    <col min="1286" max="1286" width="15.85546875" style="73" customWidth="1"/>
    <col min="1287" max="1536" width="11.42578125" style="73"/>
    <col min="1537" max="1537" width="49" style="73" customWidth="1"/>
    <col min="1538" max="1538" width="41.140625" style="73" customWidth="1"/>
    <col min="1539" max="1539" width="15.5703125" style="73" customWidth="1"/>
    <col min="1540" max="1540" width="17.140625" style="73" customWidth="1"/>
    <col min="1541" max="1541" width="16.42578125" style="73" customWidth="1"/>
    <col min="1542" max="1542" width="15.85546875" style="73" customWidth="1"/>
    <col min="1543" max="1792" width="11.42578125" style="73"/>
    <col min="1793" max="1793" width="49" style="73" customWidth="1"/>
    <col min="1794" max="1794" width="41.140625" style="73" customWidth="1"/>
    <col min="1795" max="1795" width="15.5703125" style="73" customWidth="1"/>
    <col min="1796" max="1796" width="17.140625" style="73" customWidth="1"/>
    <col min="1797" max="1797" width="16.42578125" style="73" customWidth="1"/>
    <col min="1798" max="1798" width="15.85546875" style="73" customWidth="1"/>
    <col min="1799" max="2048" width="11.42578125" style="73"/>
    <col min="2049" max="2049" width="49" style="73" customWidth="1"/>
    <col min="2050" max="2050" width="41.140625" style="73" customWidth="1"/>
    <col min="2051" max="2051" width="15.5703125" style="73" customWidth="1"/>
    <col min="2052" max="2052" width="17.140625" style="73" customWidth="1"/>
    <col min="2053" max="2053" width="16.42578125" style="73" customWidth="1"/>
    <col min="2054" max="2054" width="15.85546875" style="73" customWidth="1"/>
    <col min="2055" max="2304" width="11.42578125" style="73"/>
    <col min="2305" max="2305" width="49" style="73" customWidth="1"/>
    <col min="2306" max="2306" width="41.140625" style="73" customWidth="1"/>
    <col min="2307" max="2307" width="15.5703125" style="73" customWidth="1"/>
    <col min="2308" max="2308" width="17.140625" style="73" customWidth="1"/>
    <col min="2309" max="2309" width="16.42578125" style="73" customWidth="1"/>
    <col min="2310" max="2310" width="15.85546875" style="73" customWidth="1"/>
    <col min="2311" max="2560" width="11.42578125" style="73"/>
    <col min="2561" max="2561" width="49" style="73" customWidth="1"/>
    <col min="2562" max="2562" width="41.140625" style="73" customWidth="1"/>
    <col min="2563" max="2563" width="15.5703125" style="73" customWidth="1"/>
    <col min="2564" max="2564" width="17.140625" style="73" customWidth="1"/>
    <col min="2565" max="2565" width="16.42578125" style="73" customWidth="1"/>
    <col min="2566" max="2566" width="15.85546875" style="73" customWidth="1"/>
    <col min="2567" max="2816" width="11.42578125" style="73"/>
    <col min="2817" max="2817" width="49" style="73" customWidth="1"/>
    <col min="2818" max="2818" width="41.140625" style="73" customWidth="1"/>
    <col min="2819" max="2819" width="15.5703125" style="73" customWidth="1"/>
    <col min="2820" max="2820" width="17.140625" style="73" customWidth="1"/>
    <col min="2821" max="2821" width="16.42578125" style="73" customWidth="1"/>
    <col min="2822" max="2822" width="15.85546875" style="73" customWidth="1"/>
    <col min="2823" max="3072" width="11.42578125" style="73"/>
    <col min="3073" max="3073" width="49" style="73" customWidth="1"/>
    <col min="3074" max="3074" width="41.140625" style="73" customWidth="1"/>
    <col min="3075" max="3075" width="15.5703125" style="73" customWidth="1"/>
    <col min="3076" max="3076" width="17.140625" style="73" customWidth="1"/>
    <col min="3077" max="3077" width="16.42578125" style="73" customWidth="1"/>
    <col min="3078" max="3078" width="15.85546875" style="73" customWidth="1"/>
    <col min="3079" max="3328" width="11.42578125" style="73"/>
    <col min="3329" max="3329" width="49" style="73" customWidth="1"/>
    <col min="3330" max="3330" width="41.140625" style="73" customWidth="1"/>
    <col min="3331" max="3331" width="15.5703125" style="73" customWidth="1"/>
    <col min="3332" max="3332" width="17.140625" style="73" customWidth="1"/>
    <col min="3333" max="3333" width="16.42578125" style="73" customWidth="1"/>
    <col min="3334" max="3334" width="15.85546875" style="73" customWidth="1"/>
    <col min="3335" max="3584" width="11.42578125" style="73"/>
    <col min="3585" max="3585" width="49" style="73" customWidth="1"/>
    <col min="3586" max="3586" width="41.140625" style="73" customWidth="1"/>
    <col min="3587" max="3587" width="15.5703125" style="73" customWidth="1"/>
    <col min="3588" max="3588" width="17.140625" style="73" customWidth="1"/>
    <col min="3589" max="3589" width="16.42578125" style="73" customWidth="1"/>
    <col min="3590" max="3590" width="15.85546875" style="73" customWidth="1"/>
    <col min="3591" max="3840" width="11.42578125" style="73"/>
    <col min="3841" max="3841" width="49" style="73" customWidth="1"/>
    <col min="3842" max="3842" width="41.140625" style="73" customWidth="1"/>
    <col min="3843" max="3843" width="15.5703125" style="73" customWidth="1"/>
    <col min="3844" max="3844" width="17.140625" style="73" customWidth="1"/>
    <col min="3845" max="3845" width="16.42578125" style="73" customWidth="1"/>
    <col min="3846" max="3846" width="15.85546875" style="73" customWidth="1"/>
    <col min="3847" max="4096" width="11.42578125" style="73"/>
    <col min="4097" max="4097" width="49" style="73" customWidth="1"/>
    <col min="4098" max="4098" width="41.140625" style="73" customWidth="1"/>
    <col min="4099" max="4099" width="15.5703125" style="73" customWidth="1"/>
    <col min="4100" max="4100" width="17.140625" style="73" customWidth="1"/>
    <col min="4101" max="4101" width="16.42578125" style="73" customWidth="1"/>
    <col min="4102" max="4102" width="15.85546875" style="73" customWidth="1"/>
    <col min="4103" max="4352" width="11.42578125" style="73"/>
    <col min="4353" max="4353" width="49" style="73" customWidth="1"/>
    <col min="4354" max="4354" width="41.140625" style="73" customWidth="1"/>
    <col min="4355" max="4355" width="15.5703125" style="73" customWidth="1"/>
    <col min="4356" max="4356" width="17.140625" style="73" customWidth="1"/>
    <col min="4357" max="4357" width="16.42578125" style="73" customWidth="1"/>
    <col min="4358" max="4358" width="15.85546875" style="73" customWidth="1"/>
    <col min="4359" max="4608" width="11.42578125" style="73"/>
    <col min="4609" max="4609" width="49" style="73" customWidth="1"/>
    <col min="4610" max="4610" width="41.140625" style="73" customWidth="1"/>
    <col min="4611" max="4611" width="15.5703125" style="73" customWidth="1"/>
    <col min="4612" max="4612" width="17.140625" style="73" customWidth="1"/>
    <col min="4613" max="4613" width="16.42578125" style="73" customWidth="1"/>
    <col min="4614" max="4614" width="15.85546875" style="73" customWidth="1"/>
    <col min="4615" max="4864" width="11.42578125" style="73"/>
    <col min="4865" max="4865" width="49" style="73" customWidth="1"/>
    <col min="4866" max="4866" width="41.140625" style="73" customWidth="1"/>
    <col min="4867" max="4867" width="15.5703125" style="73" customWidth="1"/>
    <col min="4868" max="4868" width="17.140625" style="73" customWidth="1"/>
    <col min="4869" max="4869" width="16.42578125" style="73" customWidth="1"/>
    <col min="4870" max="4870" width="15.85546875" style="73" customWidth="1"/>
    <col min="4871" max="5120" width="11.42578125" style="73"/>
    <col min="5121" max="5121" width="49" style="73" customWidth="1"/>
    <col min="5122" max="5122" width="41.140625" style="73" customWidth="1"/>
    <col min="5123" max="5123" width="15.5703125" style="73" customWidth="1"/>
    <col min="5124" max="5124" width="17.140625" style="73" customWidth="1"/>
    <col min="5125" max="5125" width="16.42578125" style="73" customWidth="1"/>
    <col min="5126" max="5126" width="15.85546875" style="73" customWidth="1"/>
    <col min="5127" max="5376" width="11.42578125" style="73"/>
    <col min="5377" max="5377" width="49" style="73" customWidth="1"/>
    <col min="5378" max="5378" width="41.140625" style="73" customWidth="1"/>
    <col min="5379" max="5379" width="15.5703125" style="73" customWidth="1"/>
    <col min="5380" max="5380" width="17.140625" style="73" customWidth="1"/>
    <col min="5381" max="5381" width="16.42578125" style="73" customWidth="1"/>
    <col min="5382" max="5382" width="15.85546875" style="73" customWidth="1"/>
    <col min="5383" max="5632" width="11.42578125" style="73"/>
    <col min="5633" max="5633" width="49" style="73" customWidth="1"/>
    <col min="5634" max="5634" width="41.140625" style="73" customWidth="1"/>
    <col min="5635" max="5635" width="15.5703125" style="73" customWidth="1"/>
    <col min="5636" max="5636" width="17.140625" style="73" customWidth="1"/>
    <col min="5637" max="5637" width="16.42578125" style="73" customWidth="1"/>
    <col min="5638" max="5638" width="15.85546875" style="73" customWidth="1"/>
    <col min="5639" max="5888" width="11.42578125" style="73"/>
    <col min="5889" max="5889" width="49" style="73" customWidth="1"/>
    <col min="5890" max="5890" width="41.140625" style="73" customWidth="1"/>
    <col min="5891" max="5891" width="15.5703125" style="73" customWidth="1"/>
    <col min="5892" max="5892" width="17.140625" style="73" customWidth="1"/>
    <col min="5893" max="5893" width="16.42578125" style="73" customWidth="1"/>
    <col min="5894" max="5894" width="15.85546875" style="73" customWidth="1"/>
    <col min="5895" max="6144" width="11.42578125" style="73"/>
    <col min="6145" max="6145" width="49" style="73" customWidth="1"/>
    <col min="6146" max="6146" width="41.140625" style="73" customWidth="1"/>
    <col min="6147" max="6147" width="15.5703125" style="73" customWidth="1"/>
    <col min="6148" max="6148" width="17.140625" style="73" customWidth="1"/>
    <col min="6149" max="6149" width="16.42578125" style="73" customWidth="1"/>
    <col min="6150" max="6150" width="15.85546875" style="73" customWidth="1"/>
    <col min="6151" max="6400" width="11.42578125" style="73"/>
    <col min="6401" max="6401" width="49" style="73" customWidth="1"/>
    <col min="6402" max="6402" width="41.140625" style="73" customWidth="1"/>
    <col min="6403" max="6403" width="15.5703125" style="73" customWidth="1"/>
    <col min="6404" max="6404" width="17.140625" style="73" customWidth="1"/>
    <col min="6405" max="6405" width="16.42578125" style="73" customWidth="1"/>
    <col min="6406" max="6406" width="15.85546875" style="73" customWidth="1"/>
    <col min="6407" max="6656" width="11.42578125" style="73"/>
    <col min="6657" max="6657" width="49" style="73" customWidth="1"/>
    <col min="6658" max="6658" width="41.140625" style="73" customWidth="1"/>
    <col min="6659" max="6659" width="15.5703125" style="73" customWidth="1"/>
    <col min="6660" max="6660" width="17.140625" style="73" customWidth="1"/>
    <col min="6661" max="6661" width="16.42578125" style="73" customWidth="1"/>
    <col min="6662" max="6662" width="15.85546875" style="73" customWidth="1"/>
    <col min="6663" max="6912" width="11.42578125" style="73"/>
    <col min="6913" max="6913" width="49" style="73" customWidth="1"/>
    <col min="6914" max="6914" width="41.140625" style="73" customWidth="1"/>
    <col min="6915" max="6915" width="15.5703125" style="73" customWidth="1"/>
    <col min="6916" max="6916" width="17.140625" style="73" customWidth="1"/>
    <col min="6917" max="6917" width="16.42578125" style="73" customWidth="1"/>
    <col min="6918" max="6918" width="15.85546875" style="73" customWidth="1"/>
    <col min="6919" max="7168" width="11.42578125" style="73"/>
    <col min="7169" max="7169" width="49" style="73" customWidth="1"/>
    <col min="7170" max="7170" width="41.140625" style="73" customWidth="1"/>
    <col min="7171" max="7171" width="15.5703125" style="73" customWidth="1"/>
    <col min="7172" max="7172" width="17.140625" style="73" customWidth="1"/>
    <col min="7173" max="7173" width="16.42578125" style="73" customWidth="1"/>
    <col min="7174" max="7174" width="15.85546875" style="73" customWidth="1"/>
    <col min="7175" max="7424" width="11.42578125" style="73"/>
    <col min="7425" max="7425" width="49" style="73" customWidth="1"/>
    <col min="7426" max="7426" width="41.140625" style="73" customWidth="1"/>
    <col min="7427" max="7427" width="15.5703125" style="73" customWidth="1"/>
    <col min="7428" max="7428" width="17.140625" style="73" customWidth="1"/>
    <col min="7429" max="7429" width="16.42578125" style="73" customWidth="1"/>
    <col min="7430" max="7430" width="15.85546875" style="73" customWidth="1"/>
    <col min="7431" max="7680" width="11.42578125" style="73"/>
    <col min="7681" max="7681" width="49" style="73" customWidth="1"/>
    <col min="7682" max="7682" width="41.140625" style="73" customWidth="1"/>
    <col min="7683" max="7683" width="15.5703125" style="73" customWidth="1"/>
    <col min="7684" max="7684" width="17.140625" style="73" customWidth="1"/>
    <col min="7685" max="7685" width="16.42578125" style="73" customWidth="1"/>
    <col min="7686" max="7686" width="15.85546875" style="73" customWidth="1"/>
    <col min="7687" max="7936" width="11.42578125" style="73"/>
    <col min="7937" max="7937" width="49" style="73" customWidth="1"/>
    <col min="7938" max="7938" width="41.140625" style="73" customWidth="1"/>
    <col min="7939" max="7939" width="15.5703125" style="73" customWidth="1"/>
    <col min="7940" max="7940" width="17.140625" style="73" customWidth="1"/>
    <col min="7941" max="7941" width="16.42578125" style="73" customWidth="1"/>
    <col min="7942" max="7942" width="15.85546875" style="73" customWidth="1"/>
    <col min="7943" max="8192" width="11.42578125" style="73"/>
    <col min="8193" max="8193" width="49" style="73" customWidth="1"/>
    <col min="8194" max="8194" width="41.140625" style="73" customWidth="1"/>
    <col min="8195" max="8195" width="15.5703125" style="73" customWidth="1"/>
    <col min="8196" max="8196" width="17.140625" style="73" customWidth="1"/>
    <col min="8197" max="8197" width="16.42578125" style="73" customWidth="1"/>
    <col min="8198" max="8198" width="15.85546875" style="73" customWidth="1"/>
    <col min="8199" max="8448" width="11.42578125" style="73"/>
    <col min="8449" max="8449" width="49" style="73" customWidth="1"/>
    <col min="8450" max="8450" width="41.140625" style="73" customWidth="1"/>
    <col min="8451" max="8451" width="15.5703125" style="73" customWidth="1"/>
    <col min="8452" max="8452" width="17.140625" style="73" customWidth="1"/>
    <col min="8453" max="8453" width="16.42578125" style="73" customWidth="1"/>
    <col min="8454" max="8454" width="15.85546875" style="73" customWidth="1"/>
    <col min="8455" max="8704" width="11.42578125" style="73"/>
    <col min="8705" max="8705" width="49" style="73" customWidth="1"/>
    <col min="8706" max="8706" width="41.140625" style="73" customWidth="1"/>
    <col min="8707" max="8707" width="15.5703125" style="73" customWidth="1"/>
    <col min="8708" max="8708" width="17.140625" style="73" customWidth="1"/>
    <col min="8709" max="8709" width="16.42578125" style="73" customWidth="1"/>
    <col min="8710" max="8710" width="15.85546875" style="73" customWidth="1"/>
    <col min="8711" max="8960" width="11.42578125" style="73"/>
    <col min="8961" max="8961" width="49" style="73" customWidth="1"/>
    <col min="8962" max="8962" width="41.140625" style="73" customWidth="1"/>
    <col min="8963" max="8963" width="15.5703125" style="73" customWidth="1"/>
    <col min="8964" max="8964" width="17.140625" style="73" customWidth="1"/>
    <col min="8965" max="8965" width="16.42578125" style="73" customWidth="1"/>
    <col min="8966" max="8966" width="15.85546875" style="73" customWidth="1"/>
    <col min="8967" max="9216" width="11.42578125" style="73"/>
    <col min="9217" max="9217" width="49" style="73" customWidth="1"/>
    <col min="9218" max="9218" width="41.140625" style="73" customWidth="1"/>
    <col min="9219" max="9219" width="15.5703125" style="73" customWidth="1"/>
    <col min="9220" max="9220" width="17.140625" style="73" customWidth="1"/>
    <col min="9221" max="9221" width="16.42578125" style="73" customWidth="1"/>
    <col min="9222" max="9222" width="15.85546875" style="73" customWidth="1"/>
    <col min="9223" max="9472" width="11.42578125" style="73"/>
    <col min="9473" max="9473" width="49" style="73" customWidth="1"/>
    <col min="9474" max="9474" width="41.140625" style="73" customWidth="1"/>
    <col min="9475" max="9475" width="15.5703125" style="73" customWidth="1"/>
    <col min="9476" max="9476" width="17.140625" style="73" customWidth="1"/>
    <col min="9477" max="9477" width="16.42578125" style="73" customWidth="1"/>
    <col min="9478" max="9478" width="15.85546875" style="73" customWidth="1"/>
    <col min="9479" max="9728" width="11.42578125" style="73"/>
    <col min="9729" max="9729" width="49" style="73" customWidth="1"/>
    <col min="9730" max="9730" width="41.140625" style="73" customWidth="1"/>
    <col min="9731" max="9731" width="15.5703125" style="73" customWidth="1"/>
    <col min="9732" max="9732" width="17.140625" style="73" customWidth="1"/>
    <col min="9733" max="9733" width="16.42578125" style="73" customWidth="1"/>
    <col min="9734" max="9734" width="15.85546875" style="73" customWidth="1"/>
    <col min="9735" max="9984" width="11.42578125" style="73"/>
    <col min="9985" max="9985" width="49" style="73" customWidth="1"/>
    <col min="9986" max="9986" width="41.140625" style="73" customWidth="1"/>
    <col min="9987" max="9987" width="15.5703125" style="73" customWidth="1"/>
    <col min="9988" max="9988" width="17.140625" style="73" customWidth="1"/>
    <col min="9989" max="9989" width="16.42578125" style="73" customWidth="1"/>
    <col min="9990" max="9990" width="15.85546875" style="73" customWidth="1"/>
    <col min="9991" max="10240" width="11.42578125" style="73"/>
    <col min="10241" max="10241" width="49" style="73" customWidth="1"/>
    <col min="10242" max="10242" width="41.140625" style="73" customWidth="1"/>
    <col min="10243" max="10243" width="15.5703125" style="73" customWidth="1"/>
    <col min="10244" max="10244" width="17.140625" style="73" customWidth="1"/>
    <col min="10245" max="10245" width="16.42578125" style="73" customWidth="1"/>
    <col min="10246" max="10246" width="15.85546875" style="73" customWidth="1"/>
    <col min="10247" max="10496" width="11.42578125" style="73"/>
    <col min="10497" max="10497" width="49" style="73" customWidth="1"/>
    <col min="10498" max="10498" width="41.140625" style="73" customWidth="1"/>
    <col min="10499" max="10499" width="15.5703125" style="73" customWidth="1"/>
    <col min="10500" max="10500" width="17.140625" style="73" customWidth="1"/>
    <col min="10501" max="10501" width="16.42578125" style="73" customWidth="1"/>
    <col min="10502" max="10502" width="15.85546875" style="73" customWidth="1"/>
    <col min="10503" max="10752" width="11.42578125" style="73"/>
    <col min="10753" max="10753" width="49" style="73" customWidth="1"/>
    <col min="10754" max="10754" width="41.140625" style="73" customWidth="1"/>
    <col min="10755" max="10755" width="15.5703125" style="73" customWidth="1"/>
    <col min="10756" max="10756" width="17.140625" style="73" customWidth="1"/>
    <col min="10757" max="10757" width="16.42578125" style="73" customWidth="1"/>
    <col min="10758" max="10758" width="15.85546875" style="73" customWidth="1"/>
    <col min="10759" max="11008" width="11.42578125" style="73"/>
    <col min="11009" max="11009" width="49" style="73" customWidth="1"/>
    <col min="11010" max="11010" width="41.140625" style="73" customWidth="1"/>
    <col min="11011" max="11011" width="15.5703125" style="73" customWidth="1"/>
    <col min="11012" max="11012" width="17.140625" style="73" customWidth="1"/>
    <col min="11013" max="11013" width="16.42578125" style="73" customWidth="1"/>
    <col min="11014" max="11014" width="15.85546875" style="73" customWidth="1"/>
    <col min="11015" max="11264" width="11.42578125" style="73"/>
    <col min="11265" max="11265" width="49" style="73" customWidth="1"/>
    <col min="11266" max="11266" width="41.140625" style="73" customWidth="1"/>
    <col min="11267" max="11267" width="15.5703125" style="73" customWidth="1"/>
    <col min="11268" max="11268" width="17.140625" style="73" customWidth="1"/>
    <col min="11269" max="11269" width="16.42578125" style="73" customWidth="1"/>
    <col min="11270" max="11270" width="15.85546875" style="73" customWidth="1"/>
    <col min="11271" max="11520" width="11.42578125" style="73"/>
    <col min="11521" max="11521" width="49" style="73" customWidth="1"/>
    <col min="11522" max="11522" width="41.140625" style="73" customWidth="1"/>
    <col min="11523" max="11523" width="15.5703125" style="73" customWidth="1"/>
    <col min="11524" max="11524" width="17.140625" style="73" customWidth="1"/>
    <col min="11525" max="11525" width="16.42578125" style="73" customWidth="1"/>
    <col min="11526" max="11526" width="15.85546875" style="73" customWidth="1"/>
    <col min="11527" max="11776" width="11.42578125" style="73"/>
    <col min="11777" max="11777" width="49" style="73" customWidth="1"/>
    <col min="11778" max="11778" width="41.140625" style="73" customWidth="1"/>
    <col min="11779" max="11779" width="15.5703125" style="73" customWidth="1"/>
    <col min="11780" max="11780" width="17.140625" style="73" customWidth="1"/>
    <col min="11781" max="11781" width="16.42578125" style="73" customWidth="1"/>
    <col min="11782" max="11782" width="15.85546875" style="73" customWidth="1"/>
    <col min="11783" max="12032" width="11.42578125" style="73"/>
    <col min="12033" max="12033" width="49" style="73" customWidth="1"/>
    <col min="12034" max="12034" width="41.140625" style="73" customWidth="1"/>
    <col min="12035" max="12035" width="15.5703125" style="73" customWidth="1"/>
    <col min="12036" max="12036" width="17.140625" style="73" customWidth="1"/>
    <col min="12037" max="12037" width="16.42578125" style="73" customWidth="1"/>
    <col min="12038" max="12038" width="15.85546875" style="73" customWidth="1"/>
    <col min="12039" max="12288" width="11.42578125" style="73"/>
    <col min="12289" max="12289" width="49" style="73" customWidth="1"/>
    <col min="12290" max="12290" width="41.140625" style="73" customWidth="1"/>
    <col min="12291" max="12291" width="15.5703125" style="73" customWidth="1"/>
    <col min="12292" max="12292" width="17.140625" style="73" customWidth="1"/>
    <col min="12293" max="12293" width="16.42578125" style="73" customWidth="1"/>
    <col min="12294" max="12294" width="15.85546875" style="73" customWidth="1"/>
    <col min="12295" max="12544" width="11.42578125" style="73"/>
    <col min="12545" max="12545" width="49" style="73" customWidth="1"/>
    <col min="12546" max="12546" width="41.140625" style="73" customWidth="1"/>
    <col min="12547" max="12547" width="15.5703125" style="73" customWidth="1"/>
    <col min="12548" max="12548" width="17.140625" style="73" customWidth="1"/>
    <col min="12549" max="12549" width="16.42578125" style="73" customWidth="1"/>
    <col min="12550" max="12550" width="15.85546875" style="73" customWidth="1"/>
    <col min="12551" max="12800" width="11.42578125" style="73"/>
    <col min="12801" max="12801" width="49" style="73" customWidth="1"/>
    <col min="12802" max="12802" width="41.140625" style="73" customWidth="1"/>
    <col min="12803" max="12803" width="15.5703125" style="73" customWidth="1"/>
    <col min="12804" max="12804" width="17.140625" style="73" customWidth="1"/>
    <col min="12805" max="12805" width="16.42578125" style="73" customWidth="1"/>
    <col min="12806" max="12806" width="15.85546875" style="73" customWidth="1"/>
    <col min="12807" max="13056" width="11.42578125" style="73"/>
    <col min="13057" max="13057" width="49" style="73" customWidth="1"/>
    <col min="13058" max="13058" width="41.140625" style="73" customWidth="1"/>
    <col min="13059" max="13059" width="15.5703125" style="73" customWidth="1"/>
    <col min="13060" max="13060" width="17.140625" style="73" customWidth="1"/>
    <col min="13061" max="13061" width="16.42578125" style="73" customWidth="1"/>
    <col min="13062" max="13062" width="15.85546875" style="73" customWidth="1"/>
    <col min="13063" max="13312" width="11.42578125" style="73"/>
    <col min="13313" max="13313" width="49" style="73" customWidth="1"/>
    <col min="13314" max="13314" width="41.140625" style="73" customWidth="1"/>
    <col min="13315" max="13315" width="15.5703125" style="73" customWidth="1"/>
    <col min="13316" max="13316" width="17.140625" style="73" customWidth="1"/>
    <col min="13317" max="13317" width="16.42578125" style="73" customWidth="1"/>
    <col min="13318" max="13318" width="15.85546875" style="73" customWidth="1"/>
    <col min="13319" max="13568" width="11.42578125" style="73"/>
    <col min="13569" max="13569" width="49" style="73" customWidth="1"/>
    <col min="13570" max="13570" width="41.140625" style="73" customWidth="1"/>
    <col min="13571" max="13571" width="15.5703125" style="73" customWidth="1"/>
    <col min="13572" max="13572" width="17.140625" style="73" customWidth="1"/>
    <col min="13573" max="13573" width="16.42578125" style="73" customWidth="1"/>
    <col min="13574" max="13574" width="15.85546875" style="73" customWidth="1"/>
    <col min="13575" max="13824" width="11.42578125" style="73"/>
    <col min="13825" max="13825" width="49" style="73" customWidth="1"/>
    <col min="13826" max="13826" width="41.140625" style="73" customWidth="1"/>
    <col min="13827" max="13827" width="15.5703125" style="73" customWidth="1"/>
    <col min="13828" max="13828" width="17.140625" style="73" customWidth="1"/>
    <col min="13829" max="13829" width="16.42578125" style="73" customWidth="1"/>
    <col min="13830" max="13830" width="15.85546875" style="73" customWidth="1"/>
    <col min="13831" max="14080" width="11.42578125" style="73"/>
    <col min="14081" max="14081" width="49" style="73" customWidth="1"/>
    <col min="14082" max="14082" width="41.140625" style="73" customWidth="1"/>
    <col min="14083" max="14083" width="15.5703125" style="73" customWidth="1"/>
    <col min="14084" max="14084" width="17.140625" style="73" customWidth="1"/>
    <col min="14085" max="14085" width="16.42578125" style="73" customWidth="1"/>
    <col min="14086" max="14086" width="15.85546875" style="73" customWidth="1"/>
    <col min="14087" max="14336" width="11.42578125" style="73"/>
    <col min="14337" max="14337" width="49" style="73" customWidth="1"/>
    <col min="14338" max="14338" width="41.140625" style="73" customWidth="1"/>
    <col min="14339" max="14339" width="15.5703125" style="73" customWidth="1"/>
    <col min="14340" max="14340" width="17.140625" style="73" customWidth="1"/>
    <col min="14341" max="14341" width="16.42578125" style="73" customWidth="1"/>
    <col min="14342" max="14342" width="15.85546875" style="73" customWidth="1"/>
    <col min="14343" max="14592" width="11.42578125" style="73"/>
    <col min="14593" max="14593" width="49" style="73" customWidth="1"/>
    <col min="14594" max="14594" width="41.140625" style="73" customWidth="1"/>
    <col min="14595" max="14595" width="15.5703125" style="73" customWidth="1"/>
    <col min="14596" max="14596" width="17.140625" style="73" customWidth="1"/>
    <col min="14597" max="14597" width="16.42578125" style="73" customWidth="1"/>
    <col min="14598" max="14598" width="15.85546875" style="73" customWidth="1"/>
    <col min="14599" max="14848" width="11.42578125" style="73"/>
    <col min="14849" max="14849" width="49" style="73" customWidth="1"/>
    <col min="14850" max="14850" width="41.140625" style="73" customWidth="1"/>
    <col min="14851" max="14851" width="15.5703125" style="73" customWidth="1"/>
    <col min="14852" max="14852" width="17.140625" style="73" customWidth="1"/>
    <col min="14853" max="14853" width="16.42578125" style="73" customWidth="1"/>
    <col min="14854" max="14854" width="15.85546875" style="73" customWidth="1"/>
    <col min="14855" max="15104" width="11.42578125" style="73"/>
    <col min="15105" max="15105" width="49" style="73" customWidth="1"/>
    <col min="15106" max="15106" width="41.140625" style="73" customWidth="1"/>
    <col min="15107" max="15107" width="15.5703125" style="73" customWidth="1"/>
    <col min="15108" max="15108" width="17.140625" style="73" customWidth="1"/>
    <col min="15109" max="15109" width="16.42578125" style="73" customWidth="1"/>
    <col min="15110" max="15110" width="15.85546875" style="73" customWidth="1"/>
    <col min="15111" max="15360" width="11.42578125" style="73"/>
    <col min="15361" max="15361" width="49" style="73" customWidth="1"/>
    <col min="15362" max="15362" width="41.140625" style="73" customWidth="1"/>
    <col min="15363" max="15363" width="15.5703125" style="73" customWidth="1"/>
    <col min="15364" max="15364" width="17.140625" style="73" customWidth="1"/>
    <col min="15365" max="15365" width="16.42578125" style="73" customWidth="1"/>
    <col min="15366" max="15366" width="15.85546875" style="73" customWidth="1"/>
    <col min="15367" max="15616" width="11.42578125" style="73"/>
    <col min="15617" max="15617" width="49" style="73" customWidth="1"/>
    <col min="15618" max="15618" width="41.140625" style="73" customWidth="1"/>
    <col min="15619" max="15619" width="15.5703125" style="73" customWidth="1"/>
    <col min="15620" max="15620" width="17.140625" style="73" customWidth="1"/>
    <col min="15621" max="15621" width="16.42578125" style="73" customWidth="1"/>
    <col min="15622" max="15622" width="15.85546875" style="73" customWidth="1"/>
    <col min="15623" max="15872" width="11.42578125" style="73"/>
    <col min="15873" max="15873" width="49" style="73" customWidth="1"/>
    <col min="15874" max="15874" width="41.140625" style="73" customWidth="1"/>
    <col min="15875" max="15875" width="15.5703125" style="73" customWidth="1"/>
    <col min="15876" max="15876" width="17.140625" style="73" customWidth="1"/>
    <col min="15877" max="15877" width="16.42578125" style="73" customWidth="1"/>
    <col min="15878" max="15878" width="15.85546875" style="73" customWidth="1"/>
    <col min="15879" max="16128" width="11.42578125" style="73"/>
    <col min="16129" max="16129" width="49" style="73" customWidth="1"/>
    <col min="16130" max="16130" width="41.140625" style="73" customWidth="1"/>
    <col min="16131" max="16131" width="15.5703125" style="73" customWidth="1"/>
    <col min="16132" max="16132" width="17.140625" style="73" customWidth="1"/>
    <col min="16133" max="16133" width="16.42578125" style="73" customWidth="1"/>
    <col min="16134" max="16134" width="15.85546875" style="73" customWidth="1"/>
    <col min="16135" max="16384" width="11.42578125" style="73"/>
  </cols>
  <sheetData>
    <row r="1" spans="1:5" ht="24" customHeight="1" thickBot="1" x14ac:dyDescent="0.25">
      <c r="A1" s="72" t="s">
        <v>134</v>
      </c>
    </row>
    <row r="2" spans="1:5" ht="36.75" thickBot="1" x14ac:dyDescent="0.25">
      <c r="A2" s="74" t="s">
        <v>135</v>
      </c>
      <c r="B2" s="74" t="s">
        <v>136</v>
      </c>
      <c r="C2" s="74" t="s">
        <v>137</v>
      </c>
      <c r="D2" s="74" t="s">
        <v>138</v>
      </c>
      <c r="E2" s="74" t="s">
        <v>139</v>
      </c>
    </row>
    <row r="3" spans="1:5" ht="18.75" thickBot="1" x14ac:dyDescent="0.25">
      <c r="A3" s="75" t="s">
        <v>140</v>
      </c>
      <c r="B3" s="76"/>
      <c r="C3" s="76"/>
      <c r="D3" s="76"/>
      <c r="E3" s="76"/>
    </row>
    <row r="4" spans="1:5" ht="15.75" thickBot="1" x14ac:dyDescent="0.25">
      <c r="A4" s="77" t="s">
        <v>140</v>
      </c>
      <c r="B4" s="77"/>
      <c r="C4" s="78">
        <v>1</v>
      </c>
      <c r="D4" s="79">
        <v>250000</v>
      </c>
      <c r="E4" s="79">
        <f>C4*D4</f>
        <v>250000</v>
      </c>
    </row>
    <row r="5" spans="1:5" ht="16.5" thickBot="1" x14ac:dyDescent="0.25">
      <c r="A5" s="80" t="s">
        <v>141</v>
      </c>
      <c r="B5" s="81"/>
      <c r="C5" s="82"/>
      <c r="D5" s="83"/>
      <c r="E5" s="83">
        <f>E4</f>
        <v>250000</v>
      </c>
    </row>
    <row r="6" spans="1:5" ht="14.25" customHeight="1" thickBot="1" x14ac:dyDescent="0.25">
      <c r="A6" s="75" t="s">
        <v>142</v>
      </c>
      <c r="B6" s="84"/>
      <c r="C6" s="85"/>
      <c r="D6" s="79"/>
      <c r="E6" s="79">
        <f t="shared" ref="E6:E7" si="0">C6*D6</f>
        <v>0</v>
      </c>
    </row>
    <row r="7" spans="1:5" ht="58.5" customHeight="1" thickBot="1" x14ac:dyDescent="0.25">
      <c r="A7" s="77" t="s">
        <v>142</v>
      </c>
      <c r="B7" s="84"/>
      <c r="C7" s="85">
        <v>1</v>
      </c>
      <c r="D7" s="79">
        <v>0</v>
      </c>
      <c r="E7" s="79">
        <f t="shared" si="0"/>
        <v>0</v>
      </c>
    </row>
    <row r="8" spans="1:5" ht="16.5" thickBot="1" x14ac:dyDescent="0.25">
      <c r="A8" s="80" t="s">
        <v>143</v>
      </c>
      <c r="B8" s="81"/>
      <c r="C8" s="82"/>
      <c r="D8" s="83"/>
      <c r="E8" s="83">
        <f>E7</f>
        <v>0</v>
      </c>
    </row>
    <row r="9" spans="1:5" ht="51.75" thickBot="1" x14ac:dyDescent="0.25">
      <c r="A9" s="86" t="s">
        <v>144</v>
      </c>
      <c r="B9" s="87" t="s">
        <v>145</v>
      </c>
      <c r="C9" s="88"/>
      <c r="D9" s="89"/>
      <c r="E9" s="90">
        <f>+SUM(E8+E5)</f>
        <v>250000</v>
      </c>
    </row>
  </sheetData>
  <mergeCells count="1">
    <mergeCell ref="C9:D9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32FD-2866-409E-8971-F83AA8D14A5A}">
  <dimension ref="A1:J13"/>
  <sheetViews>
    <sheetView workbookViewId="0">
      <selection activeCell="E5" sqref="E5"/>
    </sheetView>
  </sheetViews>
  <sheetFormatPr baseColWidth="10" defaultRowHeight="12.75" x14ac:dyDescent="0.2"/>
  <cols>
    <col min="1" max="1" width="40.5703125" style="73" customWidth="1"/>
    <col min="2" max="2" width="16.5703125" style="73" customWidth="1"/>
    <col min="3" max="3" width="9.42578125" style="73" customWidth="1"/>
    <col min="4" max="4" width="15.42578125" style="73" customWidth="1"/>
    <col min="5" max="9" width="15" style="73" customWidth="1"/>
    <col min="10" max="10" width="15.5703125" style="73" customWidth="1"/>
    <col min="11" max="256" width="11.42578125" style="73"/>
    <col min="257" max="257" width="40.5703125" style="73" customWidth="1"/>
    <col min="258" max="258" width="16.5703125" style="73" customWidth="1"/>
    <col min="259" max="259" width="9.42578125" style="73" customWidth="1"/>
    <col min="260" max="260" width="15.42578125" style="73" customWidth="1"/>
    <col min="261" max="265" width="15" style="73" customWidth="1"/>
    <col min="266" max="266" width="15.5703125" style="73" customWidth="1"/>
    <col min="267" max="512" width="11.42578125" style="73"/>
    <col min="513" max="513" width="40.5703125" style="73" customWidth="1"/>
    <col min="514" max="514" width="16.5703125" style="73" customWidth="1"/>
    <col min="515" max="515" width="9.42578125" style="73" customWidth="1"/>
    <col min="516" max="516" width="15.42578125" style="73" customWidth="1"/>
    <col min="517" max="521" width="15" style="73" customWidth="1"/>
    <col min="522" max="522" width="15.5703125" style="73" customWidth="1"/>
    <col min="523" max="768" width="11.42578125" style="73"/>
    <col min="769" max="769" width="40.5703125" style="73" customWidth="1"/>
    <col min="770" max="770" width="16.5703125" style="73" customWidth="1"/>
    <col min="771" max="771" width="9.42578125" style="73" customWidth="1"/>
    <col min="772" max="772" width="15.42578125" style="73" customWidth="1"/>
    <col min="773" max="777" width="15" style="73" customWidth="1"/>
    <col min="778" max="778" width="15.5703125" style="73" customWidth="1"/>
    <col min="779" max="1024" width="11.42578125" style="73"/>
    <col min="1025" max="1025" width="40.5703125" style="73" customWidth="1"/>
    <col min="1026" max="1026" width="16.5703125" style="73" customWidth="1"/>
    <col min="1027" max="1027" width="9.42578125" style="73" customWidth="1"/>
    <col min="1028" max="1028" width="15.42578125" style="73" customWidth="1"/>
    <col min="1029" max="1033" width="15" style="73" customWidth="1"/>
    <col min="1034" max="1034" width="15.5703125" style="73" customWidth="1"/>
    <col min="1035" max="1280" width="11.42578125" style="73"/>
    <col min="1281" max="1281" width="40.5703125" style="73" customWidth="1"/>
    <col min="1282" max="1282" width="16.5703125" style="73" customWidth="1"/>
    <col min="1283" max="1283" width="9.42578125" style="73" customWidth="1"/>
    <col min="1284" max="1284" width="15.42578125" style="73" customWidth="1"/>
    <col min="1285" max="1289" width="15" style="73" customWidth="1"/>
    <col min="1290" max="1290" width="15.5703125" style="73" customWidth="1"/>
    <col min="1291" max="1536" width="11.42578125" style="73"/>
    <col min="1537" max="1537" width="40.5703125" style="73" customWidth="1"/>
    <col min="1538" max="1538" width="16.5703125" style="73" customWidth="1"/>
    <col min="1539" max="1539" width="9.42578125" style="73" customWidth="1"/>
    <col min="1540" max="1540" width="15.42578125" style="73" customWidth="1"/>
    <col min="1541" max="1545" width="15" style="73" customWidth="1"/>
    <col min="1546" max="1546" width="15.5703125" style="73" customWidth="1"/>
    <col min="1547" max="1792" width="11.42578125" style="73"/>
    <col min="1793" max="1793" width="40.5703125" style="73" customWidth="1"/>
    <col min="1794" max="1794" width="16.5703125" style="73" customWidth="1"/>
    <col min="1795" max="1795" width="9.42578125" style="73" customWidth="1"/>
    <col min="1796" max="1796" width="15.42578125" style="73" customWidth="1"/>
    <col min="1797" max="1801" width="15" style="73" customWidth="1"/>
    <col min="1802" max="1802" width="15.5703125" style="73" customWidth="1"/>
    <col min="1803" max="2048" width="11.42578125" style="73"/>
    <col min="2049" max="2049" width="40.5703125" style="73" customWidth="1"/>
    <col min="2050" max="2050" width="16.5703125" style="73" customWidth="1"/>
    <col min="2051" max="2051" width="9.42578125" style="73" customWidth="1"/>
    <col min="2052" max="2052" width="15.42578125" style="73" customWidth="1"/>
    <col min="2053" max="2057" width="15" style="73" customWidth="1"/>
    <col min="2058" max="2058" width="15.5703125" style="73" customWidth="1"/>
    <col min="2059" max="2304" width="11.42578125" style="73"/>
    <col min="2305" max="2305" width="40.5703125" style="73" customWidth="1"/>
    <col min="2306" max="2306" width="16.5703125" style="73" customWidth="1"/>
    <col min="2307" max="2307" width="9.42578125" style="73" customWidth="1"/>
    <col min="2308" max="2308" width="15.42578125" style="73" customWidth="1"/>
    <col min="2309" max="2313" width="15" style="73" customWidth="1"/>
    <col min="2314" max="2314" width="15.5703125" style="73" customWidth="1"/>
    <col min="2315" max="2560" width="11.42578125" style="73"/>
    <col min="2561" max="2561" width="40.5703125" style="73" customWidth="1"/>
    <col min="2562" max="2562" width="16.5703125" style="73" customWidth="1"/>
    <col min="2563" max="2563" width="9.42578125" style="73" customWidth="1"/>
    <col min="2564" max="2564" width="15.42578125" style="73" customWidth="1"/>
    <col min="2565" max="2569" width="15" style="73" customWidth="1"/>
    <col min="2570" max="2570" width="15.5703125" style="73" customWidth="1"/>
    <col min="2571" max="2816" width="11.42578125" style="73"/>
    <col min="2817" max="2817" width="40.5703125" style="73" customWidth="1"/>
    <col min="2818" max="2818" width="16.5703125" style="73" customWidth="1"/>
    <col min="2819" max="2819" width="9.42578125" style="73" customWidth="1"/>
    <col min="2820" max="2820" width="15.42578125" style="73" customWidth="1"/>
    <col min="2821" max="2825" width="15" style="73" customWidth="1"/>
    <col min="2826" max="2826" width="15.5703125" style="73" customWidth="1"/>
    <col min="2827" max="3072" width="11.42578125" style="73"/>
    <col min="3073" max="3073" width="40.5703125" style="73" customWidth="1"/>
    <col min="3074" max="3074" width="16.5703125" style="73" customWidth="1"/>
    <col min="3075" max="3075" width="9.42578125" style="73" customWidth="1"/>
    <col min="3076" max="3076" width="15.42578125" style="73" customWidth="1"/>
    <col min="3077" max="3081" width="15" style="73" customWidth="1"/>
    <col min="3082" max="3082" width="15.5703125" style="73" customWidth="1"/>
    <col min="3083" max="3328" width="11.42578125" style="73"/>
    <col min="3329" max="3329" width="40.5703125" style="73" customWidth="1"/>
    <col min="3330" max="3330" width="16.5703125" style="73" customWidth="1"/>
    <col min="3331" max="3331" width="9.42578125" style="73" customWidth="1"/>
    <col min="3332" max="3332" width="15.42578125" style="73" customWidth="1"/>
    <col min="3333" max="3337" width="15" style="73" customWidth="1"/>
    <col min="3338" max="3338" width="15.5703125" style="73" customWidth="1"/>
    <col min="3339" max="3584" width="11.42578125" style="73"/>
    <col min="3585" max="3585" width="40.5703125" style="73" customWidth="1"/>
    <col min="3586" max="3586" width="16.5703125" style="73" customWidth="1"/>
    <col min="3587" max="3587" width="9.42578125" style="73" customWidth="1"/>
    <col min="3588" max="3588" width="15.42578125" style="73" customWidth="1"/>
    <col min="3589" max="3593" width="15" style="73" customWidth="1"/>
    <col min="3594" max="3594" width="15.5703125" style="73" customWidth="1"/>
    <col min="3595" max="3840" width="11.42578125" style="73"/>
    <col min="3841" max="3841" width="40.5703125" style="73" customWidth="1"/>
    <col min="3842" max="3842" width="16.5703125" style="73" customWidth="1"/>
    <col min="3843" max="3843" width="9.42578125" style="73" customWidth="1"/>
    <col min="3844" max="3844" width="15.42578125" style="73" customWidth="1"/>
    <col min="3845" max="3849" width="15" style="73" customWidth="1"/>
    <col min="3850" max="3850" width="15.5703125" style="73" customWidth="1"/>
    <col min="3851" max="4096" width="11.42578125" style="73"/>
    <col min="4097" max="4097" width="40.5703125" style="73" customWidth="1"/>
    <col min="4098" max="4098" width="16.5703125" style="73" customWidth="1"/>
    <col min="4099" max="4099" width="9.42578125" style="73" customWidth="1"/>
    <col min="4100" max="4100" width="15.42578125" style="73" customWidth="1"/>
    <col min="4101" max="4105" width="15" style="73" customWidth="1"/>
    <col min="4106" max="4106" width="15.5703125" style="73" customWidth="1"/>
    <col min="4107" max="4352" width="11.42578125" style="73"/>
    <col min="4353" max="4353" width="40.5703125" style="73" customWidth="1"/>
    <col min="4354" max="4354" width="16.5703125" style="73" customWidth="1"/>
    <col min="4355" max="4355" width="9.42578125" style="73" customWidth="1"/>
    <col min="4356" max="4356" width="15.42578125" style="73" customWidth="1"/>
    <col min="4357" max="4361" width="15" style="73" customWidth="1"/>
    <col min="4362" max="4362" width="15.5703125" style="73" customWidth="1"/>
    <col min="4363" max="4608" width="11.42578125" style="73"/>
    <col min="4609" max="4609" width="40.5703125" style="73" customWidth="1"/>
    <col min="4610" max="4610" width="16.5703125" style="73" customWidth="1"/>
    <col min="4611" max="4611" width="9.42578125" style="73" customWidth="1"/>
    <col min="4612" max="4612" width="15.42578125" style="73" customWidth="1"/>
    <col min="4613" max="4617" width="15" style="73" customWidth="1"/>
    <col min="4618" max="4618" width="15.5703125" style="73" customWidth="1"/>
    <col min="4619" max="4864" width="11.42578125" style="73"/>
    <col min="4865" max="4865" width="40.5703125" style="73" customWidth="1"/>
    <col min="4866" max="4866" width="16.5703125" style="73" customWidth="1"/>
    <col min="4867" max="4867" width="9.42578125" style="73" customWidth="1"/>
    <col min="4868" max="4868" width="15.42578125" style="73" customWidth="1"/>
    <col min="4869" max="4873" width="15" style="73" customWidth="1"/>
    <col min="4874" max="4874" width="15.5703125" style="73" customWidth="1"/>
    <col min="4875" max="5120" width="11.42578125" style="73"/>
    <col min="5121" max="5121" width="40.5703125" style="73" customWidth="1"/>
    <col min="5122" max="5122" width="16.5703125" style="73" customWidth="1"/>
    <col min="5123" max="5123" width="9.42578125" style="73" customWidth="1"/>
    <col min="5124" max="5124" width="15.42578125" style="73" customWidth="1"/>
    <col min="5125" max="5129" width="15" style="73" customWidth="1"/>
    <col min="5130" max="5130" width="15.5703125" style="73" customWidth="1"/>
    <col min="5131" max="5376" width="11.42578125" style="73"/>
    <col min="5377" max="5377" width="40.5703125" style="73" customWidth="1"/>
    <col min="5378" max="5378" width="16.5703125" style="73" customWidth="1"/>
    <col min="5379" max="5379" width="9.42578125" style="73" customWidth="1"/>
    <col min="5380" max="5380" width="15.42578125" style="73" customWidth="1"/>
    <col min="5381" max="5385" width="15" style="73" customWidth="1"/>
    <col min="5386" max="5386" width="15.5703125" style="73" customWidth="1"/>
    <col min="5387" max="5632" width="11.42578125" style="73"/>
    <col min="5633" max="5633" width="40.5703125" style="73" customWidth="1"/>
    <col min="5634" max="5634" width="16.5703125" style="73" customWidth="1"/>
    <col min="5635" max="5635" width="9.42578125" style="73" customWidth="1"/>
    <col min="5636" max="5636" width="15.42578125" style="73" customWidth="1"/>
    <col min="5637" max="5641" width="15" style="73" customWidth="1"/>
    <col min="5642" max="5642" width="15.5703125" style="73" customWidth="1"/>
    <col min="5643" max="5888" width="11.42578125" style="73"/>
    <col min="5889" max="5889" width="40.5703125" style="73" customWidth="1"/>
    <col min="5890" max="5890" width="16.5703125" style="73" customWidth="1"/>
    <col min="5891" max="5891" width="9.42578125" style="73" customWidth="1"/>
    <col min="5892" max="5892" width="15.42578125" style="73" customWidth="1"/>
    <col min="5893" max="5897" width="15" style="73" customWidth="1"/>
    <col min="5898" max="5898" width="15.5703125" style="73" customWidth="1"/>
    <col min="5899" max="6144" width="11.42578125" style="73"/>
    <col min="6145" max="6145" width="40.5703125" style="73" customWidth="1"/>
    <col min="6146" max="6146" width="16.5703125" style="73" customWidth="1"/>
    <col min="6147" max="6147" width="9.42578125" style="73" customWidth="1"/>
    <col min="6148" max="6148" width="15.42578125" style="73" customWidth="1"/>
    <col min="6149" max="6153" width="15" style="73" customWidth="1"/>
    <col min="6154" max="6154" width="15.5703125" style="73" customWidth="1"/>
    <col min="6155" max="6400" width="11.42578125" style="73"/>
    <col min="6401" max="6401" width="40.5703125" style="73" customWidth="1"/>
    <col min="6402" max="6402" width="16.5703125" style="73" customWidth="1"/>
    <col min="6403" max="6403" width="9.42578125" style="73" customWidth="1"/>
    <col min="6404" max="6404" width="15.42578125" style="73" customWidth="1"/>
    <col min="6405" max="6409" width="15" style="73" customWidth="1"/>
    <col min="6410" max="6410" width="15.5703125" style="73" customWidth="1"/>
    <col min="6411" max="6656" width="11.42578125" style="73"/>
    <col min="6657" max="6657" width="40.5703125" style="73" customWidth="1"/>
    <col min="6658" max="6658" width="16.5703125" style="73" customWidth="1"/>
    <col min="6659" max="6659" width="9.42578125" style="73" customWidth="1"/>
    <col min="6660" max="6660" width="15.42578125" style="73" customWidth="1"/>
    <col min="6661" max="6665" width="15" style="73" customWidth="1"/>
    <col min="6666" max="6666" width="15.5703125" style="73" customWidth="1"/>
    <col min="6667" max="6912" width="11.42578125" style="73"/>
    <col min="6913" max="6913" width="40.5703125" style="73" customWidth="1"/>
    <col min="6914" max="6914" width="16.5703125" style="73" customWidth="1"/>
    <col min="6915" max="6915" width="9.42578125" style="73" customWidth="1"/>
    <col min="6916" max="6916" width="15.42578125" style="73" customWidth="1"/>
    <col min="6917" max="6921" width="15" style="73" customWidth="1"/>
    <col min="6922" max="6922" width="15.5703125" style="73" customWidth="1"/>
    <col min="6923" max="7168" width="11.42578125" style="73"/>
    <col min="7169" max="7169" width="40.5703125" style="73" customWidth="1"/>
    <col min="7170" max="7170" width="16.5703125" style="73" customWidth="1"/>
    <col min="7171" max="7171" width="9.42578125" style="73" customWidth="1"/>
    <col min="7172" max="7172" width="15.42578125" style="73" customWidth="1"/>
    <col min="7173" max="7177" width="15" style="73" customWidth="1"/>
    <col min="7178" max="7178" width="15.5703125" style="73" customWidth="1"/>
    <col min="7179" max="7424" width="11.42578125" style="73"/>
    <col min="7425" max="7425" width="40.5703125" style="73" customWidth="1"/>
    <col min="7426" max="7426" width="16.5703125" style="73" customWidth="1"/>
    <col min="7427" max="7427" width="9.42578125" style="73" customWidth="1"/>
    <col min="7428" max="7428" width="15.42578125" style="73" customWidth="1"/>
    <col min="7429" max="7433" width="15" style="73" customWidth="1"/>
    <col min="7434" max="7434" width="15.5703125" style="73" customWidth="1"/>
    <col min="7435" max="7680" width="11.42578125" style="73"/>
    <col min="7681" max="7681" width="40.5703125" style="73" customWidth="1"/>
    <col min="7682" max="7682" width="16.5703125" style="73" customWidth="1"/>
    <col min="7683" max="7683" width="9.42578125" style="73" customWidth="1"/>
    <col min="7684" max="7684" width="15.42578125" style="73" customWidth="1"/>
    <col min="7685" max="7689" width="15" style="73" customWidth="1"/>
    <col min="7690" max="7690" width="15.5703125" style="73" customWidth="1"/>
    <col min="7691" max="7936" width="11.42578125" style="73"/>
    <col min="7937" max="7937" width="40.5703125" style="73" customWidth="1"/>
    <col min="7938" max="7938" width="16.5703125" style="73" customWidth="1"/>
    <col min="7939" max="7939" width="9.42578125" style="73" customWidth="1"/>
    <col min="7940" max="7940" width="15.42578125" style="73" customWidth="1"/>
    <col min="7941" max="7945" width="15" style="73" customWidth="1"/>
    <col min="7946" max="7946" width="15.5703125" style="73" customWidth="1"/>
    <col min="7947" max="8192" width="11.42578125" style="73"/>
    <col min="8193" max="8193" width="40.5703125" style="73" customWidth="1"/>
    <col min="8194" max="8194" width="16.5703125" style="73" customWidth="1"/>
    <col min="8195" max="8195" width="9.42578125" style="73" customWidth="1"/>
    <col min="8196" max="8196" width="15.42578125" style="73" customWidth="1"/>
    <col min="8197" max="8201" width="15" style="73" customWidth="1"/>
    <col min="8202" max="8202" width="15.5703125" style="73" customWidth="1"/>
    <col min="8203" max="8448" width="11.42578125" style="73"/>
    <col min="8449" max="8449" width="40.5703125" style="73" customWidth="1"/>
    <col min="8450" max="8450" width="16.5703125" style="73" customWidth="1"/>
    <col min="8451" max="8451" width="9.42578125" style="73" customWidth="1"/>
    <col min="8452" max="8452" width="15.42578125" style="73" customWidth="1"/>
    <col min="8453" max="8457" width="15" style="73" customWidth="1"/>
    <col min="8458" max="8458" width="15.5703125" style="73" customWidth="1"/>
    <col min="8459" max="8704" width="11.42578125" style="73"/>
    <col min="8705" max="8705" width="40.5703125" style="73" customWidth="1"/>
    <col min="8706" max="8706" width="16.5703125" style="73" customWidth="1"/>
    <col min="8707" max="8707" width="9.42578125" style="73" customWidth="1"/>
    <col min="8708" max="8708" width="15.42578125" style="73" customWidth="1"/>
    <col min="8709" max="8713" width="15" style="73" customWidth="1"/>
    <col min="8714" max="8714" width="15.5703125" style="73" customWidth="1"/>
    <col min="8715" max="8960" width="11.42578125" style="73"/>
    <col min="8961" max="8961" width="40.5703125" style="73" customWidth="1"/>
    <col min="8962" max="8962" width="16.5703125" style="73" customWidth="1"/>
    <col min="8963" max="8963" width="9.42578125" style="73" customWidth="1"/>
    <col min="8964" max="8964" width="15.42578125" style="73" customWidth="1"/>
    <col min="8965" max="8969" width="15" style="73" customWidth="1"/>
    <col min="8970" max="8970" width="15.5703125" style="73" customWidth="1"/>
    <col min="8971" max="9216" width="11.42578125" style="73"/>
    <col min="9217" max="9217" width="40.5703125" style="73" customWidth="1"/>
    <col min="9218" max="9218" width="16.5703125" style="73" customWidth="1"/>
    <col min="9219" max="9219" width="9.42578125" style="73" customWidth="1"/>
    <col min="9220" max="9220" width="15.42578125" style="73" customWidth="1"/>
    <col min="9221" max="9225" width="15" style="73" customWidth="1"/>
    <col min="9226" max="9226" width="15.5703125" style="73" customWidth="1"/>
    <col min="9227" max="9472" width="11.42578125" style="73"/>
    <col min="9473" max="9473" width="40.5703125" style="73" customWidth="1"/>
    <col min="9474" max="9474" width="16.5703125" style="73" customWidth="1"/>
    <col min="9475" max="9475" width="9.42578125" style="73" customWidth="1"/>
    <col min="9476" max="9476" width="15.42578125" style="73" customWidth="1"/>
    <col min="9477" max="9481" width="15" style="73" customWidth="1"/>
    <col min="9482" max="9482" width="15.5703125" style="73" customWidth="1"/>
    <col min="9483" max="9728" width="11.42578125" style="73"/>
    <col min="9729" max="9729" width="40.5703125" style="73" customWidth="1"/>
    <col min="9730" max="9730" width="16.5703125" style="73" customWidth="1"/>
    <col min="9731" max="9731" width="9.42578125" style="73" customWidth="1"/>
    <col min="9732" max="9732" width="15.42578125" style="73" customWidth="1"/>
    <col min="9733" max="9737" width="15" style="73" customWidth="1"/>
    <col min="9738" max="9738" width="15.5703125" style="73" customWidth="1"/>
    <col min="9739" max="9984" width="11.42578125" style="73"/>
    <col min="9985" max="9985" width="40.5703125" style="73" customWidth="1"/>
    <col min="9986" max="9986" width="16.5703125" style="73" customWidth="1"/>
    <col min="9987" max="9987" width="9.42578125" style="73" customWidth="1"/>
    <col min="9988" max="9988" width="15.42578125" style="73" customWidth="1"/>
    <col min="9989" max="9993" width="15" style="73" customWidth="1"/>
    <col min="9994" max="9994" width="15.5703125" style="73" customWidth="1"/>
    <col min="9995" max="10240" width="11.42578125" style="73"/>
    <col min="10241" max="10241" width="40.5703125" style="73" customWidth="1"/>
    <col min="10242" max="10242" width="16.5703125" style="73" customWidth="1"/>
    <col min="10243" max="10243" width="9.42578125" style="73" customWidth="1"/>
    <col min="10244" max="10244" width="15.42578125" style="73" customWidth="1"/>
    <col min="10245" max="10249" width="15" style="73" customWidth="1"/>
    <col min="10250" max="10250" width="15.5703125" style="73" customWidth="1"/>
    <col min="10251" max="10496" width="11.42578125" style="73"/>
    <col min="10497" max="10497" width="40.5703125" style="73" customWidth="1"/>
    <col min="10498" max="10498" width="16.5703125" style="73" customWidth="1"/>
    <col min="10499" max="10499" width="9.42578125" style="73" customWidth="1"/>
    <col min="10500" max="10500" width="15.42578125" style="73" customWidth="1"/>
    <col min="10501" max="10505" width="15" style="73" customWidth="1"/>
    <col min="10506" max="10506" width="15.5703125" style="73" customWidth="1"/>
    <col min="10507" max="10752" width="11.42578125" style="73"/>
    <col min="10753" max="10753" width="40.5703125" style="73" customWidth="1"/>
    <col min="10754" max="10754" width="16.5703125" style="73" customWidth="1"/>
    <col min="10755" max="10755" width="9.42578125" style="73" customWidth="1"/>
    <col min="10756" max="10756" width="15.42578125" style="73" customWidth="1"/>
    <col min="10757" max="10761" width="15" style="73" customWidth="1"/>
    <col min="10762" max="10762" width="15.5703125" style="73" customWidth="1"/>
    <col min="10763" max="11008" width="11.42578125" style="73"/>
    <col min="11009" max="11009" width="40.5703125" style="73" customWidth="1"/>
    <col min="11010" max="11010" width="16.5703125" style="73" customWidth="1"/>
    <col min="11011" max="11011" width="9.42578125" style="73" customWidth="1"/>
    <col min="11012" max="11012" width="15.42578125" style="73" customWidth="1"/>
    <col min="11013" max="11017" width="15" style="73" customWidth="1"/>
    <col min="11018" max="11018" width="15.5703125" style="73" customWidth="1"/>
    <col min="11019" max="11264" width="11.42578125" style="73"/>
    <col min="11265" max="11265" width="40.5703125" style="73" customWidth="1"/>
    <col min="11266" max="11266" width="16.5703125" style="73" customWidth="1"/>
    <col min="11267" max="11267" width="9.42578125" style="73" customWidth="1"/>
    <col min="11268" max="11268" width="15.42578125" style="73" customWidth="1"/>
    <col min="11269" max="11273" width="15" style="73" customWidth="1"/>
    <col min="11274" max="11274" width="15.5703125" style="73" customWidth="1"/>
    <col min="11275" max="11520" width="11.42578125" style="73"/>
    <col min="11521" max="11521" width="40.5703125" style="73" customWidth="1"/>
    <col min="11522" max="11522" width="16.5703125" style="73" customWidth="1"/>
    <col min="11523" max="11523" width="9.42578125" style="73" customWidth="1"/>
    <col min="11524" max="11524" width="15.42578125" style="73" customWidth="1"/>
    <col min="11525" max="11529" width="15" style="73" customWidth="1"/>
    <col min="11530" max="11530" width="15.5703125" style="73" customWidth="1"/>
    <col min="11531" max="11776" width="11.42578125" style="73"/>
    <col min="11777" max="11777" width="40.5703125" style="73" customWidth="1"/>
    <col min="11778" max="11778" width="16.5703125" style="73" customWidth="1"/>
    <col min="11779" max="11779" width="9.42578125" style="73" customWidth="1"/>
    <col min="11780" max="11780" width="15.42578125" style="73" customWidth="1"/>
    <col min="11781" max="11785" width="15" style="73" customWidth="1"/>
    <col min="11786" max="11786" width="15.5703125" style="73" customWidth="1"/>
    <col min="11787" max="12032" width="11.42578125" style="73"/>
    <col min="12033" max="12033" width="40.5703125" style="73" customWidth="1"/>
    <col min="12034" max="12034" width="16.5703125" style="73" customWidth="1"/>
    <col min="12035" max="12035" width="9.42578125" style="73" customWidth="1"/>
    <col min="12036" max="12036" width="15.42578125" style="73" customWidth="1"/>
    <col min="12037" max="12041" width="15" style="73" customWidth="1"/>
    <col min="12042" max="12042" width="15.5703125" style="73" customWidth="1"/>
    <col min="12043" max="12288" width="11.42578125" style="73"/>
    <col min="12289" max="12289" width="40.5703125" style="73" customWidth="1"/>
    <col min="12290" max="12290" width="16.5703125" style="73" customWidth="1"/>
    <col min="12291" max="12291" width="9.42578125" style="73" customWidth="1"/>
    <col min="12292" max="12292" width="15.42578125" style="73" customWidth="1"/>
    <col min="12293" max="12297" width="15" style="73" customWidth="1"/>
    <col min="12298" max="12298" width="15.5703125" style="73" customWidth="1"/>
    <col min="12299" max="12544" width="11.42578125" style="73"/>
    <col min="12545" max="12545" width="40.5703125" style="73" customWidth="1"/>
    <col min="12546" max="12546" width="16.5703125" style="73" customWidth="1"/>
    <col min="12547" max="12547" width="9.42578125" style="73" customWidth="1"/>
    <col min="12548" max="12548" width="15.42578125" style="73" customWidth="1"/>
    <col min="12549" max="12553" width="15" style="73" customWidth="1"/>
    <col min="12554" max="12554" width="15.5703125" style="73" customWidth="1"/>
    <col min="12555" max="12800" width="11.42578125" style="73"/>
    <col min="12801" max="12801" width="40.5703125" style="73" customWidth="1"/>
    <col min="12802" max="12802" width="16.5703125" style="73" customWidth="1"/>
    <col min="12803" max="12803" width="9.42578125" style="73" customWidth="1"/>
    <col min="12804" max="12804" width="15.42578125" style="73" customWidth="1"/>
    <col min="12805" max="12809" width="15" style="73" customWidth="1"/>
    <col min="12810" max="12810" width="15.5703125" style="73" customWidth="1"/>
    <col min="12811" max="13056" width="11.42578125" style="73"/>
    <col min="13057" max="13057" width="40.5703125" style="73" customWidth="1"/>
    <col min="13058" max="13058" width="16.5703125" style="73" customWidth="1"/>
    <col min="13059" max="13059" width="9.42578125" style="73" customWidth="1"/>
    <col min="13060" max="13060" width="15.42578125" style="73" customWidth="1"/>
    <col min="13061" max="13065" width="15" style="73" customWidth="1"/>
    <col min="13066" max="13066" width="15.5703125" style="73" customWidth="1"/>
    <col min="13067" max="13312" width="11.42578125" style="73"/>
    <col min="13313" max="13313" width="40.5703125" style="73" customWidth="1"/>
    <col min="13314" max="13314" width="16.5703125" style="73" customWidth="1"/>
    <col min="13315" max="13315" width="9.42578125" style="73" customWidth="1"/>
    <col min="13316" max="13316" width="15.42578125" style="73" customWidth="1"/>
    <col min="13317" max="13321" width="15" style="73" customWidth="1"/>
    <col min="13322" max="13322" width="15.5703125" style="73" customWidth="1"/>
    <col min="13323" max="13568" width="11.42578125" style="73"/>
    <col min="13569" max="13569" width="40.5703125" style="73" customWidth="1"/>
    <col min="13570" max="13570" width="16.5703125" style="73" customWidth="1"/>
    <col min="13571" max="13571" width="9.42578125" style="73" customWidth="1"/>
    <col min="13572" max="13572" width="15.42578125" style="73" customWidth="1"/>
    <col min="13573" max="13577" width="15" style="73" customWidth="1"/>
    <col min="13578" max="13578" width="15.5703125" style="73" customWidth="1"/>
    <col min="13579" max="13824" width="11.42578125" style="73"/>
    <col min="13825" max="13825" width="40.5703125" style="73" customWidth="1"/>
    <col min="13826" max="13826" width="16.5703125" style="73" customWidth="1"/>
    <col min="13827" max="13827" width="9.42578125" style="73" customWidth="1"/>
    <col min="13828" max="13828" width="15.42578125" style="73" customWidth="1"/>
    <col min="13829" max="13833" width="15" style="73" customWidth="1"/>
    <col min="13834" max="13834" width="15.5703125" style="73" customWidth="1"/>
    <col min="13835" max="14080" width="11.42578125" style="73"/>
    <col min="14081" max="14081" width="40.5703125" style="73" customWidth="1"/>
    <col min="14082" max="14082" width="16.5703125" style="73" customWidth="1"/>
    <col min="14083" max="14083" width="9.42578125" style="73" customWidth="1"/>
    <col min="14084" max="14084" width="15.42578125" style="73" customWidth="1"/>
    <col min="14085" max="14089" width="15" style="73" customWidth="1"/>
    <col min="14090" max="14090" width="15.5703125" style="73" customWidth="1"/>
    <col min="14091" max="14336" width="11.42578125" style="73"/>
    <col min="14337" max="14337" width="40.5703125" style="73" customWidth="1"/>
    <col min="14338" max="14338" width="16.5703125" style="73" customWidth="1"/>
    <col min="14339" max="14339" width="9.42578125" style="73" customWidth="1"/>
    <col min="14340" max="14340" width="15.42578125" style="73" customWidth="1"/>
    <col min="14341" max="14345" width="15" style="73" customWidth="1"/>
    <col min="14346" max="14346" width="15.5703125" style="73" customWidth="1"/>
    <col min="14347" max="14592" width="11.42578125" style="73"/>
    <col min="14593" max="14593" width="40.5703125" style="73" customWidth="1"/>
    <col min="14594" max="14594" width="16.5703125" style="73" customWidth="1"/>
    <col min="14595" max="14595" width="9.42578125" style="73" customWidth="1"/>
    <col min="14596" max="14596" width="15.42578125" style="73" customWidth="1"/>
    <col min="14597" max="14601" width="15" style="73" customWidth="1"/>
    <col min="14602" max="14602" width="15.5703125" style="73" customWidth="1"/>
    <col min="14603" max="14848" width="11.42578125" style="73"/>
    <col min="14849" max="14849" width="40.5703125" style="73" customWidth="1"/>
    <col min="14850" max="14850" width="16.5703125" style="73" customWidth="1"/>
    <col min="14851" max="14851" width="9.42578125" style="73" customWidth="1"/>
    <col min="14852" max="14852" width="15.42578125" style="73" customWidth="1"/>
    <col min="14853" max="14857" width="15" style="73" customWidth="1"/>
    <col min="14858" max="14858" width="15.5703125" style="73" customWidth="1"/>
    <col min="14859" max="15104" width="11.42578125" style="73"/>
    <col min="15105" max="15105" width="40.5703125" style="73" customWidth="1"/>
    <col min="15106" max="15106" width="16.5703125" style="73" customWidth="1"/>
    <col min="15107" max="15107" width="9.42578125" style="73" customWidth="1"/>
    <col min="15108" max="15108" width="15.42578125" style="73" customWidth="1"/>
    <col min="15109" max="15113" width="15" style="73" customWidth="1"/>
    <col min="15114" max="15114" width="15.5703125" style="73" customWidth="1"/>
    <col min="15115" max="15360" width="11.42578125" style="73"/>
    <col min="15361" max="15361" width="40.5703125" style="73" customWidth="1"/>
    <col min="15362" max="15362" width="16.5703125" style="73" customWidth="1"/>
    <col min="15363" max="15363" width="9.42578125" style="73" customWidth="1"/>
    <col min="15364" max="15364" width="15.42578125" style="73" customWidth="1"/>
    <col min="15365" max="15369" width="15" style="73" customWidth="1"/>
    <col min="15370" max="15370" width="15.5703125" style="73" customWidth="1"/>
    <col min="15371" max="15616" width="11.42578125" style="73"/>
    <col min="15617" max="15617" width="40.5703125" style="73" customWidth="1"/>
    <col min="15618" max="15618" width="16.5703125" style="73" customWidth="1"/>
    <col min="15619" max="15619" width="9.42578125" style="73" customWidth="1"/>
    <col min="15620" max="15620" width="15.42578125" style="73" customWidth="1"/>
    <col min="15621" max="15625" width="15" style="73" customWidth="1"/>
    <col min="15626" max="15626" width="15.5703125" style="73" customWidth="1"/>
    <col min="15627" max="15872" width="11.42578125" style="73"/>
    <col min="15873" max="15873" width="40.5703125" style="73" customWidth="1"/>
    <col min="15874" max="15874" width="16.5703125" style="73" customWidth="1"/>
    <col min="15875" max="15875" width="9.42578125" style="73" customWidth="1"/>
    <col min="15876" max="15876" width="15.42578125" style="73" customWidth="1"/>
    <col min="15877" max="15881" width="15" style="73" customWidth="1"/>
    <col min="15882" max="15882" width="15.5703125" style="73" customWidth="1"/>
    <col min="15883" max="16128" width="11.42578125" style="73"/>
    <col min="16129" max="16129" width="40.5703125" style="73" customWidth="1"/>
    <col min="16130" max="16130" width="16.5703125" style="73" customWidth="1"/>
    <col min="16131" max="16131" width="9.42578125" style="73" customWidth="1"/>
    <col min="16132" max="16132" width="15.42578125" style="73" customWidth="1"/>
    <col min="16133" max="16137" width="15" style="73" customWidth="1"/>
    <col min="16138" max="16138" width="15.5703125" style="73" customWidth="1"/>
    <col min="16139" max="16384" width="11.42578125" style="73"/>
  </cols>
  <sheetData>
    <row r="1" spans="1:10" ht="32.25" customHeight="1" thickBot="1" x14ac:dyDescent="0.25">
      <c r="A1" s="91" t="s">
        <v>146</v>
      </c>
      <c r="B1" s="92" t="s">
        <v>147</v>
      </c>
      <c r="C1" s="92" t="s">
        <v>148</v>
      </c>
      <c r="D1" s="92" t="s">
        <v>149</v>
      </c>
      <c r="E1" s="93" t="s">
        <v>150</v>
      </c>
      <c r="F1" s="94"/>
      <c r="G1" s="94"/>
      <c r="H1" s="94"/>
      <c r="I1" s="95"/>
      <c r="J1" s="91" t="s">
        <v>151</v>
      </c>
    </row>
    <row r="2" spans="1:10" ht="90" customHeight="1" thickBot="1" x14ac:dyDescent="0.25">
      <c r="A2" s="96"/>
      <c r="B2" s="97"/>
      <c r="C2" s="97"/>
      <c r="D2" s="97"/>
      <c r="E2" s="98" t="s">
        <v>152</v>
      </c>
      <c r="F2" s="98" t="s">
        <v>153</v>
      </c>
      <c r="G2" s="98" t="s">
        <v>154</v>
      </c>
      <c r="H2" s="98" t="s">
        <v>155</v>
      </c>
      <c r="I2" s="98" t="s">
        <v>156</v>
      </c>
      <c r="J2" s="96"/>
    </row>
    <row r="3" spans="1:10" ht="29.25" customHeight="1" thickBot="1" x14ac:dyDescent="0.25">
      <c r="A3" s="99" t="str">
        <f>+'[1]PRESUPUESTO ACTIVOS FIJOS'!A3</f>
        <v>Equipos de Producción</v>
      </c>
      <c r="B3" s="100">
        <f>+'[1]PRESUPUESTO ACTIVOS FIJOS'!E5</f>
        <v>250000</v>
      </c>
      <c r="C3" s="101">
        <v>5</v>
      </c>
      <c r="D3" s="102">
        <v>0.1</v>
      </c>
      <c r="E3" s="103">
        <f>B3/C3</f>
        <v>50000</v>
      </c>
      <c r="F3" s="103">
        <f>E3</f>
        <v>50000</v>
      </c>
      <c r="G3" s="103">
        <f>F3</f>
        <v>50000</v>
      </c>
      <c r="H3" s="103">
        <f>G3</f>
        <v>50000</v>
      </c>
      <c r="I3" s="103">
        <f>H3</f>
        <v>50000</v>
      </c>
      <c r="J3" s="100">
        <f t="shared" ref="J3:J4" si="0">B3-E3-F3-G3-H3-I3</f>
        <v>0</v>
      </c>
    </row>
    <row r="4" spans="1:10" ht="29.25" customHeight="1" thickBot="1" x14ac:dyDescent="0.25">
      <c r="A4" s="84" t="str">
        <f>'[3]PRESUPUESTO ACTIVOS FIJOS'!$A$16</f>
        <v>EQUIPO DE OFICINA</v>
      </c>
      <c r="B4" s="100">
        <f>'[1]PRESUPUESTO ACTIVOS FIJOS'!E8</f>
        <v>0</v>
      </c>
      <c r="C4" s="101">
        <v>10</v>
      </c>
      <c r="D4" s="102">
        <v>0.1</v>
      </c>
      <c r="E4" s="103">
        <f>B4/C4</f>
        <v>0</v>
      </c>
      <c r="F4" s="103">
        <f t="shared" ref="F4:I4" si="1">E4</f>
        <v>0</v>
      </c>
      <c r="G4" s="103">
        <f t="shared" si="1"/>
        <v>0</v>
      </c>
      <c r="H4" s="103">
        <f t="shared" si="1"/>
        <v>0</v>
      </c>
      <c r="I4" s="103">
        <f t="shared" si="1"/>
        <v>0</v>
      </c>
      <c r="J4" s="100">
        <f t="shared" si="0"/>
        <v>0</v>
      </c>
    </row>
    <row r="5" spans="1:10" ht="29.25" customHeight="1" thickBot="1" x14ac:dyDescent="0.25">
      <c r="A5" s="104" t="s">
        <v>157</v>
      </c>
      <c r="B5" s="105"/>
      <c r="C5" s="105"/>
      <c r="D5" s="106"/>
      <c r="E5" s="107">
        <f>SUM(E3:E4)</f>
        <v>50000</v>
      </c>
      <c r="F5" s="107">
        <f>SUM(F3:F4)</f>
        <v>50000</v>
      </c>
      <c r="G5" s="107">
        <f>SUM(G3:G4)</f>
        <v>50000</v>
      </c>
      <c r="H5" s="107">
        <f>SUM(H3:H4)</f>
        <v>50000</v>
      </c>
      <c r="I5" s="107">
        <f>SUM(I3:I4)</f>
        <v>50000</v>
      </c>
      <c r="J5" s="107">
        <f>SUM(J3:J4)</f>
        <v>0</v>
      </c>
    </row>
    <row r="7" spans="1:10" ht="15" x14ac:dyDescent="0.2">
      <c r="C7" s="108"/>
    </row>
    <row r="13" spans="1:10" x14ac:dyDescent="0.2">
      <c r="B13" s="109" t="e">
        <f>#REF!*1.5%</f>
        <v>#REF!</v>
      </c>
      <c r="C13" s="110"/>
    </row>
  </sheetData>
  <mergeCells count="7">
    <mergeCell ref="A5:D5"/>
    <mergeCell ref="A1:A2"/>
    <mergeCell ref="B1:B2"/>
    <mergeCell ref="C1:C2"/>
    <mergeCell ref="D1:D2"/>
    <mergeCell ref="E1:I1"/>
    <mergeCell ref="J1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E25C-DBC8-4FD2-8F02-5E830957E681}">
  <dimension ref="A1:J8"/>
  <sheetViews>
    <sheetView workbookViewId="0">
      <selection activeCell="B10" sqref="B10:G27"/>
    </sheetView>
  </sheetViews>
  <sheetFormatPr baseColWidth="10" defaultRowHeight="12.75" x14ac:dyDescent="0.2"/>
  <cols>
    <col min="1" max="1" width="11.42578125" style="73"/>
    <col min="2" max="2" width="12.28515625" style="73" customWidth="1"/>
    <col min="3" max="3" width="20.85546875" style="73" customWidth="1"/>
    <col min="4" max="4" width="21.85546875" style="73" customWidth="1"/>
    <col min="5" max="5" width="19.7109375" style="73" customWidth="1"/>
    <col min="6" max="7" width="20.140625" style="73" customWidth="1"/>
    <col min="8" max="257" width="11.42578125" style="73"/>
    <col min="258" max="258" width="12.28515625" style="73" customWidth="1"/>
    <col min="259" max="259" width="20.85546875" style="73" customWidth="1"/>
    <col min="260" max="260" width="21.85546875" style="73" customWidth="1"/>
    <col min="261" max="261" width="19.7109375" style="73" customWidth="1"/>
    <col min="262" max="263" width="20.140625" style="73" customWidth="1"/>
    <col min="264" max="513" width="11.42578125" style="73"/>
    <col min="514" max="514" width="12.28515625" style="73" customWidth="1"/>
    <col min="515" max="515" width="20.85546875" style="73" customWidth="1"/>
    <col min="516" max="516" width="21.85546875" style="73" customWidth="1"/>
    <col min="517" max="517" width="19.7109375" style="73" customWidth="1"/>
    <col min="518" max="519" width="20.140625" style="73" customWidth="1"/>
    <col min="520" max="769" width="11.42578125" style="73"/>
    <col min="770" max="770" width="12.28515625" style="73" customWidth="1"/>
    <col min="771" max="771" width="20.85546875" style="73" customWidth="1"/>
    <col min="772" max="772" width="21.85546875" style="73" customWidth="1"/>
    <col min="773" max="773" width="19.7109375" style="73" customWidth="1"/>
    <col min="774" max="775" width="20.140625" style="73" customWidth="1"/>
    <col min="776" max="1025" width="11.42578125" style="73"/>
    <col min="1026" max="1026" width="12.28515625" style="73" customWidth="1"/>
    <col min="1027" max="1027" width="20.85546875" style="73" customWidth="1"/>
    <col min="1028" max="1028" width="21.85546875" style="73" customWidth="1"/>
    <col min="1029" max="1029" width="19.7109375" style="73" customWidth="1"/>
    <col min="1030" max="1031" width="20.140625" style="73" customWidth="1"/>
    <col min="1032" max="1281" width="11.42578125" style="73"/>
    <col min="1282" max="1282" width="12.28515625" style="73" customWidth="1"/>
    <col min="1283" max="1283" width="20.85546875" style="73" customWidth="1"/>
    <col min="1284" max="1284" width="21.85546875" style="73" customWidth="1"/>
    <col min="1285" max="1285" width="19.7109375" style="73" customWidth="1"/>
    <col min="1286" max="1287" width="20.140625" style="73" customWidth="1"/>
    <col min="1288" max="1537" width="11.42578125" style="73"/>
    <col min="1538" max="1538" width="12.28515625" style="73" customWidth="1"/>
    <col min="1539" max="1539" width="20.85546875" style="73" customWidth="1"/>
    <col min="1540" max="1540" width="21.85546875" style="73" customWidth="1"/>
    <col min="1541" max="1541" width="19.7109375" style="73" customWidth="1"/>
    <col min="1542" max="1543" width="20.140625" style="73" customWidth="1"/>
    <col min="1544" max="1793" width="11.42578125" style="73"/>
    <col min="1794" max="1794" width="12.28515625" style="73" customWidth="1"/>
    <col min="1795" max="1795" width="20.85546875" style="73" customWidth="1"/>
    <col min="1796" max="1796" width="21.85546875" style="73" customWidth="1"/>
    <col min="1797" max="1797" width="19.7109375" style="73" customWidth="1"/>
    <col min="1798" max="1799" width="20.140625" style="73" customWidth="1"/>
    <col min="1800" max="2049" width="11.42578125" style="73"/>
    <col min="2050" max="2050" width="12.28515625" style="73" customWidth="1"/>
    <col min="2051" max="2051" width="20.85546875" style="73" customWidth="1"/>
    <col min="2052" max="2052" width="21.85546875" style="73" customWidth="1"/>
    <col min="2053" max="2053" width="19.7109375" style="73" customWidth="1"/>
    <col min="2054" max="2055" width="20.140625" style="73" customWidth="1"/>
    <col min="2056" max="2305" width="11.42578125" style="73"/>
    <col min="2306" max="2306" width="12.28515625" style="73" customWidth="1"/>
    <col min="2307" max="2307" width="20.85546875" style="73" customWidth="1"/>
    <col min="2308" max="2308" width="21.85546875" style="73" customWidth="1"/>
    <col min="2309" max="2309" width="19.7109375" style="73" customWidth="1"/>
    <col min="2310" max="2311" width="20.140625" style="73" customWidth="1"/>
    <col min="2312" max="2561" width="11.42578125" style="73"/>
    <col min="2562" max="2562" width="12.28515625" style="73" customWidth="1"/>
    <col min="2563" max="2563" width="20.85546875" style="73" customWidth="1"/>
    <col min="2564" max="2564" width="21.85546875" style="73" customWidth="1"/>
    <col min="2565" max="2565" width="19.7109375" style="73" customWidth="1"/>
    <col min="2566" max="2567" width="20.140625" style="73" customWidth="1"/>
    <col min="2568" max="2817" width="11.42578125" style="73"/>
    <col min="2818" max="2818" width="12.28515625" style="73" customWidth="1"/>
    <col min="2819" max="2819" width="20.85546875" style="73" customWidth="1"/>
    <col min="2820" max="2820" width="21.85546875" style="73" customWidth="1"/>
    <col min="2821" max="2821" width="19.7109375" style="73" customWidth="1"/>
    <col min="2822" max="2823" width="20.140625" style="73" customWidth="1"/>
    <col min="2824" max="3073" width="11.42578125" style="73"/>
    <col min="3074" max="3074" width="12.28515625" style="73" customWidth="1"/>
    <col min="3075" max="3075" width="20.85546875" style="73" customWidth="1"/>
    <col min="3076" max="3076" width="21.85546875" style="73" customWidth="1"/>
    <col min="3077" max="3077" width="19.7109375" style="73" customWidth="1"/>
    <col min="3078" max="3079" width="20.140625" style="73" customWidth="1"/>
    <col min="3080" max="3329" width="11.42578125" style="73"/>
    <col min="3330" max="3330" width="12.28515625" style="73" customWidth="1"/>
    <col min="3331" max="3331" width="20.85546875" style="73" customWidth="1"/>
    <col min="3332" max="3332" width="21.85546875" style="73" customWidth="1"/>
    <col min="3333" max="3333" width="19.7109375" style="73" customWidth="1"/>
    <col min="3334" max="3335" width="20.140625" style="73" customWidth="1"/>
    <col min="3336" max="3585" width="11.42578125" style="73"/>
    <col min="3586" max="3586" width="12.28515625" style="73" customWidth="1"/>
    <col min="3587" max="3587" width="20.85546875" style="73" customWidth="1"/>
    <col min="3588" max="3588" width="21.85546875" style="73" customWidth="1"/>
    <col min="3589" max="3589" width="19.7109375" style="73" customWidth="1"/>
    <col min="3590" max="3591" width="20.140625" style="73" customWidth="1"/>
    <col min="3592" max="3841" width="11.42578125" style="73"/>
    <col min="3842" max="3842" width="12.28515625" style="73" customWidth="1"/>
    <col min="3843" max="3843" width="20.85546875" style="73" customWidth="1"/>
    <col min="3844" max="3844" width="21.85546875" style="73" customWidth="1"/>
    <col min="3845" max="3845" width="19.7109375" style="73" customWidth="1"/>
    <col min="3846" max="3847" width="20.140625" style="73" customWidth="1"/>
    <col min="3848" max="4097" width="11.42578125" style="73"/>
    <col min="4098" max="4098" width="12.28515625" style="73" customWidth="1"/>
    <col min="4099" max="4099" width="20.85546875" style="73" customWidth="1"/>
    <col min="4100" max="4100" width="21.85546875" style="73" customWidth="1"/>
    <col min="4101" max="4101" width="19.7109375" style="73" customWidth="1"/>
    <col min="4102" max="4103" width="20.140625" style="73" customWidth="1"/>
    <col min="4104" max="4353" width="11.42578125" style="73"/>
    <col min="4354" max="4354" width="12.28515625" style="73" customWidth="1"/>
    <col min="4355" max="4355" width="20.85546875" style="73" customWidth="1"/>
    <col min="4356" max="4356" width="21.85546875" style="73" customWidth="1"/>
    <col min="4357" max="4357" width="19.7109375" style="73" customWidth="1"/>
    <col min="4358" max="4359" width="20.140625" style="73" customWidth="1"/>
    <col min="4360" max="4609" width="11.42578125" style="73"/>
    <col min="4610" max="4610" width="12.28515625" style="73" customWidth="1"/>
    <col min="4611" max="4611" width="20.85546875" style="73" customWidth="1"/>
    <col min="4612" max="4612" width="21.85546875" style="73" customWidth="1"/>
    <col min="4613" max="4613" width="19.7109375" style="73" customWidth="1"/>
    <col min="4614" max="4615" width="20.140625" style="73" customWidth="1"/>
    <col min="4616" max="4865" width="11.42578125" style="73"/>
    <col min="4866" max="4866" width="12.28515625" style="73" customWidth="1"/>
    <col min="4867" max="4867" width="20.85546875" style="73" customWidth="1"/>
    <col min="4868" max="4868" width="21.85546875" style="73" customWidth="1"/>
    <col min="4869" max="4869" width="19.7109375" style="73" customWidth="1"/>
    <col min="4870" max="4871" width="20.140625" style="73" customWidth="1"/>
    <col min="4872" max="5121" width="11.42578125" style="73"/>
    <col min="5122" max="5122" width="12.28515625" style="73" customWidth="1"/>
    <col min="5123" max="5123" width="20.85546875" style="73" customWidth="1"/>
    <col min="5124" max="5124" width="21.85546875" style="73" customWidth="1"/>
    <col min="5125" max="5125" width="19.7109375" style="73" customWidth="1"/>
    <col min="5126" max="5127" width="20.140625" style="73" customWidth="1"/>
    <col min="5128" max="5377" width="11.42578125" style="73"/>
    <col min="5378" max="5378" width="12.28515625" style="73" customWidth="1"/>
    <col min="5379" max="5379" width="20.85546875" style="73" customWidth="1"/>
    <col min="5380" max="5380" width="21.85546875" style="73" customWidth="1"/>
    <col min="5381" max="5381" width="19.7109375" style="73" customWidth="1"/>
    <col min="5382" max="5383" width="20.140625" style="73" customWidth="1"/>
    <col min="5384" max="5633" width="11.42578125" style="73"/>
    <col min="5634" max="5634" width="12.28515625" style="73" customWidth="1"/>
    <col min="5635" max="5635" width="20.85546875" style="73" customWidth="1"/>
    <col min="5636" max="5636" width="21.85546875" style="73" customWidth="1"/>
    <col min="5637" max="5637" width="19.7109375" style="73" customWidth="1"/>
    <col min="5638" max="5639" width="20.140625" style="73" customWidth="1"/>
    <col min="5640" max="5889" width="11.42578125" style="73"/>
    <col min="5890" max="5890" width="12.28515625" style="73" customWidth="1"/>
    <col min="5891" max="5891" width="20.85546875" style="73" customWidth="1"/>
    <col min="5892" max="5892" width="21.85546875" style="73" customWidth="1"/>
    <col min="5893" max="5893" width="19.7109375" style="73" customWidth="1"/>
    <col min="5894" max="5895" width="20.140625" style="73" customWidth="1"/>
    <col min="5896" max="6145" width="11.42578125" style="73"/>
    <col min="6146" max="6146" width="12.28515625" style="73" customWidth="1"/>
    <col min="6147" max="6147" width="20.85546875" style="73" customWidth="1"/>
    <col min="6148" max="6148" width="21.85546875" style="73" customWidth="1"/>
    <col min="6149" max="6149" width="19.7109375" style="73" customWidth="1"/>
    <col min="6150" max="6151" width="20.140625" style="73" customWidth="1"/>
    <col min="6152" max="6401" width="11.42578125" style="73"/>
    <col min="6402" max="6402" width="12.28515625" style="73" customWidth="1"/>
    <col min="6403" max="6403" width="20.85546875" style="73" customWidth="1"/>
    <col min="6404" max="6404" width="21.85546875" style="73" customWidth="1"/>
    <col min="6405" max="6405" width="19.7109375" style="73" customWidth="1"/>
    <col min="6406" max="6407" width="20.140625" style="73" customWidth="1"/>
    <col min="6408" max="6657" width="11.42578125" style="73"/>
    <col min="6658" max="6658" width="12.28515625" style="73" customWidth="1"/>
    <col min="6659" max="6659" width="20.85546875" style="73" customWidth="1"/>
    <col min="6660" max="6660" width="21.85546875" style="73" customWidth="1"/>
    <col min="6661" max="6661" width="19.7109375" style="73" customWidth="1"/>
    <col min="6662" max="6663" width="20.140625" style="73" customWidth="1"/>
    <col min="6664" max="6913" width="11.42578125" style="73"/>
    <col min="6914" max="6914" width="12.28515625" style="73" customWidth="1"/>
    <col min="6915" max="6915" width="20.85546875" style="73" customWidth="1"/>
    <col min="6916" max="6916" width="21.85546875" style="73" customWidth="1"/>
    <col min="6917" max="6917" width="19.7109375" style="73" customWidth="1"/>
    <col min="6918" max="6919" width="20.140625" style="73" customWidth="1"/>
    <col min="6920" max="7169" width="11.42578125" style="73"/>
    <col min="7170" max="7170" width="12.28515625" style="73" customWidth="1"/>
    <col min="7171" max="7171" width="20.85546875" style="73" customWidth="1"/>
    <col min="7172" max="7172" width="21.85546875" style="73" customWidth="1"/>
    <col min="7173" max="7173" width="19.7109375" style="73" customWidth="1"/>
    <col min="7174" max="7175" width="20.140625" style="73" customWidth="1"/>
    <col min="7176" max="7425" width="11.42578125" style="73"/>
    <col min="7426" max="7426" width="12.28515625" style="73" customWidth="1"/>
    <col min="7427" max="7427" width="20.85546875" style="73" customWidth="1"/>
    <col min="7428" max="7428" width="21.85546875" style="73" customWidth="1"/>
    <col min="7429" max="7429" width="19.7109375" style="73" customWidth="1"/>
    <col min="7430" max="7431" width="20.140625" style="73" customWidth="1"/>
    <col min="7432" max="7681" width="11.42578125" style="73"/>
    <col min="7682" max="7682" width="12.28515625" style="73" customWidth="1"/>
    <col min="7683" max="7683" width="20.85546875" style="73" customWidth="1"/>
    <col min="7684" max="7684" width="21.85546875" style="73" customWidth="1"/>
    <col min="7685" max="7685" width="19.7109375" style="73" customWidth="1"/>
    <col min="7686" max="7687" width="20.140625" style="73" customWidth="1"/>
    <col min="7688" max="7937" width="11.42578125" style="73"/>
    <col min="7938" max="7938" width="12.28515625" style="73" customWidth="1"/>
    <col min="7939" max="7939" width="20.85546875" style="73" customWidth="1"/>
    <col min="7940" max="7940" width="21.85546875" style="73" customWidth="1"/>
    <col min="7941" max="7941" width="19.7109375" style="73" customWidth="1"/>
    <col min="7942" max="7943" width="20.140625" style="73" customWidth="1"/>
    <col min="7944" max="8193" width="11.42578125" style="73"/>
    <col min="8194" max="8194" width="12.28515625" style="73" customWidth="1"/>
    <col min="8195" max="8195" width="20.85546875" style="73" customWidth="1"/>
    <col min="8196" max="8196" width="21.85546875" style="73" customWidth="1"/>
    <col min="8197" max="8197" width="19.7109375" style="73" customWidth="1"/>
    <col min="8198" max="8199" width="20.140625" style="73" customWidth="1"/>
    <col min="8200" max="8449" width="11.42578125" style="73"/>
    <col min="8450" max="8450" width="12.28515625" style="73" customWidth="1"/>
    <col min="8451" max="8451" width="20.85546875" style="73" customWidth="1"/>
    <col min="8452" max="8452" width="21.85546875" style="73" customWidth="1"/>
    <col min="8453" max="8453" width="19.7109375" style="73" customWidth="1"/>
    <col min="8454" max="8455" width="20.140625" style="73" customWidth="1"/>
    <col min="8456" max="8705" width="11.42578125" style="73"/>
    <col min="8706" max="8706" width="12.28515625" style="73" customWidth="1"/>
    <col min="8707" max="8707" width="20.85546875" style="73" customWidth="1"/>
    <col min="8708" max="8708" width="21.85546875" style="73" customWidth="1"/>
    <col min="8709" max="8709" width="19.7109375" style="73" customWidth="1"/>
    <col min="8710" max="8711" width="20.140625" style="73" customWidth="1"/>
    <col min="8712" max="8961" width="11.42578125" style="73"/>
    <col min="8962" max="8962" width="12.28515625" style="73" customWidth="1"/>
    <col min="8963" max="8963" width="20.85546875" style="73" customWidth="1"/>
    <col min="8964" max="8964" width="21.85546875" style="73" customWidth="1"/>
    <col min="8965" max="8965" width="19.7109375" style="73" customWidth="1"/>
    <col min="8966" max="8967" width="20.140625" style="73" customWidth="1"/>
    <col min="8968" max="9217" width="11.42578125" style="73"/>
    <col min="9218" max="9218" width="12.28515625" style="73" customWidth="1"/>
    <col min="9219" max="9219" width="20.85546875" style="73" customWidth="1"/>
    <col min="9220" max="9220" width="21.85546875" style="73" customWidth="1"/>
    <col min="9221" max="9221" width="19.7109375" style="73" customWidth="1"/>
    <col min="9222" max="9223" width="20.140625" style="73" customWidth="1"/>
    <col min="9224" max="9473" width="11.42578125" style="73"/>
    <col min="9474" max="9474" width="12.28515625" style="73" customWidth="1"/>
    <col min="9475" max="9475" width="20.85546875" style="73" customWidth="1"/>
    <col min="9476" max="9476" width="21.85546875" style="73" customWidth="1"/>
    <col min="9477" max="9477" width="19.7109375" style="73" customWidth="1"/>
    <col min="9478" max="9479" width="20.140625" style="73" customWidth="1"/>
    <col min="9480" max="9729" width="11.42578125" style="73"/>
    <col min="9730" max="9730" width="12.28515625" style="73" customWidth="1"/>
    <col min="9731" max="9731" width="20.85546875" style="73" customWidth="1"/>
    <col min="9732" max="9732" width="21.85546875" style="73" customWidth="1"/>
    <col min="9733" max="9733" width="19.7109375" style="73" customWidth="1"/>
    <col min="9734" max="9735" width="20.140625" style="73" customWidth="1"/>
    <col min="9736" max="9985" width="11.42578125" style="73"/>
    <col min="9986" max="9986" width="12.28515625" style="73" customWidth="1"/>
    <col min="9987" max="9987" width="20.85546875" style="73" customWidth="1"/>
    <col min="9988" max="9988" width="21.85546875" style="73" customWidth="1"/>
    <col min="9989" max="9989" width="19.7109375" style="73" customWidth="1"/>
    <col min="9990" max="9991" width="20.140625" style="73" customWidth="1"/>
    <col min="9992" max="10241" width="11.42578125" style="73"/>
    <col min="10242" max="10242" width="12.28515625" style="73" customWidth="1"/>
    <col min="10243" max="10243" width="20.85546875" style="73" customWidth="1"/>
    <col min="10244" max="10244" width="21.85546875" style="73" customWidth="1"/>
    <col min="10245" max="10245" width="19.7109375" style="73" customWidth="1"/>
    <col min="10246" max="10247" width="20.140625" style="73" customWidth="1"/>
    <col min="10248" max="10497" width="11.42578125" style="73"/>
    <col min="10498" max="10498" width="12.28515625" style="73" customWidth="1"/>
    <col min="10499" max="10499" width="20.85546875" style="73" customWidth="1"/>
    <col min="10500" max="10500" width="21.85546875" style="73" customWidth="1"/>
    <col min="10501" max="10501" width="19.7109375" style="73" customWidth="1"/>
    <col min="10502" max="10503" width="20.140625" style="73" customWidth="1"/>
    <col min="10504" max="10753" width="11.42578125" style="73"/>
    <col min="10754" max="10754" width="12.28515625" style="73" customWidth="1"/>
    <col min="10755" max="10755" width="20.85546875" style="73" customWidth="1"/>
    <col min="10756" max="10756" width="21.85546875" style="73" customWidth="1"/>
    <col min="10757" max="10757" width="19.7109375" style="73" customWidth="1"/>
    <col min="10758" max="10759" width="20.140625" style="73" customWidth="1"/>
    <col min="10760" max="11009" width="11.42578125" style="73"/>
    <col min="11010" max="11010" width="12.28515625" style="73" customWidth="1"/>
    <col min="11011" max="11011" width="20.85546875" style="73" customWidth="1"/>
    <col min="11012" max="11012" width="21.85546875" style="73" customWidth="1"/>
    <col min="11013" max="11013" width="19.7109375" style="73" customWidth="1"/>
    <col min="11014" max="11015" width="20.140625" style="73" customWidth="1"/>
    <col min="11016" max="11265" width="11.42578125" style="73"/>
    <col min="11266" max="11266" width="12.28515625" style="73" customWidth="1"/>
    <col min="11267" max="11267" width="20.85546875" style="73" customWidth="1"/>
    <col min="11268" max="11268" width="21.85546875" style="73" customWidth="1"/>
    <col min="11269" max="11269" width="19.7109375" style="73" customWidth="1"/>
    <col min="11270" max="11271" width="20.140625" style="73" customWidth="1"/>
    <col min="11272" max="11521" width="11.42578125" style="73"/>
    <col min="11522" max="11522" width="12.28515625" style="73" customWidth="1"/>
    <col min="11523" max="11523" width="20.85546875" style="73" customWidth="1"/>
    <col min="11524" max="11524" width="21.85546875" style="73" customWidth="1"/>
    <col min="11525" max="11525" width="19.7109375" style="73" customWidth="1"/>
    <col min="11526" max="11527" width="20.140625" style="73" customWidth="1"/>
    <col min="11528" max="11777" width="11.42578125" style="73"/>
    <col min="11778" max="11778" width="12.28515625" style="73" customWidth="1"/>
    <col min="11779" max="11779" width="20.85546875" style="73" customWidth="1"/>
    <col min="11780" max="11780" width="21.85546875" style="73" customWidth="1"/>
    <col min="11781" max="11781" width="19.7109375" style="73" customWidth="1"/>
    <col min="11782" max="11783" width="20.140625" style="73" customWidth="1"/>
    <col min="11784" max="12033" width="11.42578125" style="73"/>
    <col min="12034" max="12034" width="12.28515625" style="73" customWidth="1"/>
    <col min="12035" max="12035" width="20.85546875" style="73" customWidth="1"/>
    <col min="12036" max="12036" width="21.85546875" style="73" customWidth="1"/>
    <col min="12037" max="12037" width="19.7109375" style="73" customWidth="1"/>
    <col min="12038" max="12039" width="20.140625" style="73" customWidth="1"/>
    <col min="12040" max="12289" width="11.42578125" style="73"/>
    <col min="12290" max="12290" width="12.28515625" style="73" customWidth="1"/>
    <col min="12291" max="12291" width="20.85546875" style="73" customWidth="1"/>
    <col min="12292" max="12292" width="21.85546875" style="73" customWidth="1"/>
    <col min="12293" max="12293" width="19.7109375" style="73" customWidth="1"/>
    <col min="12294" max="12295" width="20.140625" style="73" customWidth="1"/>
    <col min="12296" max="12545" width="11.42578125" style="73"/>
    <col min="12546" max="12546" width="12.28515625" style="73" customWidth="1"/>
    <col min="12547" max="12547" width="20.85546875" style="73" customWidth="1"/>
    <col min="12548" max="12548" width="21.85546875" style="73" customWidth="1"/>
    <col min="12549" max="12549" width="19.7109375" style="73" customWidth="1"/>
    <col min="12550" max="12551" width="20.140625" style="73" customWidth="1"/>
    <col min="12552" max="12801" width="11.42578125" style="73"/>
    <col min="12802" max="12802" width="12.28515625" style="73" customWidth="1"/>
    <col min="12803" max="12803" width="20.85546875" style="73" customWidth="1"/>
    <col min="12804" max="12804" width="21.85546875" style="73" customWidth="1"/>
    <col min="12805" max="12805" width="19.7109375" style="73" customWidth="1"/>
    <col min="12806" max="12807" width="20.140625" style="73" customWidth="1"/>
    <col min="12808" max="13057" width="11.42578125" style="73"/>
    <col min="13058" max="13058" width="12.28515625" style="73" customWidth="1"/>
    <col min="13059" max="13059" width="20.85546875" style="73" customWidth="1"/>
    <col min="13060" max="13060" width="21.85546875" style="73" customWidth="1"/>
    <col min="13061" max="13061" width="19.7109375" style="73" customWidth="1"/>
    <col min="13062" max="13063" width="20.140625" style="73" customWidth="1"/>
    <col min="13064" max="13313" width="11.42578125" style="73"/>
    <col min="13314" max="13314" width="12.28515625" style="73" customWidth="1"/>
    <col min="13315" max="13315" width="20.85546875" style="73" customWidth="1"/>
    <col min="13316" max="13316" width="21.85546875" style="73" customWidth="1"/>
    <col min="13317" max="13317" width="19.7109375" style="73" customWidth="1"/>
    <col min="13318" max="13319" width="20.140625" style="73" customWidth="1"/>
    <col min="13320" max="13569" width="11.42578125" style="73"/>
    <col min="13570" max="13570" width="12.28515625" style="73" customWidth="1"/>
    <col min="13571" max="13571" width="20.85546875" style="73" customWidth="1"/>
    <col min="13572" max="13572" width="21.85546875" style="73" customWidth="1"/>
    <col min="13573" max="13573" width="19.7109375" style="73" customWidth="1"/>
    <col min="13574" max="13575" width="20.140625" style="73" customWidth="1"/>
    <col min="13576" max="13825" width="11.42578125" style="73"/>
    <col min="13826" max="13826" width="12.28515625" style="73" customWidth="1"/>
    <col min="13827" max="13827" width="20.85546875" style="73" customWidth="1"/>
    <col min="13828" max="13828" width="21.85546875" style="73" customWidth="1"/>
    <col min="13829" max="13829" width="19.7109375" style="73" customWidth="1"/>
    <col min="13830" max="13831" width="20.140625" style="73" customWidth="1"/>
    <col min="13832" max="14081" width="11.42578125" style="73"/>
    <col min="14082" max="14082" width="12.28515625" style="73" customWidth="1"/>
    <col min="14083" max="14083" width="20.85546875" style="73" customWidth="1"/>
    <col min="14084" max="14084" width="21.85546875" style="73" customWidth="1"/>
    <col min="14085" max="14085" width="19.7109375" style="73" customWidth="1"/>
    <col min="14086" max="14087" width="20.140625" style="73" customWidth="1"/>
    <col min="14088" max="14337" width="11.42578125" style="73"/>
    <col min="14338" max="14338" width="12.28515625" style="73" customWidth="1"/>
    <col min="14339" max="14339" width="20.85546875" style="73" customWidth="1"/>
    <col min="14340" max="14340" width="21.85546875" style="73" customWidth="1"/>
    <col min="14341" max="14341" width="19.7109375" style="73" customWidth="1"/>
    <col min="14342" max="14343" width="20.140625" style="73" customWidth="1"/>
    <col min="14344" max="14593" width="11.42578125" style="73"/>
    <col min="14594" max="14594" width="12.28515625" style="73" customWidth="1"/>
    <col min="14595" max="14595" width="20.85546875" style="73" customWidth="1"/>
    <col min="14596" max="14596" width="21.85546875" style="73" customWidth="1"/>
    <col min="14597" max="14597" width="19.7109375" style="73" customWidth="1"/>
    <col min="14598" max="14599" width="20.140625" style="73" customWidth="1"/>
    <col min="14600" max="14849" width="11.42578125" style="73"/>
    <col min="14850" max="14850" width="12.28515625" style="73" customWidth="1"/>
    <col min="14851" max="14851" width="20.85546875" style="73" customWidth="1"/>
    <col min="14852" max="14852" width="21.85546875" style="73" customWidth="1"/>
    <col min="14853" max="14853" width="19.7109375" style="73" customWidth="1"/>
    <col min="14854" max="14855" width="20.140625" style="73" customWidth="1"/>
    <col min="14856" max="15105" width="11.42578125" style="73"/>
    <col min="15106" max="15106" width="12.28515625" style="73" customWidth="1"/>
    <col min="15107" max="15107" width="20.85546875" style="73" customWidth="1"/>
    <col min="15108" max="15108" width="21.85546875" style="73" customWidth="1"/>
    <col min="15109" max="15109" width="19.7109375" style="73" customWidth="1"/>
    <col min="15110" max="15111" width="20.140625" style="73" customWidth="1"/>
    <col min="15112" max="15361" width="11.42578125" style="73"/>
    <col min="15362" max="15362" width="12.28515625" style="73" customWidth="1"/>
    <col min="15363" max="15363" width="20.85546875" style="73" customWidth="1"/>
    <col min="15364" max="15364" width="21.85546875" style="73" customWidth="1"/>
    <col min="15365" max="15365" width="19.7109375" style="73" customWidth="1"/>
    <col min="15366" max="15367" width="20.140625" style="73" customWidth="1"/>
    <col min="15368" max="15617" width="11.42578125" style="73"/>
    <col min="15618" max="15618" width="12.28515625" style="73" customWidth="1"/>
    <col min="15619" max="15619" width="20.85546875" style="73" customWidth="1"/>
    <col min="15620" max="15620" width="21.85546875" style="73" customWidth="1"/>
    <col min="15621" max="15621" width="19.7109375" style="73" customWidth="1"/>
    <col min="15622" max="15623" width="20.140625" style="73" customWidth="1"/>
    <col min="15624" max="15873" width="11.42578125" style="73"/>
    <col min="15874" max="15874" width="12.28515625" style="73" customWidth="1"/>
    <col min="15875" max="15875" width="20.85546875" style="73" customWidth="1"/>
    <col min="15876" max="15876" width="21.85546875" style="73" customWidth="1"/>
    <col min="15877" max="15877" width="19.7109375" style="73" customWidth="1"/>
    <col min="15878" max="15879" width="20.140625" style="73" customWidth="1"/>
    <col min="15880" max="16129" width="11.42578125" style="73"/>
    <col min="16130" max="16130" width="12.28515625" style="73" customWidth="1"/>
    <col min="16131" max="16131" width="20.85546875" style="73" customWidth="1"/>
    <col min="16132" max="16132" width="21.85546875" style="73" customWidth="1"/>
    <col min="16133" max="16133" width="19.7109375" style="73" customWidth="1"/>
    <col min="16134" max="16135" width="20.140625" style="73" customWidth="1"/>
    <col min="16136" max="16384" width="11.42578125" style="73"/>
  </cols>
  <sheetData>
    <row r="1" spans="1:10" ht="36.75" customHeight="1" thickBot="1" x14ac:dyDescent="0.25">
      <c r="A1" s="111" t="s">
        <v>158</v>
      </c>
    </row>
    <row r="2" spans="1:10" ht="66" customHeight="1" thickBot="1" x14ac:dyDescent="0.25">
      <c r="B2" s="112" t="s">
        <v>159</v>
      </c>
      <c r="C2" s="112" t="s">
        <v>160</v>
      </c>
      <c r="D2" s="112" t="s">
        <v>161</v>
      </c>
      <c r="E2" s="112" t="s">
        <v>162</v>
      </c>
      <c r="F2" s="112" t="s">
        <v>163</v>
      </c>
      <c r="G2" s="112" t="s">
        <v>164</v>
      </c>
      <c r="H2" s="113"/>
      <c r="I2" s="113"/>
      <c r="J2" s="113"/>
    </row>
    <row r="3" spans="1:10" ht="18.75" customHeight="1" thickBot="1" x14ac:dyDescent="0.25">
      <c r="B3" s="114" t="s">
        <v>165</v>
      </c>
      <c r="C3" s="115">
        <v>5000</v>
      </c>
      <c r="D3" s="114"/>
      <c r="E3" s="114"/>
      <c r="F3" s="114"/>
      <c r="G3" s="116">
        <f>C3</f>
        <v>5000</v>
      </c>
      <c r="H3" s="113"/>
      <c r="I3" s="113"/>
      <c r="J3" s="113"/>
    </row>
    <row r="4" spans="1:10" ht="34.5" customHeight="1" thickBot="1" x14ac:dyDescent="0.25">
      <c r="B4" s="114" t="s">
        <v>152</v>
      </c>
      <c r="C4" s="115">
        <f>+G3</f>
        <v>5000</v>
      </c>
      <c r="D4" s="114" t="s">
        <v>166</v>
      </c>
      <c r="E4" s="116">
        <f>5000*3%</f>
        <v>150</v>
      </c>
      <c r="F4" s="114" t="s">
        <v>167</v>
      </c>
      <c r="G4" s="116">
        <v>5150</v>
      </c>
      <c r="H4" s="113"/>
      <c r="I4" s="113"/>
      <c r="J4" s="113"/>
    </row>
    <row r="5" spans="1:10" ht="36.75" customHeight="1" thickBot="1" x14ac:dyDescent="0.25">
      <c r="B5" s="114" t="s">
        <v>153</v>
      </c>
      <c r="C5" s="115">
        <f t="shared" ref="C5:C8" si="0">+G4</f>
        <v>5150</v>
      </c>
      <c r="D5" s="114" t="s">
        <v>168</v>
      </c>
      <c r="E5" s="116">
        <f>G4*3%</f>
        <v>154.5</v>
      </c>
      <c r="F5" s="114" t="s">
        <v>169</v>
      </c>
      <c r="G5" s="116">
        <f>G4+E5</f>
        <v>5304.5</v>
      </c>
      <c r="H5" s="113"/>
      <c r="I5" s="113"/>
      <c r="J5" s="113"/>
    </row>
    <row r="6" spans="1:10" ht="32.25" customHeight="1" thickBot="1" x14ac:dyDescent="0.25">
      <c r="B6" s="114" t="s">
        <v>154</v>
      </c>
      <c r="C6" s="115">
        <f t="shared" si="0"/>
        <v>5304.5</v>
      </c>
      <c r="D6" s="114" t="s">
        <v>170</v>
      </c>
      <c r="E6" s="116">
        <f>G5*3%</f>
        <v>159.13499999999999</v>
      </c>
      <c r="F6" s="114" t="s">
        <v>171</v>
      </c>
      <c r="G6" s="116">
        <f>G5+E6</f>
        <v>5463.6350000000002</v>
      </c>
      <c r="H6" s="113"/>
      <c r="I6" s="113"/>
      <c r="J6" s="113"/>
    </row>
    <row r="7" spans="1:10" ht="15.75" thickBot="1" x14ac:dyDescent="0.25">
      <c r="B7" s="114" t="s">
        <v>155</v>
      </c>
      <c r="C7" s="115">
        <f t="shared" si="0"/>
        <v>5463.6350000000002</v>
      </c>
      <c r="D7" s="114" t="s">
        <v>172</v>
      </c>
      <c r="E7" s="116">
        <f>G6*3%</f>
        <v>163.90905000000001</v>
      </c>
      <c r="F7" s="114" t="s">
        <v>173</v>
      </c>
      <c r="G7" s="116">
        <f>G6+E7</f>
        <v>5627.5440500000004</v>
      </c>
    </row>
    <row r="8" spans="1:10" ht="15.75" thickBot="1" x14ac:dyDescent="0.25">
      <c r="B8" s="114" t="s">
        <v>156</v>
      </c>
      <c r="C8" s="115">
        <f t="shared" si="0"/>
        <v>5627.5440500000004</v>
      </c>
      <c r="D8" s="114" t="s">
        <v>174</v>
      </c>
      <c r="E8" s="116">
        <f>G7*3%</f>
        <v>168.82632150000001</v>
      </c>
      <c r="F8" s="114" t="s">
        <v>175</v>
      </c>
      <c r="G8" s="116">
        <f>G7+E8</f>
        <v>5796.3703715000001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7488-3F9E-4072-8931-F81E94320EDC}">
  <dimension ref="B1:E7"/>
  <sheetViews>
    <sheetView workbookViewId="0">
      <selection activeCell="D7" sqref="D7"/>
    </sheetView>
  </sheetViews>
  <sheetFormatPr baseColWidth="10" defaultRowHeight="12.75" x14ac:dyDescent="0.2"/>
  <cols>
    <col min="1" max="1" width="11.42578125" style="73"/>
    <col min="2" max="2" width="30.42578125" style="73" customWidth="1"/>
    <col min="3" max="3" width="21.5703125" style="73" customWidth="1"/>
    <col min="4" max="4" width="24.85546875" style="73" customWidth="1"/>
    <col min="5" max="5" width="31.5703125" style="73" customWidth="1"/>
    <col min="6" max="257" width="11.42578125" style="73"/>
    <col min="258" max="258" width="30.42578125" style="73" customWidth="1"/>
    <col min="259" max="259" width="21.5703125" style="73" customWidth="1"/>
    <col min="260" max="260" width="24.85546875" style="73" customWidth="1"/>
    <col min="261" max="261" width="31.5703125" style="73" customWidth="1"/>
    <col min="262" max="513" width="11.42578125" style="73"/>
    <col min="514" max="514" width="30.42578125" style="73" customWidth="1"/>
    <col min="515" max="515" width="21.5703125" style="73" customWidth="1"/>
    <col min="516" max="516" width="24.85546875" style="73" customWidth="1"/>
    <col min="517" max="517" width="31.5703125" style="73" customWidth="1"/>
    <col min="518" max="769" width="11.42578125" style="73"/>
    <col min="770" max="770" width="30.42578125" style="73" customWidth="1"/>
    <col min="771" max="771" width="21.5703125" style="73" customWidth="1"/>
    <col min="772" max="772" width="24.85546875" style="73" customWidth="1"/>
    <col min="773" max="773" width="31.5703125" style="73" customWidth="1"/>
    <col min="774" max="1025" width="11.42578125" style="73"/>
    <col min="1026" max="1026" width="30.42578125" style="73" customWidth="1"/>
    <col min="1027" max="1027" width="21.5703125" style="73" customWidth="1"/>
    <col min="1028" max="1028" width="24.85546875" style="73" customWidth="1"/>
    <col min="1029" max="1029" width="31.5703125" style="73" customWidth="1"/>
    <col min="1030" max="1281" width="11.42578125" style="73"/>
    <col min="1282" max="1282" width="30.42578125" style="73" customWidth="1"/>
    <col min="1283" max="1283" width="21.5703125" style="73" customWidth="1"/>
    <col min="1284" max="1284" width="24.85546875" style="73" customWidth="1"/>
    <col min="1285" max="1285" width="31.5703125" style="73" customWidth="1"/>
    <col min="1286" max="1537" width="11.42578125" style="73"/>
    <col min="1538" max="1538" width="30.42578125" style="73" customWidth="1"/>
    <col min="1539" max="1539" width="21.5703125" style="73" customWidth="1"/>
    <col min="1540" max="1540" width="24.85546875" style="73" customWidth="1"/>
    <col min="1541" max="1541" width="31.5703125" style="73" customWidth="1"/>
    <col min="1542" max="1793" width="11.42578125" style="73"/>
    <col min="1794" max="1794" width="30.42578125" style="73" customWidth="1"/>
    <col min="1795" max="1795" width="21.5703125" style="73" customWidth="1"/>
    <col min="1796" max="1796" width="24.85546875" style="73" customWidth="1"/>
    <col min="1797" max="1797" width="31.5703125" style="73" customWidth="1"/>
    <col min="1798" max="2049" width="11.42578125" style="73"/>
    <col min="2050" max="2050" width="30.42578125" style="73" customWidth="1"/>
    <col min="2051" max="2051" width="21.5703125" style="73" customWidth="1"/>
    <col min="2052" max="2052" width="24.85546875" style="73" customWidth="1"/>
    <col min="2053" max="2053" width="31.5703125" style="73" customWidth="1"/>
    <col min="2054" max="2305" width="11.42578125" style="73"/>
    <col min="2306" max="2306" width="30.42578125" style="73" customWidth="1"/>
    <col min="2307" max="2307" width="21.5703125" style="73" customWidth="1"/>
    <col min="2308" max="2308" width="24.85546875" style="73" customWidth="1"/>
    <col min="2309" max="2309" width="31.5703125" style="73" customWidth="1"/>
    <col min="2310" max="2561" width="11.42578125" style="73"/>
    <col min="2562" max="2562" width="30.42578125" style="73" customWidth="1"/>
    <col min="2563" max="2563" width="21.5703125" style="73" customWidth="1"/>
    <col min="2564" max="2564" width="24.85546875" style="73" customWidth="1"/>
    <col min="2565" max="2565" width="31.5703125" style="73" customWidth="1"/>
    <col min="2566" max="2817" width="11.42578125" style="73"/>
    <col min="2818" max="2818" width="30.42578125" style="73" customWidth="1"/>
    <col min="2819" max="2819" width="21.5703125" style="73" customWidth="1"/>
    <col min="2820" max="2820" width="24.85546875" style="73" customWidth="1"/>
    <col min="2821" max="2821" width="31.5703125" style="73" customWidth="1"/>
    <col min="2822" max="3073" width="11.42578125" style="73"/>
    <col min="3074" max="3074" width="30.42578125" style="73" customWidth="1"/>
    <col min="3075" max="3075" width="21.5703125" style="73" customWidth="1"/>
    <col min="3076" max="3076" width="24.85546875" style="73" customWidth="1"/>
    <col min="3077" max="3077" width="31.5703125" style="73" customWidth="1"/>
    <col min="3078" max="3329" width="11.42578125" style="73"/>
    <col min="3330" max="3330" width="30.42578125" style="73" customWidth="1"/>
    <col min="3331" max="3331" width="21.5703125" style="73" customWidth="1"/>
    <col min="3332" max="3332" width="24.85546875" style="73" customWidth="1"/>
    <col min="3333" max="3333" width="31.5703125" style="73" customWidth="1"/>
    <col min="3334" max="3585" width="11.42578125" style="73"/>
    <col min="3586" max="3586" width="30.42578125" style="73" customWidth="1"/>
    <col min="3587" max="3587" width="21.5703125" style="73" customWidth="1"/>
    <col min="3588" max="3588" width="24.85546875" style="73" customWidth="1"/>
    <col min="3589" max="3589" width="31.5703125" style="73" customWidth="1"/>
    <col min="3590" max="3841" width="11.42578125" style="73"/>
    <col min="3842" max="3842" width="30.42578125" style="73" customWidth="1"/>
    <col min="3843" max="3843" width="21.5703125" style="73" customWidth="1"/>
    <col min="3844" max="3844" width="24.85546875" style="73" customWidth="1"/>
    <col min="3845" max="3845" width="31.5703125" style="73" customWidth="1"/>
    <col min="3846" max="4097" width="11.42578125" style="73"/>
    <col min="4098" max="4098" width="30.42578125" style="73" customWidth="1"/>
    <col min="4099" max="4099" width="21.5703125" style="73" customWidth="1"/>
    <col min="4100" max="4100" width="24.85546875" style="73" customWidth="1"/>
    <col min="4101" max="4101" width="31.5703125" style="73" customWidth="1"/>
    <col min="4102" max="4353" width="11.42578125" style="73"/>
    <col min="4354" max="4354" width="30.42578125" style="73" customWidth="1"/>
    <col min="4355" max="4355" width="21.5703125" style="73" customWidth="1"/>
    <col min="4356" max="4356" width="24.85546875" style="73" customWidth="1"/>
    <col min="4357" max="4357" width="31.5703125" style="73" customWidth="1"/>
    <col min="4358" max="4609" width="11.42578125" style="73"/>
    <col min="4610" max="4610" width="30.42578125" style="73" customWidth="1"/>
    <col min="4611" max="4611" width="21.5703125" style="73" customWidth="1"/>
    <col min="4612" max="4612" width="24.85546875" style="73" customWidth="1"/>
    <col min="4613" max="4613" width="31.5703125" style="73" customWidth="1"/>
    <col min="4614" max="4865" width="11.42578125" style="73"/>
    <col min="4866" max="4866" width="30.42578125" style="73" customWidth="1"/>
    <col min="4867" max="4867" width="21.5703125" style="73" customWidth="1"/>
    <col min="4868" max="4868" width="24.85546875" style="73" customWidth="1"/>
    <col min="4869" max="4869" width="31.5703125" style="73" customWidth="1"/>
    <col min="4870" max="5121" width="11.42578125" style="73"/>
    <col min="5122" max="5122" width="30.42578125" style="73" customWidth="1"/>
    <col min="5123" max="5123" width="21.5703125" style="73" customWidth="1"/>
    <col min="5124" max="5124" width="24.85546875" style="73" customWidth="1"/>
    <col min="5125" max="5125" width="31.5703125" style="73" customWidth="1"/>
    <col min="5126" max="5377" width="11.42578125" style="73"/>
    <col min="5378" max="5378" width="30.42578125" style="73" customWidth="1"/>
    <col min="5379" max="5379" width="21.5703125" style="73" customWidth="1"/>
    <col min="5380" max="5380" width="24.85546875" style="73" customWidth="1"/>
    <col min="5381" max="5381" width="31.5703125" style="73" customWidth="1"/>
    <col min="5382" max="5633" width="11.42578125" style="73"/>
    <col min="5634" max="5634" width="30.42578125" style="73" customWidth="1"/>
    <col min="5635" max="5635" width="21.5703125" style="73" customWidth="1"/>
    <col min="5636" max="5636" width="24.85546875" style="73" customWidth="1"/>
    <col min="5637" max="5637" width="31.5703125" style="73" customWidth="1"/>
    <col min="5638" max="5889" width="11.42578125" style="73"/>
    <col min="5890" max="5890" width="30.42578125" style="73" customWidth="1"/>
    <col min="5891" max="5891" width="21.5703125" style="73" customWidth="1"/>
    <col min="5892" max="5892" width="24.85546875" style="73" customWidth="1"/>
    <col min="5893" max="5893" width="31.5703125" style="73" customWidth="1"/>
    <col min="5894" max="6145" width="11.42578125" style="73"/>
    <col min="6146" max="6146" width="30.42578125" style="73" customWidth="1"/>
    <col min="6147" max="6147" width="21.5703125" style="73" customWidth="1"/>
    <col min="6148" max="6148" width="24.85546875" style="73" customWidth="1"/>
    <col min="6149" max="6149" width="31.5703125" style="73" customWidth="1"/>
    <col min="6150" max="6401" width="11.42578125" style="73"/>
    <col min="6402" max="6402" width="30.42578125" style="73" customWidth="1"/>
    <col min="6403" max="6403" width="21.5703125" style="73" customWidth="1"/>
    <col min="6404" max="6404" width="24.85546875" style="73" customWidth="1"/>
    <col min="6405" max="6405" width="31.5703125" style="73" customWidth="1"/>
    <col min="6406" max="6657" width="11.42578125" style="73"/>
    <col min="6658" max="6658" width="30.42578125" style="73" customWidth="1"/>
    <col min="6659" max="6659" width="21.5703125" style="73" customWidth="1"/>
    <col min="6660" max="6660" width="24.85546875" style="73" customWidth="1"/>
    <col min="6661" max="6661" width="31.5703125" style="73" customWidth="1"/>
    <col min="6662" max="6913" width="11.42578125" style="73"/>
    <col min="6914" max="6914" width="30.42578125" style="73" customWidth="1"/>
    <col min="6915" max="6915" width="21.5703125" style="73" customWidth="1"/>
    <col min="6916" max="6916" width="24.85546875" style="73" customWidth="1"/>
    <col min="6917" max="6917" width="31.5703125" style="73" customWidth="1"/>
    <col min="6918" max="7169" width="11.42578125" style="73"/>
    <col min="7170" max="7170" width="30.42578125" style="73" customWidth="1"/>
    <col min="7171" max="7171" width="21.5703125" style="73" customWidth="1"/>
    <col min="7172" max="7172" width="24.85546875" style="73" customWidth="1"/>
    <col min="7173" max="7173" width="31.5703125" style="73" customWidth="1"/>
    <col min="7174" max="7425" width="11.42578125" style="73"/>
    <col min="7426" max="7426" width="30.42578125" style="73" customWidth="1"/>
    <col min="7427" max="7427" width="21.5703125" style="73" customWidth="1"/>
    <col min="7428" max="7428" width="24.85546875" style="73" customWidth="1"/>
    <col min="7429" max="7429" width="31.5703125" style="73" customWidth="1"/>
    <col min="7430" max="7681" width="11.42578125" style="73"/>
    <col min="7682" max="7682" width="30.42578125" style="73" customWidth="1"/>
    <col min="7683" max="7683" width="21.5703125" style="73" customWidth="1"/>
    <col min="7684" max="7684" width="24.85546875" style="73" customWidth="1"/>
    <col min="7685" max="7685" width="31.5703125" style="73" customWidth="1"/>
    <col min="7686" max="7937" width="11.42578125" style="73"/>
    <col min="7938" max="7938" width="30.42578125" style="73" customWidth="1"/>
    <col min="7939" max="7939" width="21.5703125" style="73" customWidth="1"/>
    <col min="7940" max="7940" width="24.85546875" style="73" customWidth="1"/>
    <col min="7941" max="7941" width="31.5703125" style="73" customWidth="1"/>
    <col min="7942" max="8193" width="11.42578125" style="73"/>
    <col min="8194" max="8194" width="30.42578125" style="73" customWidth="1"/>
    <col min="8195" max="8195" width="21.5703125" style="73" customWidth="1"/>
    <col min="8196" max="8196" width="24.85546875" style="73" customWidth="1"/>
    <col min="8197" max="8197" width="31.5703125" style="73" customWidth="1"/>
    <col min="8198" max="8449" width="11.42578125" style="73"/>
    <col min="8450" max="8450" width="30.42578125" style="73" customWidth="1"/>
    <col min="8451" max="8451" width="21.5703125" style="73" customWidth="1"/>
    <col min="8452" max="8452" width="24.85546875" style="73" customWidth="1"/>
    <col min="8453" max="8453" width="31.5703125" style="73" customWidth="1"/>
    <col min="8454" max="8705" width="11.42578125" style="73"/>
    <col min="8706" max="8706" width="30.42578125" style="73" customWidth="1"/>
    <col min="8707" max="8707" width="21.5703125" style="73" customWidth="1"/>
    <col min="8708" max="8708" width="24.85546875" style="73" customWidth="1"/>
    <col min="8709" max="8709" width="31.5703125" style="73" customWidth="1"/>
    <col min="8710" max="8961" width="11.42578125" style="73"/>
    <col min="8962" max="8962" width="30.42578125" style="73" customWidth="1"/>
    <col min="8963" max="8963" width="21.5703125" style="73" customWidth="1"/>
    <col min="8964" max="8964" width="24.85546875" style="73" customWidth="1"/>
    <col min="8965" max="8965" width="31.5703125" style="73" customWidth="1"/>
    <col min="8966" max="9217" width="11.42578125" style="73"/>
    <col min="9218" max="9218" width="30.42578125" style="73" customWidth="1"/>
    <col min="9219" max="9219" width="21.5703125" style="73" customWidth="1"/>
    <col min="9220" max="9220" width="24.85546875" style="73" customWidth="1"/>
    <col min="9221" max="9221" width="31.5703125" style="73" customWidth="1"/>
    <col min="9222" max="9473" width="11.42578125" style="73"/>
    <col min="9474" max="9474" width="30.42578125" style="73" customWidth="1"/>
    <col min="9475" max="9475" width="21.5703125" style="73" customWidth="1"/>
    <col min="9476" max="9476" width="24.85546875" style="73" customWidth="1"/>
    <col min="9477" max="9477" width="31.5703125" style="73" customWidth="1"/>
    <col min="9478" max="9729" width="11.42578125" style="73"/>
    <col min="9730" max="9730" width="30.42578125" style="73" customWidth="1"/>
    <col min="9731" max="9731" width="21.5703125" style="73" customWidth="1"/>
    <col min="9732" max="9732" width="24.85546875" style="73" customWidth="1"/>
    <col min="9733" max="9733" width="31.5703125" style="73" customWidth="1"/>
    <col min="9734" max="9985" width="11.42578125" style="73"/>
    <col min="9986" max="9986" width="30.42578125" style="73" customWidth="1"/>
    <col min="9987" max="9987" width="21.5703125" style="73" customWidth="1"/>
    <col min="9988" max="9988" width="24.85546875" style="73" customWidth="1"/>
    <col min="9989" max="9989" width="31.5703125" style="73" customWidth="1"/>
    <col min="9990" max="10241" width="11.42578125" style="73"/>
    <col min="10242" max="10242" width="30.42578125" style="73" customWidth="1"/>
    <col min="10243" max="10243" width="21.5703125" style="73" customWidth="1"/>
    <col min="10244" max="10244" width="24.85546875" style="73" customWidth="1"/>
    <col min="10245" max="10245" width="31.5703125" style="73" customWidth="1"/>
    <col min="10246" max="10497" width="11.42578125" style="73"/>
    <col min="10498" max="10498" width="30.42578125" style="73" customWidth="1"/>
    <col min="10499" max="10499" width="21.5703125" style="73" customWidth="1"/>
    <col min="10500" max="10500" width="24.85546875" style="73" customWidth="1"/>
    <col min="10501" max="10501" width="31.5703125" style="73" customWidth="1"/>
    <col min="10502" max="10753" width="11.42578125" style="73"/>
    <col min="10754" max="10754" width="30.42578125" style="73" customWidth="1"/>
    <col min="10755" max="10755" width="21.5703125" style="73" customWidth="1"/>
    <col min="10756" max="10756" width="24.85546875" style="73" customWidth="1"/>
    <col min="10757" max="10757" width="31.5703125" style="73" customWidth="1"/>
    <col min="10758" max="11009" width="11.42578125" style="73"/>
    <col min="11010" max="11010" width="30.42578125" style="73" customWidth="1"/>
    <col min="11011" max="11011" width="21.5703125" style="73" customWidth="1"/>
    <col min="11012" max="11012" width="24.85546875" style="73" customWidth="1"/>
    <col min="11013" max="11013" width="31.5703125" style="73" customWidth="1"/>
    <col min="11014" max="11265" width="11.42578125" style="73"/>
    <col min="11266" max="11266" width="30.42578125" style="73" customWidth="1"/>
    <col min="11267" max="11267" width="21.5703125" style="73" customWidth="1"/>
    <col min="11268" max="11268" width="24.85546875" style="73" customWidth="1"/>
    <col min="11269" max="11269" width="31.5703125" style="73" customWidth="1"/>
    <col min="11270" max="11521" width="11.42578125" style="73"/>
    <col min="11522" max="11522" width="30.42578125" style="73" customWidth="1"/>
    <col min="11523" max="11523" width="21.5703125" style="73" customWidth="1"/>
    <col min="11524" max="11524" width="24.85546875" style="73" customWidth="1"/>
    <col min="11525" max="11525" width="31.5703125" style="73" customWidth="1"/>
    <col min="11526" max="11777" width="11.42578125" style="73"/>
    <col min="11778" max="11778" width="30.42578125" style="73" customWidth="1"/>
    <col min="11779" max="11779" width="21.5703125" style="73" customWidth="1"/>
    <col min="11780" max="11780" width="24.85546875" style="73" customWidth="1"/>
    <col min="11781" max="11781" width="31.5703125" style="73" customWidth="1"/>
    <col min="11782" max="12033" width="11.42578125" style="73"/>
    <col min="12034" max="12034" width="30.42578125" style="73" customWidth="1"/>
    <col min="12035" max="12035" width="21.5703125" style="73" customWidth="1"/>
    <col min="12036" max="12036" width="24.85546875" style="73" customWidth="1"/>
    <col min="12037" max="12037" width="31.5703125" style="73" customWidth="1"/>
    <col min="12038" max="12289" width="11.42578125" style="73"/>
    <col min="12290" max="12290" width="30.42578125" style="73" customWidth="1"/>
    <col min="12291" max="12291" width="21.5703125" style="73" customWidth="1"/>
    <col min="12292" max="12292" width="24.85546875" style="73" customWidth="1"/>
    <col min="12293" max="12293" width="31.5703125" style="73" customWidth="1"/>
    <col min="12294" max="12545" width="11.42578125" style="73"/>
    <col min="12546" max="12546" width="30.42578125" style="73" customWidth="1"/>
    <col min="12547" max="12547" width="21.5703125" style="73" customWidth="1"/>
    <col min="12548" max="12548" width="24.85546875" style="73" customWidth="1"/>
    <col min="12549" max="12549" width="31.5703125" style="73" customWidth="1"/>
    <col min="12550" max="12801" width="11.42578125" style="73"/>
    <col min="12802" max="12802" width="30.42578125" style="73" customWidth="1"/>
    <col min="12803" max="12803" width="21.5703125" style="73" customWidth="1"/>
    <col min="12804" max="12804" width="24.85546875" style="73" customWidth="1"/>
    <col min="12805" max="12805" width="31.5703125" style="73" customWidth="1"/>
    <col min="12806" max="13057" width="11.42578125" style="73"/>
    <col min="13058" max="13058" width="30.42578125" style="73" customWidth="1"/>
    <col min="13059" max="13059" width="21.5703125" style="73" customWidth="1"/>
    <col min="13060" max="13060" width="24.85546875" style="73" customWidth="1"/>
    <col min="13061" max="13061" width="31.5703125" style="73" customWidth="1"/>
    <col min="13062" max="13313" width="11.42578125" style="73"/>
    <col min="13314" max="13314" width="30.42578125" style="73" customWidth="1"/>
    <col min="13315" max="13315" width="21.5703125" style="73" customWidth="1"/>
    <col min="13316" max="13316" width="24.85546875" style="73" customWidth="1"/>
    <col min="13317" max="13317" width="31.5703125" style="73" customWidth="1"/>
    <col min="13318" max="13569" width="11.42578125" style="73"/>
    <col min="13570" max="13570" width="30.42578125" style="73" customWidth="1"/>
    <col min="13571" max="13571" width="21.5703125" style="73" customWidth="1"/>
    <col min="13572" max="13572" width="24.85546875" style="73" customWidth="1"/>
    <col min="13573" max="13573" width="31.5703125" style="73" customWidth="1"/>
    <col min="13574" max="13825" width="11.42578125" style="73"/>
    <col min="13826" max="13826" width="30.42578125" style="73" customWidth="1"/>
    <col min="13827" max="13827" width="21.5703125" style="73" customWidth="1"/>
    <col min="13828" max="13828" width="24.85546875" style="73" customWidth="1"/>
    <col min="13829" max="13829" width="31.5703125" style="73" customWidth="1"/>
    <col min="13830" max="14081" width="11.42578125" style="73"/>
    <col min="14082" max="14082" width="30.42578125" style="73" customWidth="1"/>
    <col min="14083" max="14083" width="21.5703125" style="73" customWidth="1"/>
    <col min="14084" max="14084" width="24.85546875" style="73" customWidth="1"/>
    <col min="14085" max="14085" width="31.5703125" style="73" customWidth="1"/>
    <col min="14086" max="14337" width="11.42578125" style="73"/>
    <col min="14338" max="14338" width="30.42578125" style="73" customWidth="1"/>
    <col min="14339" max="14339" width="21.5703125" style="73" customWidth="1"/>
    <col min="14340" max="14340" width="24.85546875" style="73" customWidth="1"/>
    <col min="14341" max="14341" width="31.5703125" style="73" customWidth="1"/>
    <col min="14342" max="14593" width="11.42578125" style="73"/>
    <col min="14594" max="14594" width="30.42578125" style="73" customWidth="1"/>
    <col min="14595" max="14595" width="21.5703125" style="73" customWidth="1"/>
    <col min="14596" max="14596" width="24.85546875" style="73" customWidth="1"/>
    <col min="14597" max="14597" width="31.5703125" style="73" customWidth="1"/>
    <col min="14598" max="14849" width="11.42578125" style="73"/>
    <col min="14850" max="14850" width="30.42578125" style="73" customWidth="1"/>
    <col min="14851" max="14851" width="21.5703125" style="73" customWidth="1"/>
    <col min="14852" max="14852" width="24.85546875" style="73" customWidth="1"/>
    <col min="14853" max="14853" width="31.5703125" style="73" customWidth="1"/>
    <col min="14854" max="15105" width="11.42578125" style="73"/>
    <col min="15106" max="15106" width="30.42578125" style="73" customWidth="1"/>
    <col min="15107" max="15107" width="21.5703125" style="73" customWidth="1"/>
    <col min="15108" max="15108" width="24.85546875" style="73" customWidth="1"/>
    <col min="15109" max="15109" width="31.5703125" style="73" customWidth="1"/>
    <col min="15110" max="15361" width="11.42578125" style="73"/>
    <col min="15362" max="15362" width="30.42578125" style="73" customWidth="1"/>
    <col min="15363" max="15363" width="21.5703125" style="73" customWidth="1"/>
    <col min="15364" max="15364" width="24.85546875" style="73" customWidth="1"/>
    <col min="15365" max="15365" width="31.5703125" style="73" customWidth="1"/>
    <col min="15366" max="15617" width="11.42578125" style="73"/>
    <col min="15618" max="15618" width="30.42578125" style="73" customWidth="1"/>
    <col min="15619" max="15619" width="21.5703125" style="73" customWidth="1"/>
    <col min="15620" max="15620" width="24.85546875" style="73" customWidth="1"/>
    <col min="15621" max="15621" width="31.5703125" style="73" customWidth="1"/>
    <col min="15622" max="15873" width="11.42578125" style="73"/>
    <col min="15874" max="15874" width="30.42578125" style="73" customWidth="1"/>
    <col min="15875" max="15875" width="21.5703125" style="73" customWidth="1"/>
    <col min="15876" max="15876" width="24.85546875" style="73" customWidth="1"/>
    <col min="15877" max="15877" width="31.5703125" style="73" customWidth="1"/>
    <col min="15878" max="16129" width="11.42578125" style="73"/>
    <col min="16130" max="16130" width="30.42578125" style="73" customWidth="1"/>
    <col min="16131" max="16131" width="21.5703125" style="73" customWidth="1"/>
    <col min="16132" max="16132" width="24.85546875" style="73" customWidth="1"/>
    <col min="16133" max="16133" width="31.5703125" style="73" customWidth="1"/>
    <col min="16134" max="16384" width="11.42578125" style="73"/>
  </cols>
  <sheetData>
    <row r="1" spans="2:5" ht="13.5" thickBot="1" x14ac:dyDescent="0.25"/>
    <row r="2" spans="2:5" s="127" customFormat="1" ht="29.25" customHeight="1" thickBot="1" x14ac:dyDescent="0.3">
      <c r="B2" s="124" t="s">
        <v>180</v>
      </c>
      <c r="C2" s="125"/>
      <c r="D2" s="125"/>
      <c r="E2" s="126"/>
    </row>
    <row r="3" spans="2:5" s="127" customFormat="1" ht="18.75" thickBot="1" x14ac:dyDescent="0.3">
      <c r="B3" s="128" t="s">
        <v>181</v>
      </c>
      <c r="C3" s="128" t="s">
        <v>182</v>
      </c>
      <c r="D3" s="129"/>
      <c r="E3" s="130" t="s">
        <v>183</v>
      </c>
    </row>
    <row r="4" spans="2:5" s="127" customFormat="1" ht="18.75" thickBot="1" x14ac:dyDescent="0.3">
      <c r="B4" s="131"/>
      <c r="C4" s="132" t="s">
        <v>184</v>
      </c>
      <c r="D4" s="132" t="s">
        <v>185</v>
      </c>
      <c r="E4" s="133"/>
    </row>
    <row r="5" spans="2:5" s="127" customFormat="1" ht="46.5" customHeight="1" thickBot="1" x14ac:dyDescent="0.3">
      <c r="B5" s="134" t="s">
        <v>186</v>
      </c>
      <c r="C5" s="135">
        <f>'[1]RESUMEN DE GASTOS OPERACIONALES'!B4</f>
        <v>65000</v>
      </c>
      <c r="D5" s="136">
        <f>C5/12</f>
        <v>5416.666666666667</v>
      </c>
      <c r="E5" s="134" t="s">
        <v>187</v>
      </c>
    </row>
    <row r="6" spans="2:5" s="127" customFormat="1" ht="31.5" customHeight="1" thickBot="1" x14ac:dyDescent="0.3">
      <c r="B6" s="112" t="s">
        <v>179</v>
      </c>
      <c r="C6" s="137">
        <f>+C5</f>
        <v>65000</v>
      </c>
      <c r="D6" s="137">
        <f>+D5</f>
        <v>5416.666666666667</v>
      </c>
      <c r="E6" s="134" t="s">
        <v>188</v>
      </c>
    </row>
    <row r="7" spans="2:5" s="127" customFormat="1" ht="57" customHeight="1" thickBot="1" x14ac:dyDescent="0.3">
      <c r="B7" s="138" t="s">
        <v>189</v>
      </c>
      <c r="C7" s="139"/>
      <c r="D7" s="137">
        <f>D6*3</f>
        <v>16250</v>
      </c>
      <c r="E7" s="134" t="s">
        <v>190</v>
      </c>
    </row>
  </sheetData>
  <mergeCells count="5">
    <mergeCell ref="B2:E2"/>
    <mergeCell ref="B3:B4"/>
    <mergeCell ref="C3:D3"/>
    <mergeCell ref="E3:E4"/>
    <mergeCell ref="B7:C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topLeftCell="A10" zoomScale="140" zoomScaleNormal="140" workbookViewId="0">
      <selection activeCell="B20" sqref="B20"/>
    </sheetView>
  </sheetViews>
  <sheetFormatPr baseColWidth="10" defaultRowHeight="15" x14ac:dyDescent="0.25"/>
  <cols>
    <col min="1" max="1" width="25.85546875" customWidth="1"/>
    <col min="2" max="2" width="14.85546875" customWidth="1"/>
    <col min="3" max="3" width="13.140625" customWidth="1"/>
    <col min="4" max="4" width="17.5703125" customWidth="1"/>
    <col min="5" max="5" width="19.42578125" customWidth="1"/>
    <col min="6" max="6" width="16.28515625" customWidth="1"/>
    <col min="7" max="7" width="14.28515625" customWidth="1"/>
    <col min="8" max="8" width="11.7109375" customWidth="1"/>
  </cols>
  <sheetData>
    <row r="1" spans="1:8" x14ac:dyDescent="0.25">
      <c r="A1" s="39" t="s">
        <v>102</v>
      </c>
    </row>
    <row r="3" spans="1:8" x14ac:dyDescent="0.25">
      <c r="A3" s="12" t="s">
        <v>74</v>
      </c>
      <c r="B3" s="43" t="s">
        <v>107</v>
      </c>
      <c r="C3" s="12" t="s">
        <v>75</v>
      </c>
      <c r="D3" s="12" t="s">
        <v>76</v>
      </c>
      <c r="E3" s="12" t="s">
        <v>77</v>
      </c>
      <c r="F3" s="12" t="s">
        <v>78</v>
      </c>
      <c r="G3" s="12" t="s">
        <v>79</v>
      </c>
    </row>
    <row r="4" spans="1:8" x14ac:dyDescent="0.25">
      <c r="A4" s="4" t="s">
        <v>103</v>
      </c>
      <c r="B4" s="42"/>
      <c r="C4" s="5">
        <f>PyG!C28</f>
        <v>2987.75</v>
      </c>
      <c r="D4" s="5">
        <f>PyG!D28</f>
        <v>38699.130650000006</v>
      </c>
      <c r="E4" s="5">
        <f>PyG!E28</f>
        <v>48959.064150000006</v>
      </c>
      <c r="F4" s="5">
        <f>PyG!F28</f>
        <v>58771.253435000013</v>
      </c>
      <c r="G4" s="5">
        <f>PyG!G28</f>
        <v>69979.007001350023</v>
      </c>
    </row>
    <row r="5" spans="1:8" x14ac:dyDescent="0.25">
      <c r="A5" s="4" t="s">
        <v>104</v>
      </c>
      <c r="B5" s="42"/>
      <c r="C5" s="5">
        <f>PyG!C15</f>
        <v>50000</v>
      </c>
      <c r="D5" s="5">
        <f>PyG!D15</f>
        <v>10237</v>
      </c>
      <c r="E5" s="5">
        <f>PyG!E15</f>
        <v>10237</v>
      </c>
      <c r="F5" s="5">
        <f>PyG!F15</f>
        <v>10237</v>
      </c>
      <c r="G5" s="5">
        <f>PyG!G15</f>
        <v>10237</v>
      </c>
    </row>
    <row r="6" spans="1:8" x14ac:dyDescent="0.25">
      <c r="A6" s="4" t="s">
        <v>105</v>
      </c>
      <c r="B6" s="42"/>
      <c r="C6" s="5">
        <f>PyG!C16</f>
        <v>0</v>
      </c>
      <c r="D6" s="5">
        <f>PyG!D16</f>
        <v>0</v>
      </c>
      <c r="E6" s="5">
        <f>PyG!E16</f>
        <v>0</v>
      </c>
      <c r="F6" s="5">
        <f>PyG!F16</f>
        <v>0</v>
      </c>
      <c r="G6" s="5">
        <f>PyG!G16</f>
        <v>0</v>
      </c>
    </row>
    <row r="7" spans="1:8" x14ac:dyDescent="0.25">
      <c r="A7" s="4" t="s">
        <v>106</v>
      </c>
      <c r="B7" s="42"/>
      <c r="C7" s="5">
        <f>PyG!C27</f>
        <v>157.25</v>
      </c>
      <c r="D7" s="5">
        <f>PyG!D27</f>
        <v>2036.7963500000003</v>
      </c>
      <c r="E7" s="5">
        <f>PyG!E27</f>
        <v>2576.7928500000003</v>
      </c>
      <c r="F7" s="5">
        <f>PyG!F27</f>
        <v>3093.2238650000008</v>
      </c>
      <c r="G7" s="5">
        <f>PyG!G27</f>
        <v>3683.1056316500017</v>
      </c>
    </row>
    <row r="8" spans="1:8" x14ac:dyDescent="0.25">
      <c r="A8" s="4" t="s">
        <v>108</v>
      </c>
      <c r="B8" s="44">
        <f>'Origen de Fondos'!B6</f>
        <v>250000</v>
      </c>
      <c r="C8" s="5"/>
      <c r="D8" s="5"/>
      <c r="E8" s="5"/>
      <c r="F8" s="5"/>
      <c r="G8" s="5"/>
    </row>
    <row r="9" spans="1:8" x14ac:dyDescent="0.25">
      <c r="A9" s="4" t="s">
        <v>109</v>
      </c>
      <c r="B9" s="44" t="e">
        <f>'Origen de Fondos'!#REF!</f>
        <v>#REF!</v>
      </c>
      <c r="C9" s="5"/>
      <c r="D9" s="5"/>
      <c r="E9" s="5"/>
      <c r="F9" s="5"/>
      <c r="G9" s="5"/>
    </row>
    <row r="10" spans="1:8" x14ac:dyDescent="0.25">
      <c r="A10" s="4" t="s">
        <v>110</v>
      </c>
      <c r="B10" s="44">
        <f>'Origen de Fondos'!B7</f>
        <v>16250</v>
      </c>
      <c r="C10" s="5"/>
      <c r="D10" s="5"/>
      <c r="E10" s="5"/>
      <c r="F10" s="5"/>
      <c r="G10" s="5"/>
    </row>
    <row r="11" spans="1:8" x14ac:dyDescent="0.25">
      <c r="A11" s="22" t="s">
        <v>111</v>
      </c>
      <c r="B11" s="4"/>
      <c r="C11" s="5"/>
      <c r="D11" s="5"/>
      <c r="E11" s="5"/>
      <c r="F11" s="5"/>
      <c r="G11" s="5">
        <f>B10</f>
        <v>16250</v>
      </c>
    </row>
    <row r="12" spans="1:8" x14ac:dyDescent="0.25">
      <c r="A12" s="22" t="s">
        <v>112</v>
      </c>
      <c r="B12" s="4"/>
      <c r="C12" s="4"/>
      <c r="D12" s="4"/>
      <c r="E12" s="4"/>
      <c r="F12" s="4"/>
      <c r="G12" s="5">
        <v>17215.3</v>
      </c>
    </row>
    <row r="13" spans="1:8" x14ac:dyDescent="0.25">
      <c r="A13" s="4" t="s">
        <v>113</v>
      </c>
      <c r="B13" s="5">
        <f>'Amortización Deuda'!A4</f>
        <v>0</v>
      </c>
      <c r="C13" s="4"/>
      <c r="D13" s="4"/>
      <c r="E13" s="4"/>
      <c r="F13" s="4"/>
      <c r="G13" s="4"/>
    </row>
    <row r="14" spans="1:8" x14ac:dyDescent="0.25">
      <c r="A14" s="22" t="s">
        <v>114</v>
      </c>
      <c r="B14" s="4"/>
      <c r="C14" s="5">
        <v>14427.9118288508</v>
      </c>
      <c r="D14" s="5">
        <v>16447.819484889915</v>
      </c>
      <c r="E14" s="5">
        <v>18750.514212774502</v>
      </c>
      <c r="F14" s="5">
        <v>21375.586202562932</v>
      </c>
      <c r="G14" s="5">
        <v>24368.168270921746</v>
      </c>
      <c r="H14" s="52">
        <f>SUM(C14:G14)</f>
        <v>95369.999999999884</v>
      </c>
    </row>
    <row r="15" spans="1:8" s="39" customFormat="1" x14ac:dyDescent="0.25">
      <c r="A15" s="45" t="s">
        <v>115</v>
      </c>
      <c r="B15" s="47" t="e">
        <f>-(B8+B9+B10)+B13</f>
        <v>#REF!</v>
      </c>
      <c r="C15" s="46">
        <f>C4+C5+C6+C7-C14</f>
        <v>38717.088171149197</v>
      </c>
      <c r="D15" s="46">
        <f>D4+D5+D6+D7-D14</f>
        <v>34525.107515110089</v>
      </c>
      <c r="E15" s="46">
        <f>E4+E5+E6+E7-E14</f>
        <v>43022.342787225498</v>
      </c>
      <c r="F15" s="46">
        <f>F4+F5+F6+F7-F14</f>
        <v>50725.891097437096</v>
      </c>
      <c r="G15" s="46">
        <f>SUM(G4:G13)-G14</f>
        <v>92996.244362078287</v>
      </c>
    </row>
    <row r="16" spans="1:8" x14ac:dyDescent="0.25">
      <c r="C16">
        <v>1</v>
      </c>
      <c r="D16" s="52">
        <f>C15+D15</f>
        <v>73242.195686259278</v>
      </c>
      <c r="E16" s="52">
        <f>D16+E15</f>
        <v>116264.53847348478</v>
      </c>
      <c r="F16" s="58">
        <f>E16+F15</f>
        <v>166990.42957092187</v>
      </c>
    </row>
    <row r="17" spans="1:5" x14ac:dyDescent="0.25">
      <c r="A17" s="4" t="s">
        <v>118</v>
      </c>
      <c r="B17" s="4">
        <v>18.5</v>
      </c>
      <c r="C17">
        <f>B17/100</f>
        <v>0.185</v>
      </c>
      <c r="E17" s="52"/>
    </row>
    <row r="18" spans="1:5" x14ac:dyDescent="0.25">
      <c r="A18" s="4" t="s">
        <v>116</v>
      </c>
      <c r="B18" s="59" t="e">
        <f>NPV(B17/100,C15:G15)+B15</f>
        <v>#REF!</v>
      </c>
      <c r="D18" s="50" t="e">
        <f>B15+NPV(C17,C15:G15)</f>
        <v>#REF!</v>
      </c>
      <c r="E18" t="s">
        <v>122</v>
      </c>
    </row>
    <row r="19" spans="1:5" x14ac:dyDescent="0.25">
      <c r="A19" s="4" t="s">
        <v>117</v>
      </c>
      <c r="B19" s="60" t="e">
        <f>IRR(B15:G15)</f>
        <v>#VALUE!</v>
      </c>
      <c r="C19" s="51" t="e">
        <f>IRR(B15:G15)</f>
        <v>#VALUE!</v>
      </c>
      <c r="E19" t="s">
        <v>123</v>
      </c>
    </row>
    <row r="22" spans="1:5" x14ac:dyDescent="0.25">
      <c r="A22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04FC-9933-4A63-A7F5-844564081FBF}">
  <dimension ref="B1:G5"/>
  <sheetViews>
    <sheetView workbookViewId="0">
      <selection activeCell="C3" sqref="C3"/>
    </sheetView>
  </sheetViews>
  <sheetFormatPr baseColWidth="10" defaultRowHeight="12.75" x14ac:dyDescent="0.2"/>
  <cols>
    <col min="1" max="1" width="11.42578125" style="73"/>
    <col min="2" max="4" width="30.85546875" style="73" customWidth="1"/>
    <col min="5" max="6" width="11.42578125" style="73"/>
    <col min="7" max="7" width="16" style="73" bestFit="1" customWidth="1"/>
    <col min="8" max="257" width="11.42578125" style="73"/>
    <col min="258" max="260" width="30.85546875" style="73" customWidth="1"/>
    <col min="261" max="262" width="11.42578125" style="73"/>
    <col min="263" max="263" width="16" style="73" bestFit="1" customWidth="1"/>
    <col min="264" max="513" width="11.42578125" style="73"/>
    <col min="514" max="516" width="30.85546875" style="73" customWidth="1"/>
    <col min="517" max="518" width="11.42578125" style="73"/>
    <col min="519" max="519" width="16" style="73" bestFit="1" customWidth="1"/>
    <col min="520" max="769" width="11.42578125" style="73"/>
    <col min="770" max="772" width="30.85546875" style="73" customWidth="1"/>
    <col min="773" max="774" width="11.42578125" style="73"/>
    <col min="775" max="775" width="16" style="73" bestFit="1" customWidth="1"/>
    <col min="776" max="1025" width="11.42578125" style="73"/>
    <col min="1026" max="1028" width="30.85546875" style="73" customWidth="1"/>
    <col min="1029" max="1030" width="11.42578125" style="73"/>
    <col min="1031" max="1031" width="16" style="73" bestFit="1" customWidth="1"/>
    <col min="1032" max="1281" width="11.42578125" style="73"/>
    <col min="1282" max="1284" width="30.85546875" style="73" customWidth="1"/>
    <col min="1285" max="1286" width="11.42578125" style="73"/>
    <col min="1287" max="1287" width="16" style="73" bestFit="1" customWidth="1"/>
    <col min="1288" max="1537" width="11.42578125" style="73"/>
    <col min="1538" max="1540" width="30.85546875" style="73" customWidth="1"/>
    <col min="1541" max="1542" width="11.42578125" style="73"/>
    <col min="1543" max="1543" width="16" style="73" bestFit="1" customWidth="1"/>
    <col min="1544" max="1793" width="11.42578125" style="73"/>
    <col min="1794" max="1796" width="30.85546875" style="73" customWidth="1"/>
    <col min="1797" max="1798" width="11.42578125" style="73"/>
    <col min="1799" max="1799" width="16" style="73" bestFit="1" customWidth="1"/>
    <col min="1800" max="2049" width="11.42578125" style="73"/>
    <col min="2050" max="2052" width="30.85546875" style="73" customWidth="1"/>
    <col min="2053" max="2054" width="11.42578125" style="73"/>
    <col min="2055" max="2055" width="16" style="73" bestFit="1" customWidth="1"/>
    <col min="2056" max="2305" width="11.42578125" style="73"/>
    <col min="2306" max="2308" width="30.85546875" style="73" customWidth="1"/>
    <col min="2309" max="2310" width="11.42578125" style="73"/>
    <col min="2311" max="2311" width="16" style="73" bestFit="1" customWidth="1"/>
    <col min="2312" max="2561" width="11.42578125" style="73"/>
    <col min="2562" max="2564" width="30.85546875" style="73" customWidth="1"/>
    <col min="2565" max="2566" width="11.42578125" style="73"/>
    <col min="2567" max="2567" width="16" style="73" bestFit="1" customWidth="1"/>
    <col min="2568" max="2817" width="11.42578125" style="73"/>
    <col min="2818" max="2820" width="30.85546875" style="73" customWidth="1"/>
    <col min="2821" max="2822" width="11.42578125" style="73"/>
    <col min="2823" max="2823" width="16" style="73" bestFit="1" customWidth="1"/>
    <col min="2824" max="3073" width="11.42578125" style="73"/>
    <col min="3074" max="3076" width="30.85546875" style="73" customWidth="1"/>
    <col min="3077" max="3078" width="11.42578125" style="73"/>
    <col min="3079" max="3079" width="16" style="73" bestFit="1" customWidth="1"/>
    <col min="3080" max="3329" width="11.42578125" style="73"/>
    <col min="3330" max="3332" width="30.85546875" style="73" customWidth="1"/>
    <col min="3333" max="3334" width="11.42578125" style="73"/>
    <col min="3335" max="3335" width="16" style="73" bestFit="1" customWidth="1"/>
    <col min="3336" max="3585" width="11.42578125" style="73"/>
    <col min="3586" max="3588" width="30.85546875" style="73" customWidth="1"/>
    <col min="3589" max="3590" width="11.42578125" style="73"/>
    <col min="3591" max="3591" width="16" style="73" bestFit="1" customWidth="1"/>
    <col min="3592" max="3841" width="11.42578125" style="73"/>
    <col min="3842" max="3844" width="30.85546875" style="73" customWidth="1"/>
    <col min="3845" max="3846" width="11.42578125" style="73"/>
    <col min="3847" max="3847" width="16" style="73" bestFit="1" customWidth="1"/>
    <col min="3848" max="4097" width="11.42578125" style="73"/>
    <col min="4098" max="4100" width="30.85546875" style="73" customWidth="1"/>
    <col min="4101" max="4102" width="11.42578125" style="73"/>
    <col min="4103" max="4103" width="16" style="73" bestFit="1" customWidth="1"/>
    <col min="4104" max="4353" width="11.42578125" style="73"/>
    <col min="4354" max="4356" width="30.85546875" style="73" customWidth="1"/>
    <col min="4357" max="4358" width="11.42578125" style="73"/>
    <col min="4359" max="4359" width="16" style="73" bestFit="1" customWidth="1"/>
    <col min="4360" max="4609" width="11.42578125" style="73"/>
    <col min="4610" max="4612" width="30.85546875" style="73" customWidth="1"/>
    <col min="4613" max="4614" width="11.42578125" style="73"/>
    <col min="4615" max="4615" width="16" style="73" bestFit="1" customWidth="1"/>
    <col min="4616" max="4865" width="11.42578125" style="73"/>
    <col min="4866" max="4868" width="30.85546875" style="73" customWidth="1"/>
    <col min="4869" max="4870" width="11.42578125" style="73"/>
    <col min="4871" max="4871" width="16" style="73" bestFit="1" customWidth="1"/>
    <col min="4872" max="5121" width="11.42578125" style="73"/>
    <col min="5122" max="5124" width="30.85546875" style="73" customWidth="1"/>
    <col min="5125" max="5126" width="11.42578125" style="73"/>
    <col min="5127" max="5127" width="16" style="73" bestFit="1" customWidth="1"/>
    <col min="5128" max="5377" width="11.42578125" style="73"/>
    <col min="5378" max="5380" width="30.85546875" style="73" customWidth="1"/>
    <col min="5381" max="5382" width="11.42578125" style="73"/>
    <col min="5383" max="5383" width="16" style="73" bestFit="1" customWidth="1"/>
    <col min="5384" max="5633" width="11.42578125" style="73"/>
    <col min="5634" max="5636" width="30.85546875" style="73" customWidth="1"/>
    <col min="5637" max="5638" width="11.42578125" style="73"/>
    <col min="5639" max="5639" width="16" style="73" bestFit="1" customWidth="1"/>
    <col min="5640" max="5889" width="11.42578125" style="73"/>
    <col min="5890" max="5892" width="30.85546875" style="73" customWidth="1"/>
    <col min="5893" max="5894" width="11.42578125" style="73"/>
    <col min="5895" max="5895" width="16" style="73" bestFit="1" customWidth="1"/>
    <col min="5896" max="6145" width="11.42578125" style="73"/>
    <col min="6146" max="6148" width="30.85546875" style="73" customWidth="1"/>
    <col min="6149" max="6150" width="11.42578125" style="73"/>
    <col min="6151" max="6151" width="16" style="73" bestFit="1" customWidth="1"/>
    <col min="6152" max="6401" width="11.42578125" style="73"/>
    <col min="6402" max="6404" width="30.85546875" style="73" customWidth="1"/>
    <col min="6405" max="6406" width="11.42578125" style="73"/>
    <col min="6407" max="6407" width="16" style="73" bestFit="1" customWidth="1"/>
    <col min="6408" max="6657" width="11.42578125" style="73"/>
    <col min="6658" max="6660" width="30.85546875" style="73" customWidth="1"/>
    <col min="6661" max="6662" width="11.42578125" style="73"/>
    <col min="6663" max="6663" width="16" style="73" bestFit="1" customWidth="1"/>
    <col min="6664" max="6913" width="11.42578125" style="73"/>
    <col min="6914" max="6916" width="30.85546875" style="73" customWidth="1"/>
    <col min="6917" max="6918" width="11.42578125" style="73"/>
    <col min="6919" max="6919" width="16" style="73" bestFit="1" customWidth="1"/>
    <col min="6920" max="7169" width="11.42578125" style="73"/>
    <col min="7170" max="7172" width="30.85546875" style="73" customWidth="1"/>
    <col min="7173" max="7174" width="11.42578125" style="73"/>
    <col min="7175" max="7175" width="16" style="73" bestFit="1" customWidth="1"/>
    <col min="7176" max="7425" width="11.42578125" style="73"/>
    <col min="7426" max="7428" width="30.85546875" style="73" customWidth="1"/>
    <col min="7429" max="7430" width="11.42578125" style="73"/>
    <col min="7431" max="7431" width="16" style="73" bestFit="1" customWidth="1"/>
    <col min="7432" max="7681" width="11.42578125" style="73"/>
    <col min="7682" max="7684" width="30.85546875" style="73" customWidth="1"/>
    <col min="7685" max="7686" width="11.42578125" style="73"/>
    <col min="7687" max="7687" width="16" style="73" bestFit="1" customWidth="1"/>
    <col min="7688" max="7937" width="11.42578125" style="73"/>
    <col min="7938" max="7940" width="30.85546875" style="73" customWidth="1"/>
    <col min="7941" max="7942" width="11.42578125" style="73"/>
    <col min="7943" max="7943" width="16" style="73" bestFit="1" customWidth="1"/>
    <col min="7944" max="8193" width="11.42578125" style="73"/>
    <col min="8194" max="8196" width="30.85546875" style="73" customWidth="1"/>
    <col min="8197" max="8198" width="11.42578125" style="73"/>
    <col min="8199" max="8199" width="16" style="73" bestFit="1" customWidth="1"/>
    <col min="8200" max="8449" width="11.42578125" style="73"/>
    <col min="8450" max="8452" width="30.85546875" style="73" customWidth="1"/>
    <col min="8453" max="8454" width="11.42578125" style="73"/>
    <col min="8455" max="8455" width="16" style="73" bestFit="1" customWidth="1"/>
    <col min="8456" max="8705" width="11.42578125" style="73"/>
    <col min="8706" max="8708" width="30.85546875" style="73" customWidth="1"/>
    <col min="8709" max="8710" width="11.42578125" style="73"/>
    <col min="8711" max="8711" width="16" style="73" bestFit="1" customWidth="1"/>
    <col min="8712" max="8961" width="11.42578125" style="73"/>
    <col min="8962" max="8964" width="30.85546875" style="73" customWidth="1"/>
    <col min="8965" max="8966" width="11.42578125" style="73"/>
    <col min="8967" max="8967" width="16" style="73" bestFit="1" customWidth="1"/>
    <col min="8968" max="9217" width="11.42578125" style="73"/>
    <col min="9218" max="9220" width="30.85546875" style="73" customWidth="1"/>
    <col min="9221" max="9222" width="11.42578125" style="73"/>
    <col min="9223" max="9223" width="16" style="73" bestFit="1" customWidth="1"/>
    <col min="9224" max="9473" width="11.42578125" style="73"/>
    <col min="9474" max="9476" width="30.85546875" style="73" customWidth="1"/>
    <col min="9477" max="9478" width="11.42578125" style="73"/>
    <col min="9479" max="9479" width="16" style="73" bestFit="1" customWidth="1"/>
    <col min="9480" max="9729" width="11.42578125" style="73"/>
    <col min="9730" max="9732" width="30.85546875" style="73" customWidth="1"/>
    <col min="9733" max="9734" width="11.42578125" style="73"/>
    <col min="9735" max="9735" width="16" style="73" bestFit="1" customWidth="1"/>
    <col min="9736" max="9985" width="11.42578125" style="73"/>
    <col min="9986" max="9988" width="30.85546875" style="73" customWidth="1"/>
    <col min="9989" max="9990" width="11.42578125" style="73"/>
    <col min="9991" max="9991" width="16" style="73" bestFit="1" customWidth="1"/>
    <col min="9992" max="10241" width="11.42578125" style="73"/>
    <col min="10242" max="10244" width="30.85546875" style="73" customWidth="1"/>
    <col min="10245" max="10246" width="11.42578125" style="73"/>
    <col min="10247" max="10247" width="16" style="73" bestFit="1" customWidth="1"/>
    <col min="10248" max="10497" width="11.42578125" style="73"/>
    <col min="10498" max="10500" width="30.85546875" style="73" customWidth="1"/>
    <col min="10501" max="10502" width="11.42578125" style="73"/>
    <col min="10503" max="10503" width="16" style="73" bestFit="1" customWidth="1"/>
    <col min="10504" max="10753" width="11.42578125" style="73"/>
    <col min="10754" max="10756" width="30.85546875" style="73" customWidth="1"/>
    <col min="10757" max="10758" width="11.42578125" style="73"/>
    <col min="10759" max="10759" width="16" style="73" bestFit="1" customWidth="1"/>
    <col min="10760" max="11009" width="11.42578125" style="73"/>
    <col min="11010" max="11012" width="30.85546875" style="73" customWidth="1"/>
    <col min="11013" max="11014" width="11.42578125" style="73"/>
    <col min="11015" max="11015" width="16" style="73" bestFit="1" customWidth="1"/>
    <col min="11016" max="11265" width="11.42578125" style="73"/>
    <col min="11266" max="11268" width="30.85546875" style="73" customWidth="1"/>
    <col min="11269" max="11270" width="11.42578125" style="73"/>
    <col min="11271" max="11271" width="16" style="73" bestFit="1" customWidth="1"/>
    <col min="11272" max="11521" width="11.42578125" style="73"/>
    <col min="11522" max="11524" width="30.85546875" style="73" customWidth="1"/>
    <col min="11525" max="11526" width="11.42578125" style="73"/>
    <col min="11527" max="11527" width="16" style="73" bestFit="1" customWidth="1"/>
    <col min="11528" max="11777" width="11.42578125" style="73"/>
    <col min="11778" max="11780" width="30.85546875" style="73" customWidth="1"/>
    <col min="11781" max="11782" width="11.42578125" style="73"/>
    <col min="11783" max="11783" width="16" style="73" bestFit="1" customWidth="1"/>
    <col min="11784" max="12033" width="11.42578125" style="73"/>
    <col min="12034" max="12036" width="30.85546875" style="73" customWidth="1"/>
    <col min="12037" max="12038" width="11.42578125" style="73"/>
    <col min="12039" max="12039" width="16" style="73" bestFit="1" customWidth="1"/>
    <col min="12040" max="12289" width="11.42578125" style="73"/>
    <col min="12290" max="12292" width="30.85546875" style="73" customWidth="1"/>
    <col min="12293" max="12294" width="11.42578125" style="73"/>
    <col min="12295" max="12295" width="16" style="73" bestFit="1" customWidth="1"/>
    <col min="12296" max="12545" width="11.42578125" style="73"/>
    <col min="12546" max="12548" width="30.85546875" style="73" customWidth="1"/>
    <col min="12549" max="12550" width="11.42578125" style="73"/>
    <col min="12551" max="12551" width="16" style="73" bestFit="1" customWidth="1"/>
    <col min="12552" max="12801" width="11.42578125" style="73"/>
    <col min="12802" max="12804" width="30.85546875" style="73" customWidth="1"/>
    <col min="12805" max="12806" width="11.42578125" style="73"/>
    <col min="12807" max="12807" width="16" style="73" bestFit="1" customWidth="1"/>
    <col min="12808" max="13057" width="11.42578125" style="73"/>
    <col min="13058" max="13060" width="30.85546875" style="73" customWidth="1"/>
    <col min="13061" max="13062" width="11.42578125" style="73"/>
    <col min="13063" max="13063" width="16" style="73" bestFit="1" customWidth="1"/>
    <col min="13064" max="13313" width="11.42578125" style="73"/>
    <col min="13314" max="13316" width="30.85546875" style="73" customWidth="1"/>
    <col min="13317" max="13318" width="11.42578125" style="73"/>
    <col min="13319" max="13319" width="16" style="73" bestFit="1" customWidth="1"/>
    <col min="13320" max="13569" width="11.42578125" style="73"/>
    <col min="13570" max="13572" width="30.85546875" style="73" customWidth="1"/>
    <col min="13573" max="13574" width="11.42578125" style="73"/>
    <col min="13575" max="13575" width="16" style="73" bestFit="1" customWidth="1"/>
    <col min="13576" max="13825" width="11.42578125" style="73"/>
    <col min="13826" max="13828" width="30.85546875" style="73" customWidth="1"/>
    <col min="13829" max="13830" width="11.42578125" style="73"/>
    <col min="13831" max="13831" width="16" style="73" bestFit="1" customWidth="1"/>
    <col min="13832" max="14081" width="11.42578125" style="73"/>
    <col min="14082" max="14084" width="30.85546875" style="73" customWidth="1"/>
    <col min="14085" max="14086" width="11.42578125" style="73"/>
    <col min="14087" max="14087" width="16" style="73" bestFit="1" customWidth="1"/>
    <col min="14088" max="14337" width="11.42578125" style="73"/>
    <col min="14338" max="14340" width="30.85546875" style="73" customWidth="1"/>
    <col min="14341" max="14342" width="11.42578125" style="73"/>
    <col min="14343" max="14343" width="16" style="73" bestFit="1" customWidth="1"/>
    <col min="14344" max="14593" width="11.42578125" style="73"/>
    <col min="14594" max="14596" width="30.85546875" style="73" customWidth="1"/>
    <col min="14597" max="14598" width="11.42578125" style="73"/>
    <col min="14599" max="14599" width="16" style="73" bestFit="1" customWidth="1"/>
    <col min="14600" max="14849" width="11.42578125" style="73"/>
    <col min="14850" max="14852" width="30.85546875" style="73" customWidth="1"/>
    <col min="14853" max="14854" width="11.42578125" style="73"/>
    <col min="14855" max="14855" width="16" style="73" bestFit="1" customWidth="1"/>
    <col min="14856" max="15105" width="11.42578125" style="73"/>
    <col min="15106" max="15108" width="30.85546875" style="73" customWidth="1"/>
    <col min="15109" max="15110" width="11.42578125" style="73"/>
    <col min="15111" max="15111" width="16" style="73" bestFit="1" customWidth="1"/>
    <col min="15112" max="15361" width="11.42578125" style="73"/>
    <col min="15362" max="15364" width="30.85546875" style="73" customWidth="1"/>
    <col min="15365" max="15366" width="11.42578125" style="73"/>
    <col min="15367" max="15367" width="16" style="73" bestFit="1" customWidth="1"/>
    <col min="15368" max="15617" width="11.42578125" style="73"/>
    <col min="15618" max="15620" width="30.85546875" style="73" customWidth="1"/>
    <col min="15621" max="15622" width="11.42578125" style="73"/>
    <col min="15623" max="15623" width="16" style="73" bestFit="1" customWidth="1"/>
    <col min="15624" max="15873" width="11.42578125" style="73"/>
    <col min="15874" max="15876" width="30.85546875" style="73" customWidth="1"/>
    <col min="15877" max="15878" width="11.42578125" style="73"/>
    <col min="15879" max="15879" width="16" style="73" bestFit="1" customWidth="1"/>
    <col min="15880" max="16129" width="11.42578125" style="73"/>
    <col min="16130" max="16132" width="30.85546875" style="73" customWidth="1"/>
    <col min="16133" max="16134" width="11.42578125" style="73"/>
    <col min="16135" max="16135" width="16" style="73" bestFit="1" customWidth="1"/>
    <col min="16136" max="16384" width="11.42578125" style="73"/>
  </cols>
  <sheetData>
    <row r="1" spans="2:7" s="127" customFormat="1" ht="35.25" customHeight="1" thickBot="1" x14ac:dyDescent="0.3">
      <c r="B1" s="140" t="s">
        <v>191</v>
      </c>
      <c r="C1" s="141"/>
      <c r="D1" s="142"/>
      <c r="E1" s="143"/>
      <c r="F1" s="143"/>
      <c r="G1" s="143"/>
    </row>
    <row r="2" spans="2:7" s="127" customFormat="1" ht="35.25" customHeight="1" thickBot="1" x14ac:dyDescent="0.3">
      <c r="B2" s="144" t="s">
        <v>192</v>
      </c>
      <c r="C2" s="144" t="s">
        <v>181</v>
      </c>
      <c r="D2" s="144" t="s">
        <v>193</v>
      </c>
      <c r="E2" s="143"/>
      <c r="F2" s="143"/>
      <c r="G2" s="143"/>
    </row>
    <row r="3" spans="2:7" s="127" customFormat="1" ht="35.25" customHeight="1" thickBot="1" x14ac:dyDescent="0.3">
      <c r="B3" s="120" t="s">
        <v>194</v>
      </c>
      <c r="C3" s="145">
        <f>'[1]PRESUPUESTO ACTIVOS FIJOS'!E9</f>
        <v>250000</v>
      </c>
      <c r="D3" s="120" t="s">
        <v>195</v>
      </c>
      <c r="E3" s="143"/>
      <c r="F3" s="143"/>
      <c r="G3" s="143"/>
    </row>
    <row r="4" spans="2:7" s="127" customFormat="1" ht="35.25" customHeight="1" thickBot="1" x14ac:dyDescent="0.3">
      <c r="B4" s="120" t="s">
        <v>196</v>
      </c>
      <c r="C4" s="145">
        <f>'[1]RESUMEN CAPITAL DE TRABAJO'!D7</f>
        <v>16250</v>
      </c>
      <c r="D4" s="120" t="s">
        <v>197</v>
      </c>
      <c r="E4" s="143"/>
      <c r="F4" s="143"/>
      <c r="G4" s="146"/>
    </row>
    <row r="5" spans="2:7" s="127" customFormat="1" ht="50.25" customHeight="1" thickBot="1" x14ac:dyDescent="0.3">
      <c r="B5" s="147" t="s">
        <v>198</v>
      </c>
      <c r="C5" s="148">
        <f>SUM(C3:C4)</f>
        <v>266250</v>
      </c>
      <c r="D5" s="149" t="s">
        <v>199</v>
      </c>
      <c r="E5" s="143"/>
      <c r="F5" s="143"/>
      <c r="G5" s="146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8AB7-998D-4791-8AEF-C3C322CAD237}">
  <dimension ref="A1:B4"/>
  <sheetViews>
    <sheetView workbookViewId="0">
      <selection activeCell="A15" sqref="A15"/>
    </sheetView>
  </sheetViews>
  <sheetFormatPr baseColWidth="10" defaultRowHeight="12.75" x14ac:dyDescent="0.2"/>
  <cols>
    <col min="1" max="2" width="38.28515625" style="73" customWidth="1"/>
    <col min="3" max="256" width="11.42578125" style="73"/>
    <col min="257" max="258" width="38.28515625" style="73" customWidth="1"/>
    <col min="259" max="512" width="11.42578125" style="73"/>
    <col min="513" max="514" width="38.28515625" style="73" customWidth="1"/>
    <col min="515" max="768" width="11.42578125" style="73"/>
    <col min="769" max="770" width="38.28515625" style="73" customWidth="1"/>
    <col min="771" max="1024" width="11.42578125" style="73"/>
    <col min="1025" max="1026" width="38.28515625" style="73" customWidth="1"/>
    <col min="1027" max="1280" width="11.42578125" style="73"/>
    <col min="1281" max="1282" width="38.28515625" style="73" customWidth="1"/>
    <col min="1283" max="1536" width="11.42578125" style="73"/>
    <col min="1537" max="1538" width="38.28515625" style="73" customWidth="1"/>
    <col min="1539" max="1792" width="11.42578125" style="73"/>
    <col min="1793" max="1794" width="38.28515625" style="73" customWidth="1"/>
    <col min="1795" max="2048" width="11.42578125" style="73"/>
    <col min="2049" max="2050" width="38.28515625" style="73" customWidth="1"/>
    <col min="2051" max="2304" width="11.42578125" style="73"/>
    <col min="2305" max="2306" width="38.28515625" style="73" customWidth="1"/>
    <col min="2307" max="2560" width="11.42578125" style="73"/>
    <col min="2561" max="2562" width="38.28515625" style="73" customWidth="1"/>
    <col min="2563" max="2816" width="11.42578125" style="73"/>
    <col min="2817" max="2818" width="38.28515625" style="73" customWidth="1"/>
    <col min="2819" max="3072" width="11.42578125" style="73"/>
    <col min="3073" max="3074" width="38.28515625" style="73" customWidth="1"/>
    <col min="3075" max="3328" width="11.42578125" style="73"/>
    <col min="3329" max="3330" width="38.28515625" style="73" customWidth="1"/>
    <col min="3331" max="3584" width="11.42578125" style="73"/>
    <col min="3585" max="3586" width="38.28515625" style="73" customWidth="1"/>
    <col min="3587" max="3840" width="11.42578125" style="73"/>
    <col min="3841" max="3842" width="38.28515625" style="73" customWidth="1"/>
    <col min="3843" max="4096" width="11.42578125" style="73"/>
    <col min="4097" max="4098" width="38.28515625" style="73" customWidth="1"/>
    <col min="4099" max="4352" width="11.42578125" style="73"/>
    <col min="4353" max="4354" width="38.28515625" style="73" customWidth="1"/>
    <col min="4355" max="4608" width="11.42578125" style="73"/>
    <col min="4609" max="4610" width="38.28515625" style="73" customWidth="1"/>
    <col min="4611" max="4864" width="11.42578125" style="73"/>
    <col min="4865" max="4866" width="38.28515625" style="73" customWidth="1"/>
    <col min="4867" max="5120" width="11.42578125" style="73"/>
    <col min="5121" max="5122" width="38.28515625" style="73" customWidth="1"/>
    <col min="5123" max="5376" width="11.42578125" style="73"/>
    <col min="5377" max="5378" width="38.28515625" style="73" customWidth="1"/>
    <col min="5379" max="5632" width="11.42578125" style="73"/>
    <col min="5633" max="5634" width="38.28515625" style="73" customWidth="1"/>
    <col min="5635" max="5888" width="11.42578125" style="73"/>
    <col min="5889" max="5890" width="38.28515625" style="73" customWidth="1"/>
    <col min="5891" max="6144" width="11.42578125" style="73"/>
    <col min="6145" max="6146" width="38.28515625" style="73" customWidth="1"/>
    <col min="6147" max="6400" width="11.42578125" style="73"/>
    <col min="6401" max="6402" width="38.28515625" style="73" customWidth="1"/>
    <col min="6403" max="6656" width="11.42578125" style="73"/>
    <col min="6657" max="6658" width="38.28515625" style="73" customWidth="1"/>
    <col min="6659" max="6912" width="11.42578125" style="73"/>
    <col min="6913" max="6914" width="38.28515625" style="73" customWidth="1"/>
    <col min="6915" max="7168" width="11.42578125" style="73"/>
    <col min="7169" max="7170" width="38.28515625" style="73" customWidth="1"/>
    <col min="7171" max="7424" width="11.42578125" style="73"/>
    <col min="7425" max="7426" width="38.28515625" style="73" customWidth="1"/>
    <col min="7427" max="7680" width="11.42578125" style="73"/>
    <col min="7681" max="7682" width="38.28515625" style="73" customWidth="1"/>
    <col min="7683" max="7936" width="11.42578125" style="73"/>
    <col min="7937" max="7938" width="38.28515625" style="73" customWidth="1"/>
    <col min="7939" max="8192" width="11.42578125" style="73"/>
    <col min="8193" max="8194" width="38.28515625" style="73" customWidth="1"/>
    <col min="8195" max="8448" width="11.42578125" style="73"/>
    <col min="8449" max="8450" width="38.28515625" style="73" customWidth="1"/>
    <col min="8451" max="8704" width="11.42578125" style="73"/>
    <col min="8705" max="8706" width="38.28515625" style="73" customWidth="1"/>
    <col min="8707" max="8960" width="11.42578125" style="73"/>
    <col min="8961" max="8962" width="38.28515625" style="73" customWidth="1"/>
    <col min="8963" max="9216" width="11.42578125" style="73"/>
    <col min="9217" max="9218" width="38.28515625" style="73" customWidth="1"/>
    <col min="9219" max="9472" width="11.42578125" style="73"/>
    <col min="9473" max="9474" width="38.28515625" style="73" customWidth="1"/>
    <col min="9475" max="9728" width="11.42578125" style="73"/>
    <col min="9729" max="9730" width="38.28515625" style="73" customWidth="1"/>
    <col min="9731" max="9984" width="11.42578125" style="73"/>
    <col min="9985" max="9986" width="38.28515625" style="73" customWidth="1"/>
    <col min="9987" max="10240" width="11.42578125" style="73"/>
    <col min="10241" max="10242" width="38.28515625" style="73" customWidth="1"/>
    <col min="10243" max="10496" width="11.42578125" style="73"/>
    <col min="10497" max="10498" width="38.28515625" style="73" customWidth="1"/>
    <col min="10499" max="10752" width="11.42578125" style="73"/>
    <col min="10753" max="10754" width="38.28515625" style="73" customWidth="1"/>
    <col min="10755" max="11008" width="11.42578125" style="73"/>
    <col min="11009" max="11010" width="38.28515625" style="73" customWidth="1"/>
    <col min="11011" max="11264" width="11.42578125" style="73"/>
    <col min="11265" max="11266" width="38.28515625" style="73" customWidth="1"/>
    <col min="11267" max="11520" width="11.42578125" style="73"/>
    <col min="11521" max="11522" width="38.28515625" style="73" customWidth="1"/>
    <col min="11523" max="11776" width="11.42578125" style="73"/>
    <col min="11777" max="11778" width="38.28515625" style="73" customWidth="1"/>
    <col min="11779" max="12032" width="11.42578125" style="73"/>
    <col min="12033" max="12034" width="38.28515625" style="73" customWidth="1"/>
    <col min="12035" max="12288" width="11.42578125" style="73"/>
    <col min="12289" max="12290" width="38.28515625" style="73" customWidth="1"/>
    <col min="12291" max="12544" width="11.42578125" style="73"/>
    <col min="12545" max="12546" width="38.28515625" style="73" customWidth="1"/>
    <col min="12547" max="12800" width="11.42578125" style="73"/>
    <col min="12801" max="12802" width="38.28515625" style="73" customWidth="1"/>
    <col min="12803" max="13056" width="11.42578125" style="73"/>
    <col min="13057" max="13058" width="38.28515625" style="73" customWidth="1"/>
    <col min="13059" max="13312" width="11.42578125" style="73"/>
    <col min="13313" max="13314" width="38.28515625" style="73" customWidth="1"/>
    <col min="13315" max="13568" width="11.42578125" style="73"/>
    <col min="13569" max="13570" width="38.28515625" style="73" customWidth="1"/>
    <col min="13571" max="13824" width="11.42578125" style="73"/>
    <col min="13825" max="13826" width="38.28515625" style="73" customWidth="1"/>
    <col min="13827" max="14080" width="11.42578125" style="73"/>
    <col min="14081" max="14082" width="38.28515625" style="73" customWidth="1"/>
    <col min="14083" max="14336" width="11.42578125" style="73"/>
    <col min="14337" max="14338" width="38.28515625" style="73" customWidth="1"/>
    <col min="14339" max="14592" width="11.42578125" style="73"/>
    <col min="14593" max="14594" width="38.28515625" style="73" customWidth="1"/>
    <col min="14595" max="14848" width="11.42578125" style="73"/>
    <col min="14849" max="14850" width="38.28515625" style="73" customWidth="1"/>
    <col min="14851" max="15104" width="11.42578125" style="73"/>
    <col min="15105" max="15106" width="38.28515625" style="73" customWidth="1"/>
    <col min="15107" max="15360" width="11.42578125" style="73"/>
    <col min="15361" max="15362" width="38.28515625" style="73" customWidth="1"/>
    <col min="15363" max="15616" width="11.42578125" style="73"/>
    <col min="15617" max="15618" width="38.28515625" style="73" customWidth="1"/>
    <col min="15619" max="15872" width="11.42578125" style="73"/>
    <col min="15873" max="15874" width="38.28515625" style="73" customWidth="1"/>
    <col min="15875" max="16128" width="11.42578125" style="73"/>
    <col min="16129" max="16130" width="38.28515625" style="73" customWidth="1"/>
    <col min="16131" max="16384" width="11.42578125" style="73"/>
  </cols>
  <sheetData>
    <row r="1" spans="1:2" s="119" customFormat="1" ht="30.75" customHeight="1" thickBot="1" x14ac:dyDescent="0.3">
      <c r="A1" s="117" t="s">
        <v>176</v>
      </c>
      <c r="B1" s="118"/>
    </row>
    <row r="2" spans="1:2" s="119" customFormat="1" ht="30.75" customHeight="1" thickBot="1" x14ac:dyDescent="0.3">
      <c r="A2" s="120" t="s">
        <v>177</v>
      </c>
      <c r="B2" s="121">
        <v>5000</v>
      </c>
    </row>
    <row r="3" spans="1:2" s="119" customFormat="1" ht="30.75" customHeight="1" thickBot="1" x14ac:dyDescent="0.3">
      <c r="A3" s="120" t="s">
        <v>178</v>
      </c>
      <c r="B3" s="121">
        <v>60000</v>
      </c>
    </row>
    <row r="4" spans="1:2" s="119" customFormat="1" ht="30.75" customHeight="1" thickBot="1" x14ac:dyDescent="0.3">
      <c r="A4" s="122" t="s">
        <v>179</v>
      </c>
      <c r="B4" s="123">
        <f>SUM(B2:B3)</f>
        <v>65000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C1" zoomScale="140" zoomScaleNormal="140" workbookViewId="0">
      <selection activeCell="B8" sqref="B8"/>
    </sheetView>
  </sheetViews>
  <sheetFormatPr baseColWidth="10" defaultRowHeight="15" x14ac:dyDescent="0.25"/>
  <cols>
    <col min="1" max="1" width="29" customWidth="1"/>
    <col min="2" max="2" width="16.140625" customWidth="1"/>
    <col min="3" max="3" width="22.28515625" customWidth="1"/>
    <col min="4" max="4" width="20.42578125" customWidth="1"/>
  </cols>
  <sheetData>
    <row r="1" spans="1:6" x14ac:dyDescent="0.25">
      <c r="A1" s="69" t="s">
        <v>0</v>
      </c>
      <c r="B1" s="69"/>
      <c r="C1" s="69"/>
      <c r="D1" s="69"/>
      <c r="E1" s="69"/>
      <c r="F1" s="69"/>
    </row>
    <row r="3" spans="1:6" x14ac:dyDescent="0.25">
      <c r="A3" t="s">
        <v>1</v>
      </c>
    </row>
    <row r="4" spans="1:6" x14ac:dyDescent="0.25">
      <c r="B4" s="70" t="s">
        <v>3</v>
      </c>
      <c r="C4" s="70"/>
      <c r="D4" s="70"/>
      <c r="E4" s="3"/>
    </row>
    <row r="5" spans="1:6" x14ac:dyDescent="0.25">
      <c r="A5" s="12" t="s">
        <v>2</v>
      </c>
      <c r="B5" s="12" t="s">
        <v>4</v>
      </c>
      <c r="C5" s="13" t="s">
        <v>5</v>
      </c>
      <c r="D5" s="13" t="s">
        <v>6</v>
      </c>
    </row>
    <row r="6" spans="1:6" x14ac:dyDescent="0.25">
      <c r="A6" s="4" t="s">
        <v>7</v>
      </c>
      <c r="B6" s="5">
        <f>+'[1]RESUMEN DE INVERSIONES'!$C$3</f>
        <v>250000</v>
      </c>
      <c r="C6" s="4">
        <v>250000</v>
      </c>
      <c r="D6" s="6" t="s">
        <v>8</v>
      </c>
    </row>
    <row r="7" spans="1:6" x14ac:dyDescent="0.25">
      <c r="A7" s="4" t="s">
        <v>9</v>
      </c>
      <c r="B7" s="5">
        <f>+'[1]RESUMEN DE INVERSIONES'!$C$4</f>
        <v>16250</v>
      </c>
      <c r="C7" s="5">
        <f>B7</f>
        <v>16250</v>
      </c>
      <c r="D7" s="4" t="s">
        <v>8</v>
      </c>
    </row>
    <row r="8" spans="1:6" x14ac:dyDescent="0.25">
      <c r="A8" s="4" t="s">
        <v>10</v>
      </c>
      <c r="B8" s="7">
        <f>+SUM(B6:B7)</f>
        <v>266250</v>
      </c>
      <c r="C8" s="7">
        <f>+SUM(C6:C7)</f>
        <v>266250</v>
      </c>
      <c r="D8" s="7">
        <f>+SUM(D6:D7)</f>
        <v>0</v>
      </c>
    </row>
    <row r="9" spans="1:6" x14ac:dyDescent="0.25">
      <c r="A9" s="4" t="s">
        <v>11</v>
      </c>
      <c r="B9" s="8">
        <v>100</v>
      </c>
      <c r="C9" s="9">
        <f>(C8*B9)/B8</f>
        <v>100</v>
      </c>
      <c r="D9" s="9">
        <f>(D8*B9)/B8</f>
        <v>0</v>
      </c>
    </row>
    <row r="11" spans="1:6" x14ac:dyDescent="0.25">
      <c r="B11">
        <f>120+90+95</f>
        <v>305</v>
      </c>
    </row>
  </sheetData>
  <mergeCells count="2">
    <mergeCell ref="A1:F1"/>
    <mergeCell ref="B4:D4"/>
  </mergeCells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40" zoomScaleNormal="140" workbookViewId="0">
      <selection activeCell="B8" sqref="B8"/>
    </sheetView>
  </sheetViews>
  <sheetFormatPr baseColWidth="10" defaultRowHeight="15" x14ac:dyDescent="0.25"/>
  <cols>
    <col min="1" max="1" width="19.85546875" bestFit="1" customWidth="1"/>
    <col min="2" max="2" width="15" customWidth="1"/>
  </cols>
  <sheetData>
    <row r="1" spans="1:7" x14ac:dyDescent="0.25">
      <c r="A1" s="69" t="s">
        <v>0</v>
      </c>
      <c r="B1" s="69"/>
      <c r="C1" s="69"/>
      <c r="D1" s="69"/>
      <c r="E1" s="69"/>
      <c r="F1" s="69"/>
      <c r="G1" s="69"/>
    </row>
    <row r="3" spans="1:7" x14ac:dyDescent="0.25">
      <c r="A3" s="69" t="s">
        <v>12</v>
      </c>
      <c r="B3" s="69"/>
    </row>
    <row r="5" spans="1:7" ht="30" x14ac:dyDescent="0.25">
      <c r="A5" s="12" t="s">
        <v>13</v>
      </c>
      <c r="B5" s="13" t="s">
        <v>14</v>
      </c>
      <c r="C5" s="12" t="s">
        <v>11</v>
      </c>
    </row>
    <row r="6" spans="1:7" x14ac:dyDescent="0.25">
      <c r="A6" s="4" t="s">
        <v>5</v>
      </c>
      <c r="B6" s="6">
        <f>'Origen de Fondos'!C8</f>
        <v>266250</v>
      </c>
      <c r="C6" s="10">
        <f>'Origen de Fondos'!C9</f>
        <v>100</v>
      </c>
    </row>
    <row r="7" spans="1:7" x14ac:dyDescent="0.25">
      <c r="A7" s="4" t="s">
        <v>6</v>
      </c>
      <c r="B7" s="6">
        <f>'Origen de Fondos'!D8</f>
        <v>0</v>
      </c>
      <c r="C7" s="10">
        <f>'Origen de Fondos'!D9</f>
        <v>0</v>
      </c>
    </row>
    <row r="8" spans="1:7" x14ac:dyDescent="0.25">
      <c r="A8" s="4" t="s">
        <v>15</v>
      </c>
      <c r="B8" s="7">
        <f>SUM(B6:B7)</f>
        <v>266250</v>
      </c>
      <c r="C8" s="11">
        <f>SUM(C6,C7)</f>
        <v>100</v>
      </c>
    </row>
  </sheetData>
  <mergeCells count="2">
    <mergeCell ref="A1:G1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130" zoomScaleNormal="130" workbookViewId="0">
      <selection activeCell="A4" sqref="A4"/>
    </sheetView>
  </sheetViews>
  <sheetFormatPr baseColWidth="10" defaultRowHeight="15" x14ac:dyDescent="0.25"/>
  <cols>
    <col min="1" max="1" width="23.5703125" customWidth="1"/>
    <col min="2" max="3" width="12.7109375" bestFit="1" customWidth="1"/>
    <col min="4" max="4" width="12.42578125" customWidth="1"/>
    <col min="5" max="5" width="11.85546875" bestFit="1" customWidth="1"/>
    <col min="6" max="6" width="12" bestFit="1" customWidth="1"/>
  </cols>
  <sheetData>
    <row r="1" spans="1:6" x14ac:dyDescent="0.25">
      <c r="A1" s="69" t="s">
        <v>39</v>
      </c>
      <c r="B1" s="69"/>
    </row>
    <row r="3" spans="1:6" ht="30" x14ac:dyDescent="0.25">
      <c r="A3" s="12" t="s">
        <v>40</v>
      </c>
      <c r="B3" s="12" t="s">
        <v>37</v>
      </c>
      <c r="C3" s="12" t="s">
        <v>41</v>
      </c>
      <c r="D3" s="13" t="s">
        <v>42</v>
      </c>
      <c r="E3" s="13" t="s">
        <v>43</v>
      </c>
      <c r="F3" s="12" t="s">
        <v>44</v>
      </c>
    </row>
    <row r="4" spans="1:6" x14ac:dyDescent="0.25">
      <c r="A4" s="5">
        <f>'Tasa de Interés'!C15</f>
        <v>0</v>
      </c>
      <c r="B4" s="5">
        <f>'Tasa de Interés'!E15</f>
        <v>0</v>
      </c>
      <c r="C4" s="6">
        <f>'Tasa de Interés'!C12</f>
        <v>0</v>
      </c>
      <c r="D4" s="5">
        <f>'Tasa de Interés'!D15</f>
        <v>0</v>
      </c>
      <c r="E4" s="5">
        <f>A4-D4</f>
        <v>0</v>
      </c>
      <c r="F4" s="4" t="s">
        <v>45</v>
      </c>
    </row>
    <row r="5" spans="1:6" x14ac:dyDescent="0.25">
      <c r="A5" s="6">
        <f>E4</f>
        <v>0</v>
      </c>
      <c r="B5" s="5">
        <f>'Tasa de Interés'!E16</f>
        <v>0</v>
      </c>
      <c r="C5" s="5">
        <f>C4</f>
        <v>0</v>
      </c>
      <c r="D5" s="5">
        <f>'Tasa de Interés'!D16</f>
        <v>0</v>
      </c>
      <c r="E5" s="5">
        <f>A5-D5</f>
        <v>0</v>
      </c>
      <c r="F5" s="4"/>
    </row>
    <row r="6" spans="1:6" x14ac:dyDescent="0.25">
      <c r="A6" s="5">
        <f>E5</f>
        <v>0</v>
      </c>
      <c r="B6" s="5">
        <f>'Tasa de Interés'!E17</f>
        <v>0</v>
      </c>
      <c r="C6" s="5">
        <f>C5</f>
        <v>0</v>
      </c>
      <c r="D6" s="5">
        <f>'Tasa de Interés'!D17</f>
        <v>0</v>
      </c>
      <c r="E6" s="5">
        <f>A6-D6</f>
        <v>0</v>
      </c>
      <c r="F6" s="4"/>
    </row>
    <row r="7" spans="1:6" x14ac:dyDescent="0.25">
      <c r="A7" s="5">
        <f>E6</f>
        <v>0</v>
      </c>
      <c r="B7" s="5">
        <f>'Tasa de Interés'!E18</f>
        <v>0</v>
      </c>
      <c r="C7" s="5">
        <f>C6</f>
        <v>0</v>
      </c>
      <c r="D7" s="5">
        <f>'Tasa de Interés'!D18</f>
        <v>0</v>
      </c>
      <c r="E7" s="5">
        <f>A7-D7</f>
        <v>0</v>
      </c>
      <c r="F7" s="4"/>
    </row>
    <row r="8" spans="1:6" x14ac:dyDescent="0.25">
      <c r="A8" s="5">
        <f>E7</f>
        <v>0</v>
      </c>
      <c r="B8" s="5">
        <f>'Tasa de Interés'!E19</f>
        <v>0</v>
      </c>
      <c r="C8" s="5">
        <f>C7</f>
        <v>0</v>
      </c>
      <c r="D8" s="5">
        <f>'Tasa de Interés'!D19</f>
        <v>0</v>
      </c>
      <c r="E8" s="5">
        <f>A8-D8</f>
        <v>0</v>
      </c>
      <c r="F8" s="4"/>
    </row>
    <row r="10" spans="1:6" x14ac:dyDescent="0.25">
      <c r="A10" s="4"/>
      <c r="B10" s="4" t="s">
        <v>91</v>
      </c>
      <c r="C10" s="4" t="s">
        <v>76</v>
      </c>
      <c r="D10" s="4" t="s">
        <v>92</v>
      </c>
      <c r="E10" s="4" t="s">
        <v>93</v>
      </c>
      <c r="F10" s="4" t="s">
        <v>94</v>
      </c>
    </row>
    <row r="11" spans="1:6" x14ac:dyDescent="0.25">
      <c r="A11" s="4" t="s">
        <v>37</v>
      </c>
      <c r="B11" s="6">
        <f>B4</f>
        <v>0</v>
      </c>
      <c r="C11" s="6">
        <f>B5</f>
        <v>0</v>
      </c>
      <c r="D11" s="6">
        <f>B6</f>
        <v>0</v>
      </c>
      <c r="E11" s="6">
        <f>B7</f>
        <v>0</v>
      </c>
      <c r="F11" s="6">
        <f>B8</f>
        <v>0</v>
      </c>
    </row>
    <row r="12" spans="1:6" ht="30" x14ac:dyDescent="0.25">
      <c r="A12" s="41" t="s">
        <v>95</v>
      </c>
      <c r="B12" s="42">
        <v>180</v>
      </c>
      <c r="C12" s="42">
        <v>186.48</v>
      </c>
      <c r="D12" s="42">
        <v>193.19</v>
      </c>
      <c r="E12" s="42">
        <v>200.15</v>
      </c>
      <c r="F12" s="42">
        <v>207.35</v>
      </c>
    </row>
    <row r="13" spans="1:6" x14ac:dyDescent="0.25">
      <c r="A13" s="4" t="s">
        <v>96</v>
      </c>
      <c r="B13" s="25">
        <f>B11+B12</f>
        <v>180</v>
      </c>
      <c r="C13" s="25">
        <f>C11+C12</f>
        <v>186.48</v>
      </c>
      <c r="D13" s="25">
        <f>D11+D12</f>
        <v>193.19</v>
      </c>
      <c r="E13" s="25">
        <f>E11+E12</f>
        <v>200.15</v>
      </c>
      <c r="F13" s="25">
        <f>F11+F12</f>
        <v>207.35</v>
      </c>
    </row>
    <row r="15" spans="1:6" x14ac:dyDescent="0.25">
      <c r="C15">
        <f>B12/C12*100</f>
        <v>96.525096525096529</v>
      </c>
    </row>
    <row r="16" spans="1:6" x14ac:dyDescent="0.25">
      <c r="C16" s="4">
        <f>100-C15</f>
        <v>3.4749034749034706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zoomScale="145" zoomScaleNormal="145" workbookViewId="0">
      <selection activeCell="D10" sqref="D10"/>
    </sheetView>
  </sheetViews>
  <sheetFormatPr baseColWidth="10" defaultRowHeight="15" x14ac:dyDescent="0.25"/>
  <cols>
    <col min="1" max="1" width="11" customWidth="1"/>
    <col min="2" max="2" width="19.85546875" customWidth="1"/>
    <col min="3" max="3" width="13.85546875" bestFit="1" customWidth="1"/>
    <col min="4" max="5" width="13.28515625" bestFit="1" customWidth="1"/>
    <col min="6" max="6" width="12" bestFit="1" customWidth="1"/>
    <col min="7" max="7" width="9.85546875" customWidth="1"/>
  </cols>
  <sheetData>
    <row r="1" spans="1:13" x14ac:dyDescent="0.25">
      <c r="A1" s="71" t="s">
        <v>38</v>
      </c>
      <c r="B1" s="71"/>
      <c r="C1" s="71"/>
      <c r="D1" s="71"/>
      <c r="E1" s="71"/>
    </row>
    <row r="3" spans="1:13" x14ac:dyDescent="0.25">
      <c r="B3" s="14" t="s">
        <v>16</v>
      </c>
    </row>
    <row r="5" spans="1:13" x14ac:dyDescent="0.25">
      <c r="B5" s="16" t="s">
        <v>17</v>
      </c>
      <c r="C5" s="17">
        <f>'Estructura Financiera'!B7</f>
        <v>0</v>
      </c>
    </row>
    <row r="6" spans="1:13" x14ac:dyDescent="0.25">
      <c r="B6" s="16" t="s">
        <v>18</v>
      </c>
      <c r="C6" s="18">
        <v>5</v>
      </c>
      <c r="D6" t="s">
        <v>19</v>
      </c>
      <c r="E6" t="s">
        <v>71</v>
      </c>
    </row>
    <row r="7" spans="1:13" x14ac:dyDescent="0.25">
      <c r="B7" s="16" t="s">
        <v>20</v>
      </c>
      <c r="C7" s="19">
        <v>0.15</v>
      </c>
      <c r="D7" s="32" t="s">
        <v>37</v>
      </c>
      <c r="E7" s="33">
        <f>14/100</f>
        <v>0.14000000000000001</v>
      </c>
    </row>
    <row r="8" spans="1:13" x14ac:dyDescent="0.25">
      <c r="B8" s="16" t="s">
        <v>21</v>
      </c>
      <c r="C8" s="20" t="s">
        <v>30</v>
      </c>
      <c r="G8" t="s">
        <v>31</v>
      </c>
    </row>
    <row r="9" spans="1:13" ht="17.25" x14ac:dyDescent="0.25">
      <c r="B9" s="16" t="s">
        <v>22</v>
      </c>
      <c r="C9" s="16" t="s">
        <v>23</v>
      </c>
      <c r="G9" t="s">
        <v>32</v>
      </c>
    </row>
    <row r="10" spans="1:13" x14ac:dyDescent="0.25">
      <c r="B10" s="16" t="s">
        <v>24</v>
      </c>
      <c r="C10" s="16" t="s">
        <v>25</v>
      </c>
      <c r="G10" t="s">
        <v>33</v>
      </c>
    </row>
    <row r="11" spans="1:13" ht="17.25" x14ac:dyDescent="0.25">
      <c r="G11" t="s">
        <v>34</v>
      </c>
    </row>
    <row r="12" spans="1:13" ht="30" x14ac:dyDescent="0.25">
      <c r="B12" s="34" t="s">
        <v>35</v>
      </c>
      <c r="C12" s="35">
        <f>C5*(E7*POWER(1+E7,C6)/(POWER(1+E7,C6)-1))</f>
        <v>0</v>
      </c>
    </row>
    <row r="13" spans="1:13" x14ac:dyDescent="0.25">
      <c r="G13" s="36"/>
    </row>
    <row r="14" spans="1:13" ht="60" x14ac:dyDescent="0.25">
      <c r="A14" s="21" t="s">
        <v>26</v>
      </c>
      <c r="B14" s="21" t="s">
        <v>27</v>
      </c>
      <c r="C14" s="21" t="s">
        <v>28</v>
      </c>
      <c r="D14" s="21" t="s">
        <v>72</v>
      </c>
      <c r="E14" s="21" t="s">
        <v>29</v>
      </c>
      <c r="F14" s="21" t="s">
        <v>36</v>
      </c>
      <c r="G14" s="1"/>
    </row>
    <row r="15" spans="1:13" x14ac:dyDescent="0.25">
      <c r="A15" s="4">
        <v>1</v>
      </c>
      <c r="B15" s="26">
        <v>42125</v>
      </c>
      <c r="C15" s="24">
        <f>C5</f>
        <v>0</v>
      </c>
      <c r="D15" s="24">
        <f>F15-E15</f>
        <v>0</v>
      </c>
      <c r="E15" s="23">
        <f>C15*$E$7</f>
        <v>0</v>
      </c>
      <c r="F15" s="23">
        <f>$C$12</f>
        <v>0</v>
      </c>
      <c r="G15" s="15">
        <v>158.6</v>
      </c>
      <c r="H15">
        <v>320.25</v>
      </c>
    </row>
    <row r="16" spans="1:13" x14ac:dyDescent="0.25">
      <c r="A16" s="4">
        <v>2</v>
      </c>
      <c r="B16" s="26">
        <f>B15+30</f>
        <v>42155</v>
      </c>
      <c r="C16" s="25">
        <f>C15-D15</f>
        <v>0</v>
      </c>
      <c r="D16" s="24">
        <f>F16-E16</f>
        <v>0</v>
      </c>
      <c r="E16" s="23">
        <f>C16*$E$7</f>
        <v>0</v>
      </c>
      <c r="F16" s="23">
        <f>$C$12</f>
        <v>0</v>
      </c>
      <c r="G16" s="15"/>
      <c r="J16" s="2"/>
      <c r="K16" s="2"/>
      <c r="L16" s="2"/>
      <c r="M16" s="2"/>
    </row>
    <row r="17" spans="1:13" x14ac:dyDescent="0.25">
      <c r="A17" s="4">
        <v>3</v>
      </c>
      <c r="B17" s="26">
        <f>B16+30</f>
        <v>42185</v>
      </c>
      <c r="C17" s="25">
        <f>C16-D16</f>
        <v>0</v>
      </c>
      <c r="D17" s="24">
        <f>F17-E17</f>
        <v>0</v>
      </c>
      <c r="E17" s="23">
        <f>C17*$E$7</f>
        <v>0</v>
      </c>
      <c r="F17" s="23">
        <f>$C$12</f>
        <v>0</v>
      </c>
      <c r="G17" s="15"/>
      <c r="J17" s="2"/>
      <c r="K17" s="2"/>
      <c r="L17" s="2"/>
      <c r="M17" s="2"/>
    </row>
    <row r="18" spans="1:13" x14ac:dyDescent="0.25">
      <c r="A18" s="4">
        <v>4</v>
      </c>
      <c r="B18" s="26">
        <f>B17+30</f>
        <v>42215</v>
      </c>
      <c r="C18" s="25">
        <f>C17-D17</f>
        <v>0</v>
      </c>
      <c r="D18" s="24">
        <f>F18-E18</f>
        <v>0</v>
      </c>
      <c r="E18" s="23">
        <f>C18*$E$7</f>
        <v>0</v>
      </c>
      <c r="F18" s="23">
        <f>$C$12</f>
        <v>0</v>
      </c>
      <c r="G18" s="15">
        <f>12*3</f>
        <v>36</v>
      </c>
      <c r="J18" s="2"/>
      <c r="K18" s="2"/>
      <c r="L18" s="2"/>
      <c r="M18" s="2"/>
    </row>
    <row r="19" spans="1:13" s="27" customFormat="1" x14ac:dyDescent="0.25">
      <c r="A19" s="22">
        <v>5</v>
      </c>
      <c r="B19" s="26">
        <f>B18+30</f>
        <v>42245</v>
      </c>
      <c r="C19" s="25">
        <f>C18-D18</f>
        <v>0</v>
      </c>
      <c r="D19" s="24">
        <f>F19-E19</f>
        <v>0</v>
      </c>
      <c r="E19" s="23">
        <f>C19*$E$7</f>
        <v>0</v>
      </c>
      <c r="F19" s="23">
        <f>$C$12</f>
        <v>0</v>
      </c>
      <c r="G19" s="29"/>
      <c r="J19" s="31"/>
      <c r="K19" s="31"/>
      <c r="L19" s="31"/>
      <c r="M19" s="31"/>
    </row>
    <row r="20" spans="1:13" s="27" customFormat="1" x14ac:dyDescent="0.25">
      <c r="B20" s="26"/>
      <c r="C20" s="25"/>
      <c r="D20" s="24"/>
      <c r="E20" s="23"/>
      <c r="F20" s="23"/>
    </row>
    <row r="21" spans="1:13" s="27" customFormat="1" x14ac:dyDescent="0.25">
      <c r="B21" s="28"/>
      <c r="C21" s="29"/>
      <c r="D21" s="30"/>
      <c r="E21" s="30"/>
      <c r="F21" s="30"/>
    </row>
    <row r="22" spans="1:13" s="27" customFormat="1" x14ac:dyDescent="0.25">
      <c r="B22" s="28"/>
      <c r="C22" s="29"/>
      <c r="D22" s="30"/>
      <c r="E22" s="30"/>
      <c r="F22" s="30"/>
    </row>
    <row r="23" spans="1:13" s="27" customFormat="1" x14ac:dyDescent="0.25">
      <c r="B23" s="28"/>
      <c r="C23" s="29"/>
      <c r="D23" s="30"/>
      <c r="E23" s="30"/>
      <c r="F23" s="30"/>
    </row>
    <row r="24" spans="1:13" s="27" customFormat="1" x14ac:dyDescent="0.25">
      <c r="B24" s="28"/>
      <c r="C24" s="29"/>
      <c r="D24" s="30"/>
      <c r="E24" s="30"/>
      <c r="F24" s="30"/>
    </row>
    <row r="25" spans="1:13" s="27" customFormat="1" x14ac:dyDescent="0.25">
      <c r="B25" s="28"/>
      <c r="C25" s="29"/>
      <c r="D25" s="30"/>
      <c r="E25" s="30"/>
      <c r="F25" s="30"/>
    </row>
    <row r="26" spans="1:13" s="27" customFormat="1" x14ac:dyDescent="0.25">
      <c r="B26" s="28"/>
      <c r="C26" s="29"/>
      <c r="D26" s="30"/>
      <c r="E26" s="30"/>
      <c r="F26" s="30"/>
    </row>
    <row r="27" spans="1:13" s="27" customFormat="1" x14ac:dyDescent="0.25">
      <c r="B27" s="28"/>
      <c r="C27" s="29"/>
      <c r="D27" s="30"/>
      <c r="E27" s="30"/>
      <c r="F27" s="30"/>
    </row>
    <row r="28" spans="1:13" s="27" customFormat="1" x14ac:dyDescent="0.25">
      <c r="B28" s="28"/>
      <c r="C28" s="29"/>
      <c r="D28" s="30"/>
      <c r="E28" s="30"/>
      <c r="F28" s="30"/>
    </row>
    <row r="29" spans="1:13" s="27" customFormat="1" x14ac:dyDescent="0.25">
      <c r="B29" s="28"/>
      <c r="C29" s="29"/>
      <c r="D29" s="30"/>
      <c r="E29" s="30"/>
      <c r="F29" s="30"/>
    </row>
    <row r="30" spans="1:13" s="27" customFormat="1" x14ac:dyDescent="0.25">
      <c r="B30" s="28"/>
      <c r="C30" s="29"/>
      <c r="D30" s="30"/>
      <c r="E30" s="30"/>
      <c r="F30" s="30"/>
    </row>
    <row r="31" spans="1:13" s="27" customFormat="1" x14ac:dyDescent="0.25">
      <c r="B31" s="28"/>
      <c r="C31" s="29"/>
      <c r="D31" s="30"/>
      <c r="E31" s="30"/>
      <c r="F31" s="30"/>
    </row>
    <row r="32" spans="1:13" s="27" customFormat="1" x14ac:dyDescent="0.25">
      <c r="B32" s="28"/>
      <c r="C32" s="29"/>
      <c r="D32" s="30"/>
      <c r="E32" s="30"/>
      <c r="F32" s="30"/>
    </row>
    <row r="33" spans="4:5" s="27" customFormat="1" x14ac:dyDescent="0.25">
      <c r="D33" s="29"/>
      <c r="E33" s="29"/>
    </row>
  </sheetData>
  <mergeCells count="1">
    <mergeCell ref="A1:E1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topLeftCell="A10" zoomScale="130" zoomScaleNormal="130" workbookViewId="0">
      <selection activeCell="D28" sqref="D28"/>
    </sheetView>
  </sheetViews>
  <sheetFormatPr baseColWidth="10" defaultRowHeight="15" x14ac:dyDescent="0.25"/>
  <cols>
    <col min="1" max="1" width="37.7109375" bestFit="1" customWidth="1"/>
    <col min="2" max="3" width="12.85546875" bestFit="1" customWidth="1"/>
    <col min="4" max="4" width="14.28515625" customWidth="1"/>
  </cols>
  <sheetData>
    <row r="1" spans="1:4" x14ac:dyDescent="0.25">
      <c r="A1" s="71" t="s">
        <v>46</v>
      </c>
      <c r="B1" s="71"/>
      <c r="C1" s="71"/>
      <c r="D1" s="71"/>
    </row>
    <row r="3" spans="1:4" ht="30" x14ac:dyDescent="0.25">
      <c r="A3" s="13" t="s">
        <v>50</v>
      </c>
      <c r="B3" s="13" t="s">
        <v>51</v>
      </c>
      <c r="C3" s="13" t="s">
        <v>52</v>
      </c>
    </row>
    <row r="4" spans="1:4" x14ac:dyDescent="0.25">
      <c r="A4" s="12" t="s">
        <v>47</v>
      </c>
      <c r="B4" s="4"/>
      <c r="C4" s="4"/>
    </row>
    <row r="5" spans="1:4" x14ac:dyDescent="0.25">
      <c r="A5" s="12" t="s">
        <v>48</v>
      </c>
      <c r="B5" s="4"/>
      <c r="C5" s="4"/>
    </row>
    <row r="6" spans="1:4" x14ac:dyDescent="0.25">
      <c r="A6" s="4" t="s">
        <v>49</v>
      </c>
      <c r="B6" s="4"/>
      <c r="C6" s="6">
        <f>'Origen de Fondos'!B7</f>
        <v>16250</v>
      </c>
    </row>
    <row r="7" spans="1:4" x14ac:dyDescent="0.25">
      <c r="A7" s="4"/>
      <c r="B7" s="4"/>
      <c r="C7" s="4"/>
    </row>
    <row r="8" spans="1:4" x14ac:dyDescent="0.25">
      <c r="A8" s="12" t="s">
        <v>53</v>
      </c>
      <c r="B8" s="4"/>
      <c r="C8" s="7">
        <f>SUM(B10:B11)</f>
        <v>250000</v>
      </c>
    </row>
    <row r="9" spans="1:4" x14ac:dyDescent="0.25">
      <c r="A9" s="12" t="s">
        <v>54</v>
      </c>
      <c r="B9" s="4"/>
      <c r="C9" s="4"/>
    </row>
    <row r="10" spans="1:4" x14ac:dyDescent="0.25">
      <c r="A10" s="37" t="str">
        <f>+'[1]PRESUPUESTO ACTIVOS FIJOS'!$A$4</f>
        <v>Equipos de Producción</v>
      </c>
      <c r="B10" s="5">
        <f>+'[1]PRESUPUESTO ACTIVOS FIJOS'!$E$5</f>
        <v>250000</v>
      </c>
      <c r="C10" s="4"/>
    </row>
    <row r="11" spans="1:4" x14ac:dyDescent="0.25">
      <c r="A11" s="37" t="s">
        <v>55</v>
      </c>
      <c r="B11" s="5">
        <v>0</v>
      </c>
      <c r="C11" s="4"/>
    </row>
    <row r="12" spans="1:4" x14ac:dyDescent="0.25">
      <c r="A12" s="4"/>
      <c r="B12" s="4"/>
      <c r="C12" s="4"/>
    </row>
    <row r="13" spans="1:4" x14ac:dyDescent="0.25">
      <c r="A13" s="12" t="s">
        <v>56</v>
      </c>
      <c r="B13" s="4"/>
      <c r="C13" s="6">
        <f>SUM(B14:B19)</f>
        <v>0</v>
      </c>
    </row>
    <row r="14" spans="1:4" x14ac:dyDescent="0.25">
      <c r="A14" s="4" t="s">
        <v>57</v>
      </c>
      <c r="B14" s="5">
        <v>0</v>
      </c>
      <c r="C14" s="4"/>
    </row>
    <row r="15" spans="1:4" x14ac:dyDescent="0.25">
      <c r="A15" s="4" t="s">
        <v>58</v>
      </c>
      <c r="B15" s="5">
        <v>0</v>
      </c>
      <c r="C15" s="4"/>
    </row>
    <row r="16" spans="1:4" x14ac:dyDescent="0.25">
      <c r="A16" s="4" t="s">
        <v>59</v>
      </c>
      <c r="B16" s="5">
        <v>0</v>
      </c>
      <c r="C16" s="4"/>
    </row>
    <row r="17" spans="1:4" x14ac:dyDescent="0.25">
      <c r="A17" s="4" t="s">
        <v>60</v>
      </c>
      <c r="B17" s="5">
        <v>0</v>
      </c>
      <c r="C17" s="4"/>
    </row>
    <row r="18" spans="1:4" x14ac:dyDescent="0.25">
      <c r="A18" s="4" t="s">
        <v>61</v>
      </c>
      <c r="B18" s="5">
        <v>0</v>
      </c>
      <c r="C18" s="4"/>
    </row>
    <row r="19" spans="1:4" x14ac:dyDescent="0.25">
      <c r="A19" s="4" t="s">
        <v>62</v>
      </c>
      <c r="B19" s="5">
        <v>0</v>
      </c>
      <c r="C19" s="4"/>
    </row>
    <row r="20" spans="1:4" x14ac:dyDescent="0.25">
      <c r="A20" s="4"/>
      <c r="B20" s="4"/>
      <c r="C20" s="4"/>
    </row>
    <row r="21" spans="1:4" x14ac:dyDescent="0.25">
      <c r="A21" s="12" t="s">
        <v>63</v>
      </c>
      <c r="B21" s="4"/>
      <c r="C21" s="38">
        <f>C6+C8+C13</f>
        <v>266250</v>
      </c>
    </row>
    <row r="22" spans="1:4" x14ac:dyDescent="0.25">
      <c r="A22" s="4"/>
      <c r="B22" s="4"/>
      <c r="C22" s="4"/>
    </row>
    <row r="23" spans="1:4" x14ac:dyDescent="0.25">
      <c r="A23" s="12" t="s">
        <v>64</v>
      </c>
      <c r="B23" s="4"/>
      <c r="C23" s="4"/>
    </row>
    <row r="24" spans="1:4" x14ac:dyDescent="0.25">
      <c r="A24" s="12" t="s">
        <v>65</v>
      </c>
      <c r="B24" s="4"/>
      <c r="C24" s="4"/>
    </row>
    <row r="25" spans="1:4" x14ac:dyDescent="0.25">
      <c r="A25" s="4"/>
      <c r="B25" s="4"/>
      <c r="C25" s="4"/>
    </row>
    <row r="26" spans="1:4" x14ac:dyDescent="0.25">
      <c r="A26" s="12" t="s">
        <v>66</v>
      </c>
      <c r="B26" s="4"/>
      <c r="C26" s="7">
        <f>B27</f>
        <v>0</v>
      </c>
    </row>
    <row r="27" spans="1:4" x14ac:dyDescent="0.25">
      <c r="A27" s="37" t="s">
        <v>67</v>
      </c>
      <c r="B27" s="5">
        <f>'Estructura Financiera'!B7</f>
        <v>0</v>
      </c>
      <c r="C27" s="4"/>
      <c r="D27" s="52"/>
    </row>
    <row r="28" spans="1:4" x14ac:dyDescent="0.25">
      <c r="A28" s="4"/>
      <c r="B28" s="4"/>
      <c r="C28" s="4"/>
    </row>
    <row r="29" spans="1:4" x14ac:dyDescent="0.25">
      <c r="A29" s="12" t="s">
        <v>68</v>
      </c>
      <c r="B29" s="4"/>
      <c r="C29" s="7">
        <f>B30</f>
        <v>266250</v>
      </c>
    </row>
    <row r="30" spans="1:4" x14ac:dyDescent="0.25">
      <c r="A30" s="4" t="s">
        <v>69</v>
      </c>
      <c r="B30" s="6">
        <f>'Origen de Fondos'!C8</f>
        <v>266250</v>
      </c>
      <c r="C30" s="4"/>
    </row>
    <row r="31" spans="1:4" x14ac:dyDescent="0.25">
      <c r="A31" s="4"/>
      <c r="B31" s="4"/>
      <c r="C31" s="4"/>
    </row>
    <row r="32" spans="1:4" x14ac:dyDescent="0.25">
      <c r="A32" s="12" t="s">
        <v>70</v>
      </c>
      <c r="B32" s="4"/>
      <c r="C32" s="7">
        <f>C26+C29</f>
        <v>266250</v>
      </c>
    </row>
    <row r="33" spans="3:4" x14ac:dyDescent="0.25">
      <c r="D33" s="52">
        <f>C21-C32</f>
        <v>0</v>
      </c>
    </row>
    <row r="34" spans="3:4" x14ac:dyDescent="0.25">
      <c r="C34" s="52"/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opLeftCell="D19" zoomScale="130" zoomScaleNormal="130" workbookViewId="0">
      <selection activeCell="E45" sqref="E45"/>
    </sheetView>
  </sheetViews>
  <sheetFormatPr baseColWidth="10" defaultRowHeight="15" x14ac:dyDescent="0.25"/>
  <cols>
    <col min="1" max="1" width="41.5703125" customWidth="1"/>
    <col min="2" max="2" width="14.85546875" customWidth="1"/>
    <col min="3" max="3" width="13.7109375" bestFit="1" customWidth="1"/>
    <col min="4" max="4" width="14.85546875" customWidth="1"/>
    <col min="5" max="5" width="14.5703125" bestFit="1" customWidth="1"/>
    <col min="6" max="6" width="15.7109375" customWidth="1"/>
    <col min="7" max="7" width="16.7109375" customWidth="1"/>
    <col min="8" max="8" width="15.5703125" bestFit="1" customWidth="1"/>
    <col min="9" max="9" width="12.85546875" bestFit="1" customWidth="1"/>
  </cols>
  <sheetData>
    <row r="1" spans="1:9" x14ac:dyDescent="0.25">
      <c r="A1" t="s">
        <v>73</v>
      </c>
      <c r="E1" s="52"/>
      <c r="F1" s="52"/>
      <c r="G1" s="52"/>
    </row>
    <row r="2" spans="1:9" x14ac:dyDescent="0.25">
      <c r="C2" s="49" t="s">
        <v>130</v>
      </c>
    </row>
    <row r="3" spans="1:9" ht="30" x14ac:dyDescent="0.25">
      <c r="A3" s="12" t="s">
        <v>74</v>
      </c>
      <c r="B3" s="13" t="s">
        <v>124</v>
      </c>
      <c r="C3" s="12" t="s">
        <v>75</v>
      </c>
      <c r="D3" s="12" t="s">
        <v>76</v>
      </c>
      <c r="E3" s="12" t="s">
        <v>77</v>
      </c>
      <c r="F3" s="12" t="s">
        <v>78</v>
      </c>
      <c r="G3" s="12" t="s">
        <v>79</v>
      </c>
    </row>
    <row r="4" spans="1:9" x14ac:dyDescent="0.25">
      <c r="A4" s="61" t="s">
        <v>108</v>
      </c>
      <c r="B4" s="62">
        <f>-'Origen de Fondos'!B6</f>
        <v>-250000</v>
      </c>
      <c r="C4" s="12"/>
      <c r="D4" s="12"/>
      <c r="E4" s="12"/>
      <c r="F4" s="12"/>
      <c r="G4" s="12"/>
    </row>
    <row r="5" spans="1:9" x14ac:dyDescent="0.25">
      <c r="A5" s="61" t="s">
        <v>109</v>
      </c>
      <c r="B5" s="62">
        <v>0</v>
      </c>
      <c r="C5" s="12"/>
      <c r="D5" s="12"/>
      <c r="E5" s="12"/>
      <c r="F5" s="12"/>
      <c r="G5" s="12"/>
    </row>
    <row r="6" spans="1:9" x14ac:dyDescent="0.25">
      <c r="A6" s="61" t="s">
        <v>110</v>
      </c>
      <c r="B6" s="62">
        <f>-'Origen de Fondos'!B7</f>
        <v>-16250</v>
      </c>
      <c r="C6" s="12"/>
      <c r="D6" s="12"/>
      <c r="E6" s="12"/>
      <c r="F6" s="12"/>
      <c r="G6" s="12"/>
    </row>
    <row r="7" spans="1:9" x14ac:dyDescent="0.25">
      <c r="A7" s="64" t="s">
        <v>113</v>
      </c>
      <c r="B7" s="63">
        <f>'Amortización Deuda'!A4</f>
        <v>0</v>
      </c>
      <c r="C7" s="12"/>
      <c r="D7" s="12"/>
      <c r="E7" s="12"/>
      <c r="F7" s="12"/>
      <c r="G7" s="12"/>
    </row>
    <row r="8" spans="1:9" x14ac:dyDescent="0.25">
      <c r="A8" s="12"/>
      <c r="B8" s="12"/>
      <c r="C8" s="12"/>
      <c r="D8" s="12"/>
      <c r="E8" s="12"/>
      <c r="F8" s="12"/>
      <c r="G8" s="12"/>
    </row>
    <row r="9" spans="1:9" x14ac:dyDescent="0.25">
      <c r="A9" s="12" t="s">
        <v>129</v>
      </c>
      <c r="B9" s="12"/>
      <c r="C9" s="5">
        <f>200*1.6*1500</f>
        <v>480000</v>
      </c>
      <c r="D9" s="5">
        <f>C9+C9*10%</f>
        <v>528000</v>
      </c>
      <c r="E9" s="5">
        <f t="shared" ref="E9:G9" si="0">D9+D9*10%</f>
        <v>580800</v>
      </c>
      <c r="F9" s="5">
        <f t="shared" si="0"/>
        <v>638880</v>
      </c>
      <c r="G9" s="5">
        <f t="shared" si="0"/>
        <v>702768</v>
      </c>
      <c r="H9" s="48"/>
      <c r="I9" s="52"/>
    </row>
    <row r="10" spans="1:9" x14ac:dyDescent="0.25">
      <c r="A10" s="4" t="s">
        <v>80</v>
      </c>
      <c r="B10" s="4"/>
      <c r="C10" s="5">
        <f>200*1500</f>
        <v>300000</v>
      </c>
      <c r="D10" s="5">
        <f>C10+C10*11%</f>
        <v>333000</v>
      </c>
      <c r="E10" s="5">
        <f t="shared" ref="E10:G10" si="1">D10+D10*11%</f>
        <v>369630</v>
      </c>
      <c r="F10" s="5">
        <f t="shared" si="1"/>
        <v>410289.3</v>
      </c>
      <c r="G10" s="5">
        <f t="shared" si="1"/>
        <v>455421.12299999996</v>
      </c>
      <c r="H10" s="48"/>
    </row>
    <row r="11" spans="1:9" x14ac:dyDescent="0.25">
      <c r="A11" s="43" t="s">
        <v>81</v>
      </c>
      <c r="B11" s="43"/>
      <c r="C11" s="55">
        <f>C9-C10</f>
        <v>180000</v>
      </c>
      <c r="D11" s="55">
        <f>D9-D10</f>
        <v>195000</v>
      </c>
      <c r="E11" s="55">
        <f>E9-E10</f>
        <v>211170</v>
      </c>
      <c r="F11" s="55">
        <f>F9-F10</f>
        <v>228590.7</v>
      </c>
      <c r="G11" s="55">
        <f>G9-G10</f>
        <v>247346.87700000004</v>
      </c>
      <c r="H11" s="53"/>
      <c r="I11" s="54"/>
    </row>
    <row r="12" spans="1:9" x14ac:dyDescent="0.25">
      <c r="A12" s="4" t="s">
        <v>82</v>
      </c>
      <c r="B12" s="4"/>
      <c r="C12" s="4">
        <v>5000</v>
      </c>
      <c r="D12" s="6">
        <f>+C12+C12*0.03</f>
        <v>5150</v>
      </c>
      <c r="E12" s="6">
        <f t="shared" ref="E12:G12" si="2">+D12+D12*0.03</f>
        <v>5304.5</v>
      </c>
      <c r="F12" s="6">
        <f t="shared" si="2"/>
        <v>5463.6350000000002</v>
      </c>
      <c r="G12" s="6">
        <f t="shared" si="2"/>
        <v>5627.5440500000004</v>
      </c>
    </row>
    <row r="13" spans="1:9" x14ac:dyDescent="0.25">
      <c r="A13" s="4" t="s">
        <v>83</v>
      </c>
      <c r="B13" s="4"/>
      <c r="C13" s="5">
        <v>20000</v>
      </c>
      <c r="D13" s="5">
        <v>20000</v>
      </c>
      <c r="E13" s="5">
        <v>20000</v>
      </c>
      <c r="F13" s="5">
        <v>20000</v>
      </c>
      <c r="G13" s="5">
        <v>20000</v>
      </c>
    </row>
    <row r="14" spans="1:9" x14ac:dyDescent="0.25">
      <c r="A14" s="4" t="s">
        <v>84</v>
      </c>
      <c r="B14" s="4"/>
      <c r="C14" s="5">
        <v>100000</v>
      </c>
      <c r="D14" s="5">
        <v>100000</v>
      </c>
      <c r="E14" s="5">
        <v>100000</v>
      </c>
      <c r="F14" s="5">
        <v>100000</v>
      </c>
      <c r="G14" s="5">
        <v>100000</v>
      </c>
      <c r="H14" s="52">
        <f>C14*1.1</f>
        <v>110000.00000000001</v>
      </c>
    </row>
    <row r="15" spans="1:9" x14ac:dyDescent="0.25">
      <c r="A15" s="4" t="s">
        <v>85</v>
      </c>
      <c r="B15" s="4"/>
      <c r="C15" s="5">
        <v>50000</v>
      </c>
      <c r="D15" s="5">
        <v>10237</v>
      </c>
      <c r="E15" s="5">
        <v>10237</v>
      </c>
      <c r="F15" s="5">
        <v>10237</v>
      </c>
      <c r="G15" s="5">
        <v>10237</v>
      </c>
    </row>
    <row r="16" spans="1:9" x14ac:dyDescent="0.25">
      <c r="A16" s="4" t="s">
        <v>86</v>
      </c>
      <c r="B16" s="4"/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s="39" customFormat="1" x14ac:dyDescent="0.25">
      <c r="A17" s="43" t="s">
        <v>87</v>
      </c>
      <c r="B17" s="43"/>
      <c r="C17" s="55">
        <f>C11-(C13+C14+C15+C16+C12)</f>
        <v>5000</v>
      </c>
      <c r="D17" s="55">
        <f>D11-(D13+D14+D15+D16)</f>
        <v>64763</v>
      </c>
      <c r="E17" s="55">
        <f>E11-(E13+E14+E15+E16)</f>
        <v>80933</v>
      </c>
      <c r="F17" s="55">
        <f>F11-(F13+F14+F15+F16)</f>
        <v>98353.700000000012</v>
      </c>
      <c r="G17" s="55">
        <f>G11-(G13+G14+G15+G16)</f>
        <v>117109.87700000004</v>
      </c>
    </row>
    <row r="18" spans="1:7" ht="30" x14ac:dyDescent="0.25">
      <c r="A18" s="40" t="s">
        <v>88</v>
      </c>
      <c r="B18" s="40"/>
      <c r="C18" s="4"/>
      <c r="D18" s="4"/>
      <c r="E18" s="5">
        <v>1000</v>
      </c>
      <c r="F18" s="4"/>
      <c r="G18" s="4"/>
    </row>
    <row r="19" spans="1:7" x14ac:dyDescent="0.25">
      <c r="A19" s="12" t="s">
        <v>89</v>
      </c>
      <c r="B19" s="12"/>
      <c r="C19" s="4"/>
      <c r="D19" s="4"/>
      <c r="E19" s="4"/>
      <c r="F19" s="4"/>
      <c r="G19" s="4"/>
    </row>
    <row r="20" spans="1:7" x14ac:dyDescent="0.25">
      <c r="A20" s="4" t="s">
        <v>90</v>
      </c>
      <c r="B20" s="4"/>
      <c r="C20" s="5">
        <f>'Tasa de Interés'!E15</f>
        <v>0</v>
      </c>
      <c r="D20" s="5">
        <f>'Tasa de Interés'!E16</f>
        <v>0</v>
      </c>
      <c r="E20" s="5">
        <f>'Tasa de Interés'!E17</f>
        <v>0</v>
      </c>
      <c r="F20" s="5">
        <f>'Tasa de Interés'!E18</f>
        <v>0</v>
      </c>
      <c r="G20" s="5">
        <f>'Tasa de Interés'!E19</f>
        <v>0</v>
      </c>
    </row>
    <row r="21" spans="1:7" x14ac:dyDescent="0.25">
      <c r="A21" s="4" t="s">
        <v>119</v>
      </c>
      <c r="B21" s="4"/>
      <c r="C21" s="5">
        <v>0</v>
      </c>
      <c r="D21" s="5">
        <v>0</v>
      </c>
      <c r="E21" s="5">
        <v>0</v>
      </c>
      <c r="F21" s="5">
        <v>0</v>
      </c>
      <c r="G21" s="5">
        <v>0</v>
      </c>
    </row>
    <row r="22" spans="1:7" s="39" customFormat="1" x14ac:dyDescent="0.25">
      <c r="A22" s="43" t="s">
        <v>120</v>
      </c>
      <c r="B22" s="43"/>
      <c r="C22" s="55">
        <f>C17-C20-C21</f>
        <v>5000</v>
      </c>
      <c r="D22" s="55">
        <f>D17-D20-D21</f>
        <v>64763</v>
      </c>
      <c r="E22" s="55">
        <f>E17+E18-E20-E21</f>
        <v>81933</v>
      </c>
      <c r="F22" s="55">
        <f>F17-F20-F21</f>
        <v>98353.700000000012</v>
      </c>
      <c r="G22" s="55">
        <f>G17-G20-G21</f>
        <v>117109.87700000004</v>
      </c>
    </row>
    <row r="23" spans="1:7" x14ac:dyDescent="0.25">
      <c r="A23" s="4" t="s">
        <v>97</v>
      </c>
      <c r="B23" s="4"/>
      <c r="C23" s="25">
        <f>C22*15%</f>
        <v>750</v>
      </c>
      <c r="D23" s="25">
        <f>D22*15%</f>
        <v>9714.4499999999989</v>
      </c>
      <c r="E23" s="25">
        <f>E22*15%</f>
        <v>12289.949999999999</v>
      </c>
      <c r="F23" s="25">
        <f>F22*15%</f>
        <v>14753.055</v>
      </c>
      <c r="G23" s="25">
        <f>G22*15%</f>
        <v>17566.481550000004</v>
      </c>
    </row>
    <row r="24" spans="1:7" s="39" customFormat="1" x14ac:dyDescent="0.25">
      <c r="A24" s="43" t="s">
        <v>98</v>
      </c>
      <c r="B24" s="43"/>
      <c r="C24" s="55">
        <f>C22-C23</f>
        <v>4250</v>
      </c>
      <c r="D24" s="55">
        <f>D22-D23</f>
        <v>55048.55</v>
      </c>
      <c r="E24" s="55">
        <f>E22-E23</f>
        <v>69643.05</v>
      </c>
      <c r="F24" s="55">
        <f>F22-F23</f>
        <v>83600.645000000019</v>
      </c>
      <c r="G24" s="55">
        <f>G22-G23</f>
        <v>99543.39545000004</v>
      </c>
    </row>
    <row r="25" spans="1:7" x14ac:dyDescent="0.25">
      <c r="A25" s="4" t="s">
        <v>133</v>
      </c>
      <c r="B25" s="4"/>
      <c r="C25" s="25">
        <f>C24*26%</f>
        <v>1105</v>
      </c>
      <c r="D25" s="25">
        <f t="shared" ref="D25:G25" si="3">D24*26%</f>
        <v>14312.623000000001</v>
      </c>
      <c r="E25" s="25">
        <f t="shared" si="3"/>
        <v>18107.193000000003</v>
      </c>
      <c r="F25" s="25">
        <f t="shared" si="3"/>
        <v>21736.167700000005</v>
      </c>
      <c r="G25" s="25">
        <f t="shared" si="3"/>
        <v>25881.28281700001</v>
      </c>
    </row>
    <row r="26" spans="1:7" s="39" customFormat="1" x14ac:dyDescent="0.25">
      <c r="A26" s="43" t="s">
        <v>99</v>
      </c>
      <c r="B26" s="43"/>
      <c r="C26" s="55">
        <f>C24-C25</f>
        <v>3145</v>
      </c>
      <c r="D26" s="55">
        <f>D24-D25</f>
        <v>40735.927000000003</v>
      </c>
      <c r="E26" s="55">
        <f>E24-E25</f>
        <v>51535.857000000004</v>
      </c>
      <c r="F26" s="55">
        <f>F24-F25</f>
        <v>61864.477300000013</v>
      </c>
      <c r="G26" s="55">
        <f>G24-G25</f>
        <v>73662.112633000026</v>
      </c>
    </row>
    <row r="27" spans="1:7" x14ac:dyDescent="0.25">
      <c r="A27" s="4" t="s">
        <v>100</v>
      </c>
      <c r="B27" s="4"/>
      <c r="C27" s="25">
        <f>C26*5%</f>
        <v>157.25</v>
      </c>
      <c r="D27" s="25">
        <f>D26*5%</f>
        <v>2036.7963500000003</v>
      </c>
      <c r="E27" s="25">
        <f>E26*5%</f>
        <v>2576.7928500000003</v>
      </c>
      <c r="F27" s="25">
        <f>F26*5%</f>
        <v>3093.2238650000008</v>
      </c>
      <c r="G27" s="25">
        <f>G26*5%</f>
        <v>3683.1056316500017</v>
      </c>
    </row>
    <row r="28" spans="1:7" x14ac:dyDescent="0.25">
      <c r="A28" s="56" t="s">
        <v>101</v>
      </c>
      <c r="B28" s="65">
        <f>B4+B5+B6+B7</f>
        <v>-266250</v>
      </c>
      <c r="C28" s="57">
        <f>C26-C27</f>
        <v>2987.75</v>
      </c>
      <c r="D28" s="57">
        <f>D26-D27</f>
        <v>38699.130650000006</v>
      </c>
      <c r="E28" s="57">
        <f>E26-E27</f>
        <v>48959.064150000006</v>
      </c>
      <c r="F28" s="57">
        <f>F26-F27</f>
        <v>58771.253435000013</v>
      </c>
      <c r="G28" s="57">
        <f>G26-G27</f>
        <v>69979.007001350023</v>
      </c>
    </row>
    <row r="29" spans="1:7" x14ac:dyDescent="0.25">
      <c r="C29" s="52"/>
    </row>
    <row r="30" spans="1:7" x14ac:dyDescent="0.25">
      <c r="A30" s="39" t="s">
        <v>125</v>
      </c>
    </row>
    <row r="31" spans="1:7" x14ac:dyDescent="0.25">
      <c r="A31" t="s">
        <v>126</v>
      </c>
      <c r="B31" s="51">
        <v>0.16700000000000001</v>
      </c>
      <c r="C31">
        <f>B31*1</f>
        <v>0.16700000000000001</v>
      </c>
    </row>
    <row r="33" spans="1:3" x14ac:dyDescent="0.25">
      <c r="A33" t="s">
        <v>127</v>
      </c>
    </row>
    <row r="34" spans="1:3" x14ac:dyDescent="0.25">
      <c r="A34" s="66" t="s">
        <v>116</v>
      </c>
      <c r="B34" s="67">
        <f>NPV(C31,C28:G28)+B28</f>
        <v>-140451.46671336121</v>
      </c>
      <c r="C34" t="s">
        <v>131</v>
      </c>
    </row>
    <row r="35" spans="1:3" x14ac:dyDescent="0.25">
      <c r="A35" t="s">
        <v>128</v>
      </c>
    </row>
    <row r="36" spans="1:3" x14ac:dyDescent="0.25">
      <c r="A36" s="66" t="s">
        <v>117</v>
      </c>
      <c r="B36" s="68">
        <f>IRR(B28:G28)</f>
        <v>-5.0500604628376689E-2</v>
      </c>
      <c r="C36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RESQUERIMIENTO  INVENTARIO MERC</vt:lpstr>
      <vt:lpstr>RESUMEN DE INVERSIONES</vt:lpstr>
      <vt:lpstr>RESUMEN DE GASTOS OPERACIONALES</vt:lpstr>
      <vt:lpstr>Origen de Fondos</vt:lpstr>
      <vt:lpstr>Estructura Financiera</vt:lpstr>
      <vt:lpstr>Amortización Deuda</vt:lpstr>
      <vt:lpstr>Tasa de Interés</vt:lpstr>
      <vt:lpstr>Balance General</vt:lpstr>
      <vt:lpstr>PyG</vt:lpstr>
      <vt:lpstr>PRESUPUESTO ACTIVOS FIJOS</vt:lpstr>
      <vt:lpstr>DEPRECIACIONES</vt:lpstr>
      <vt:lpstr>MANEJO RESPOSICIÓN ACTIVOS DEP</vt:lpstr>
      <vt:lpstr>RESUMEN CAPITAL DE TRABAJO</vt:lpstr>
      <vt:lpstr>FNE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Silva</dc:creator>
  <cp:lastModifiedBy>Emill Logroño</cp:lastModifiedBy>
  <cp:lastPrinted>2018-10-09T15:15:17Z</cp:lastPrinted>
  <dcterms:created xsi:type="dcterms:W3CDTF">2015-11-10T12:49:42Z</dcterms:created>
  <dcterms:modified xsi:type="dcterms:W3CDTF">2021-10-12T13:47:12Z</dcterms:modified>
</cp:coreProperties>
</file>