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N\Documents\Aryerson\yr2sem3\cecn801\final exam ref\"/>
    </mc:Choice>
  </mc:AlternateContent>
  <xr:revisionPtr revIDLastSave="0" documentId="13_ncr:1_{4BF64549-D10E-4E3D-B0AD-2D69032F23CA}" xr6:coauthVersionLast="47" xr6:coauthVersionMax="47" xr10:uidLastSave="{00000000-0000-0000-0000-000000000000}"/>
  <bookViews>
    <workbookView xWindow="0" yWindow="0" windowWidth="27420" windowHeight="15600" firstSheet="1" activeTab="9" xr2:uid="{00000000-000D-0000-FFFF-FFFF00000000}"/>
  </bookViews>
  <sheets>
    <sheet name="1" sheetId="1" r:id="rId1"/>
    <sheet name="3" sheetId="9" r:id="rId2"/>
    <sheet name="4" sheetId="2" r:id="rId3"/>
    <sheet name="5" sheetId="10" r:id="rId4"/>
    <sheet name="7" sheetId="3" r:id="rId5"/>
    <sheet name="8" sheetId="4" r:id="rId6"/>
    <sheet name="11" sheetId="5" r:id="rId7"/>
    <sheet name="13" sheetId="6" r:id="rId8"/>
    <sheet name="Sheet6" sheetId="7" r:id="rId9"/>
    <sheet name="Sheet7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8" l="1"/>
  <c r="I15" i="8"/>
  <c r="I16" i="8"/>
  <c r="I17" i="8"/>
  <c r="I18" i="8"/>
  <c r="I19" i="8"/>
  <c r="I20" i="8"/>
  <c r="I21" i="8"/>
  <c r="I22" i="8"/>
  <c r="I23" i="8"/>
  <c r="J14" i="8"/>
  <c r="J20" i="8"/>
  <c r="J21" i="8"/>
  <c r="J22" i="8"/>
  <c r="J23" i="8"/>
  <c r="J15" i="8"/>
  <c r="J16" i="8"/>
  <c r="J17" i="8"/>
  <c r="J18" i="8"/>
  <c r="J19" i="8"/>
  <c r="F15" i="8"/>
  <c r="F16" i="8"/>
  <c r="F14" i="8"/>
  <c r="G14" i="8" s="1"/>
  <c r="D14" i="8"/>
  <c r="K14" i="8" l="1"/>
  <c r="G15" i="8"/>
  <c r="G16" i="8" s="1"/>
  <c r="C15" i="8" l="1"/>
  <c r="E17" i="8"/>
  <c r="L30" i="10"/>
  <c r="L23" i="10"/>
  <c r="L24" i="10"/>
  <c r="L25" i="10"/>
  <c r="L26" i="10"/>
  <c r="L27" i="10"/>
  <c r="L28" i="10"/>
  <c r="L22" i="10"/>
  <c r="K23" i="10"/>
  <c r="K24" i="10"/>
  <c r="K25" i="10"/>
  <c r="K26" i="10"/>
  <c r="K27" i="10"/>
  <c r="K28" i="10"/>
  <c r="K22" i="10"/>
  <c r="E26" i="10"/>
  <c r="C28" i="10" s="1"/>
  <c r="C26" i="10"/>
  <c r="G22" i="10"/>
  <c r="C36" i="9"/>
  <c r="D34" i="9"/>
  <c r="C34" i="9"/>
  <c r="B32" i="9"/>
  <c r="D29" i="9"/>
  <c r="C29" i="9"/>
  <c r="D26" i="9"/>
  <c r="C26" i="9"/>
  <c r="E18" i="8" l="1"/>
  <c r="F17" i="8"/>
  <c r="G17" i="8" s="1"/>
  <c r="C16" i="8"/>
  <c r="D15" i="8"/>
  <c r="C33" i="7"/>
  <c r="B33" i="7" s="1"/>
  <c r="C30" i="7"/>
  <c r="C26" i="7"/>
  <c r="K15" i="8" l="1"/>
  <c r="C17" i="8"/>
  <c r="D16" i="8"/>
  <c r="F18" i="8"/>
  <c r="G18" i="8" s="1"/>
  <c r="E19" i="8"/>
  <c r="C38" i="7"/>
  <c r="C40" i="7" s="1"/>
  <c r="C42" i="7" s="1"/>
  <c r="D20" i="5"/>
  <c r="J18" i="5"/>
  <c r="E18" i="5"/>
  <c r="C14" i="4"/>
  <c r="G15" i="3"/>
  <c r="C15" i="3"/>
  <c r="D8" i="3"/>
  <c r="B13" i="3" s="1"/>
  <c r="E15" i="3" s="1"/>
  <c r="D10" i="3"/>
  <c r="D20" i="2"/>
  <c r="F18" i="2"/>
  <c r="C18" i="2"/>
  <c r="K16" i="8" l="1"/>
  <c r="F19" i="8"/>
  <c r="G19" i="8" s="1"/>
  <c r="E20" i="8"/>
  <c r="C18" i="8"/>
  <c r="D17" i="8"/>
  <c r="D17" i="3"/>
  <c r="K17" i="8" l="1"/>
  <c r="E21" i="8"/>
  <c r="F20" i="8"/>
  <c r="G20" i="8" s="1"/>
  <c r="C19" i="8"/>
  <c r="D18" i="8"/>
  <c r="H23" i="1"/>
  <c r="H24" i="1"/>
  <c r="H22" i="1"/>
  <c r="G24" i="1"/>
  <c r="G23" i="1"/>
  <c r="G22" i="1"/>
  <c r="G21" i="1"/>
  <c r="B14" i="1"/>
  <c r="B16" i="1" s="1"/>
  <c r="C16" i="1"/>
  <c r="J14" i="1"/>
  <c r="J16" i="1" s="1"/>
  <c r="G14" i="1"/>
  <c r="G16" i="1" s="1"/>
  <c r="E14" i="1"/>
  <c r="E16" i="1" s="1"/>
  <c r="K18" i="8" l="1"/>
  <c r="D19" i="8"/>
  <c r="C20" i="8"/>
  <c r="E22" i="8"/>
  <c r="F21" i="8"/>
  <c r="G21" i="8" s="1"/>
  <c r="E18" i="1"/>
  <c r="K19" i="8" l="1"/>
  <c r="E23" i="8"/>
  <c r="F23" i="8" s="1"/>
  <c r="F22" i="8"/>
  <c r="G22" i="8" s="1"/>
  <c r="G23" i="8" s="1"/>
  <c r="C21" i="8"/>
  <c r="D20" i="8"/>
  <c r="K20" i="8" l="1"/>
  <c r="C22" i="8"/>
  <c r="D21" i="8"/>
  <c r="K21" i="8" l="1"/>
  <c r="C23" i="8"/>
  <c r="D23" i="8" s="1"/>
  <c r="D22" i="8"/>
  <c r="K22" i="8" l="1"/>
  <c r="K23" i="8"/>
</calcChain>
</file>

<file path=xl/sharedStrings.xml><?xml version="1.0" encoding="utf-8"?>
<sst xmlns="http://schemas.openxmlformats.org/spreadsheetml/2006/main" count="102" uniqueCount="76">
  <si>
    <t>N:</t>
  </si>
  <si>
    <t>in:</t>
  </si>
  <si>
    <t>out:</t>
  </si>
  <si>
    <t>f/p</t>
  </si>
  <si>
    <t>+</t>
  </si>
  <si>
    <t>=</t>
  </si>
  <si>
    <t>marr:</t>
  </si>
  <si>
    <t>f/p, I, 3</t>
  </si>
  <si>
    <t>f/p,  I, 2</t>
  </si>
  <si>
    <t>i:</t>
  </si>
  <si>
    <t>f:</t>
  </si>
  <si>
    <t>current $:</t>
  </si>
  <si>
    <t>c consum:</t>
  </si>
  <si>
    <t>new $:</t>
  </si>
  <si>
    <t>c consum</t>
  </si>
  <si>
    <t>A:</t>
  </si>
  <si>
    <t>N</t>
  </si>
  <si>
    <t>down:</t>
  </si>
  <si>
    <t>annuity:</t>
  </si>
  <si>
    <t>x -</t>
  </si>
  <si>
    <t>/</t>
  </si>
  <si>
    <t>x</t>
  </si>
  <si>
    <t>g:</t>
  </si>
  <si>
    <t>$:</t>
  </si>
  <si>
    <t>F</t>
  </si>
  <si>
    <t>Lawn guy:</t>
  </si>
  <si>
    <t>gas:</t>
  </si>
  <si>
    <t>main:</t>
  </si>
  <si>
    <t>T annual:</t>
  </si>
  <si>
    <t>Clip:</t>
  </si>
  <si>
    <t>LCM:</t>
  </si>
  <si>
    <t>p/f:</t>
  </si>
  <si>
    <t>p:</t>
  </si>
  <si>
    <t>a)</t>
  </si>
  <si>
    <t>nom i:</t>
  </si>
  <si>
    <t>EAR:</t>
  </si>
  <si>
    <t>b)</t>
  </si>
  <si>
    <t>I mth:</t>
  </si>
  <si>
    <t>$ invest:</t>
  </si>
  <si>
    <t>c)</t>
  </si>
  <si>
    <t>adams:</t>
  </si>
  <si>
    <t>net:</t>
  </si>
  <si>
    <t>r:</t>
  </si>
  <si>
    <t>ear:</t>
  </si>
  <si>
    <t>PW:</t>
  </si>
  <si>
    <t>benefit</t>
  </si>
  <si>
    <t>op and m</t>
  </si>
  <si>
    <t>capital</t>
  </si>
  <si>
    <t>A</t>
  </si>
  <si>
    <t>B</t>
  </si>
  <si>
    <t>BCR</t>
  </si>
  <si>
    <t>MBCR:</t>
  </si>
  <si>
    <t>(can be undef)</t>
  </si>
  <si>
    <t>d)</t>
  </si>
  <si>
    <t>A &gt; B?</t>
  </si>
  <si>
    <t>in house:</t>
  </si>
  <si>
    <t>hr/yr</t>
  </si>
  <si>
    <t>$/hr</t>
  </si>
  <si>
    <t>$/yr</t>
  </si>
  <si>
    <t>equip:</t>
  </si>
  <si>
    <t>contrast:</t>
  </si>
  <si>
    <t>$/yr:</t>
  </si>
  <si>
    <t>p/a:</t>
  </si>
  <si>
    <t>f</t>
  </si>
  <si>
    <t>I nom:</t>
  </si>
  <si>
    <t>SV:</t>
  </si>
  <si>
    <t>repair:</t>
  </si>
  <si>
    <t>rep incr:</t>
  </si>
  <si>
    <t>sv dec:</t>
  </si>
  <si>
    <t>PW SV:</t>
  </si>
  <si>
    <t>PW rep:</t>
  </si>
  <si>
    <t>total PW:</t>
  </si>
  <si>
    <t>SV</t>
  </si>
  <si>
    <t>a/p:</t>
  </si>
  <si>
    <t>EAC</t>
  </si>
  <si>
    <t>T PW rep: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</si>
</sst>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6" formatCode="0.0000%"/>
    <numFmt numFmtId="170" formatCode="0.0"/>
    <numFmt numFmtId="172" formatCode="_-* #,##0_-;\-* #,##0_-;_-* &quot;-&quot;??_-;_-@_-"/>
    <numFmt numFmtId="173" formatCode="0.000"/>
    <numFmt numFmtId="17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quotePrefix="1"/>
    <xf numFmtId="9" fontId="0" fillId="0" borderId="0" xfId="2" applyFont="1"/>
    <xf numFmtId="10" fontId="0" fillId="0" borderId="0" xfId="2" applyNumberFormat="1" applyFont="1"/>
    <xf numFmtId="166" fontId="0" fillId="0" borderId="0" xfId="2" applyNumberFormat="1" applyFont="1"/>
    <xf numFmtId="2" fontId="0" fillId="0" borderId="0" xfId="2" applyNumberFormat="1" applyFont="1"/>
    <xf numFmtId="166" fontId="0" fillId="0" borderId="0" xfId="0" applyNumberFormat="1"/>
    <xf numFmtId="2" fontId="0" fillId="0" borderId="0" xfId="0" applyNumberFormat="1"/>
    <xf numFmtId="170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4" fontId="0" fillId="0" borderId="0" xfId="0" applyNumberFormat="1"/>
    <xf numFmtId="172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1</xdr:row>
      <xdr:rowOff>9525</xdr:rowOff>
    </xdr:from>
    <xdr:to>
      <xdr:col>11</xdr:col>
      <xdr:colOff>77081</xdr:colOff>
      <xdr:row>6</xdr:row>
      <xdr:rowOff>143027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4F19EF-934D-4984-FE84-1AC417959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200025"/>
          <a:ext cx="6315956" cy="108600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0</xdr:row>
      <xdr:rowOff>180975</xdr:rowOff>
    </xdr:from>
    <xdr:to>
      <xdr:col>11</xdr:col>
      <xdr:colOff>200949</xdr:colOff>
      <xdr:row>8</xdr:row>
      <xdr:rowOff>143082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FBD473-E87B-B4EC-9E54-0C062B360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80975"/>
          <a:ext cx="6620799" cy="14861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76200</xdr:rowOff>
    </xdr:from>
    <xdr:to>
      <xdr:col>9</xdr:col>
      <xdr:colOff>277109</xdr:colOff>
      <xdr:row>18</xdr:row>
      <xdr:rowOff>86205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170C2B-16F5-381E-D5DF-5A4CC89A4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76200"/>
          <a:ext cx="6335009" cy="34390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400957</xdr:colOff>
      <xdr:row>12</xdr:row>
      <xdr:rowOff>66977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3517DF-B709-C13E-7705-FD373B03C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6496957" cy="216247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0</xdr:row>
      <xdr:rowOff>123825</xdr:rowOff>
    </xdr:from>
    <xdr:to>
      <xdr:col>11</xdr:col>
      <xdr:colOff>220003</xdr:colOff>
      <xdr:row>18</xdr:row>
      <xdr:rowOff>57619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D99EFA-602B-EB65-0477-44787BCE8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123825"/>
          <a:ext cx="6649378" cy="336279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562848</xdr:colOff>
      <xdr:row>4</xdr:row>
      <xdr:rowOff>133448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70DB1E-FDFA-AB98-E022-8222B4ED3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6258798" cy="7049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171450</xdr:rowOff>
    </xdr:from>
    <xdr:to>
      <xdr:col>11</xdr:col>
      <xdr:colOff>477187</xdr:colOff>
      <xdr:row>6</xdr:row>
      <xdr:rowOff>152557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D62BA1-A31C-33D4-4E19-6EEF8CDCE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171450"/>
          <a:ext cx="6716062" cy="112410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486694</xdr:colOff>
      <xdr:row>13</xdr:row>
      <xdr:rowOff>67003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4AEAE1-F78B-914A-05B2-FB824B7F7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6582694" cy="235300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467641</xdr:colOff>
      <xdr:row>5</xdr:row>
      <xdr:rowOff>66791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594D83-37BC-E8AE-309E-CE6444DC8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6563641" cy="82879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104775</xdr:rowOff>
    </xdr:from>
    <xdr:to>
      <xdr:col>11</xdr:col>
      <xdr:colOff>439089</xdr:colOff>
      <xdr:row>19</xdr:row>
      <xdr:rowOff>86228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CAF7CA-1190-088A-00A2-615381F75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104775"/>
          <a:ext cx="6725589" cy="36009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K29"/>
  <sheetViews>
    <sheetView workbookViewId="0">
      <selection activeCell="F23" sqref="F23"/>
    </sheetView>
  </sheetViews>
  <sheetFormatPr defaultRowHeight="15" x14ac:dyDescent="0.25"/>
  <sheetData>
    <row r="8" spans="2:11" x14ac:dyDescent="0.25">
      <c r="B8" t="s">
        <v>0</v>
      </c>
      <c r="C8" t="s">
        <v>1</v>
      </c>
      <c r="D8" t="s">
        <v>2</v>
      </c>
      <c r="F8" t="s">
        <v>6</v>
      </c>
      <c r="G8" s="2">
        <v>0.25</v>
      </c>
    </row>
    <row r="9" spans="2:11" x14ac:dyDescent="0.25">
      <c r="B9">
        <v>1</v>
      </c>
      <c r="C9">
        <v>400000</v>
      </c>
      <c r="G9">
        <v>100000</v>
      </c>
    </row>
    <row r="10" spans="2:11" x14ac:dyDescent="0.25">
      <c r="B10">
        <v>2</v>
      </c>
      <c r="D10">
        <v>300000</v>
      </c>
    </row>
    <row r="11" spans="2:11" x14ac:dyDescent="0.25">
      <c r="B11">
        <v>3</v>
      </c>
      <c r="D11">
        <v>700000</v>
      </c>
    </row>
    <row r="12" spans="2:11" x14ac:dyDescent="0.25">
      <c r="B12">
        <v>4</v>
      </c>
      <c r="C12">
        <v>500000</v>
      </c>
    </row>
    <row r="14" spans="2:11" x14ac:dyDescent="0.25">
      <c r="B14">
        <f>C9</f>
        <v>400000</v>
      </c>
      <c r="C14" t="s">
        <v>3</v>
      </c>
      <c r="D14" s="1" t="s">
        <v>4</v>
      </c>
      <c r="E14">
        <f>C12</f>
        <v>500000</v>
      </c>
      <c r="F14" s="1" t="s">
        <v>5</v>
      </c>
      <c r="G14">
        <f>D10</f>
        <v>300000</v>
      </c>
      <c r="H14" t="s">
        <v>7</v>
      </c>
      <c r="I14" s="1" t="s">
        <v>4</v>
      </c>
      <c r="J14">
        <f>D11</f>
        <v>700000</v>
      </c>
      <c r="K14" t="s">
        <v>8</v>
      </c>
    </row>
    <row r="16" spans="2:11" x14ac:dyDescent="0.25">
      <c r="B16">
        <f>B14/G9</f>
        <v>4</v>
      </c>
      <c r="C16">
        <f>(1+G8)^B12</f>
        <v>2.44140625</v>
      </c>
      <c r="E16">
        <f>E14/G9</f>
        <v>5</v>
      </c>
      <c r="G16">
        <f>G14/G9</f>
        <v>3</v>
      </c>
      <c r="J16">
        <f>J14/G9</f>
        <v>7</v>
      </c>
    </row>
    <row r="18" spans="5:8" x14ac:dyDescent="0.25">
      <c r="E18">
        <f>(B16*C16)+E16</f>
        <v>14.765625</v>
      </c>
      <c r="F18" s="1" t="s">
        <v>5</v>
      </c>
    </row>
    <row r="20" spans="5:8" x14ac:dyDescent="0.25">
      <c r="F20" s="1" t="s">
        <v>9</v>
      </c>
      <c r="G20" t="s">
        <v>10</v>
      </c>
    </row>
    <row r="21" spans="5:8" x14ac:dyDescent="0.25">
      <c r="F21" s="2">
        <v>0.2</v>
      </c>
      <c r="G21">
        <f>($G$16*(1+F21)^(5-$B$10))+($J$16*(1+F21)^(5-$B$11))</f>
        <v>15.263999999999999</v>
      </c>
    </row>
    <row r="22" spans="5:8" x14ac:dyDescent="0.25">
      <c r="F22" s="2">
        <v>0.19</v>
      </c>
      <c r="G22">
        <f>($G$16*(1+F22)^(5-$B$10))+($J$16*(1+F22)^(5-$B$11))</f>
        <v>14.968176999999999</v>
      </c>
      <c r="H22">
        <f>ABS($E$18-G22)</f>
        <v>0.20255199999999896</v>
      </c>
    </row>
    <row r="23" spans="5:8" x14ac:dyDescent="0.25">
      <c r="F23" s="2">
        <v>0.18</v>
      </c>
      <c r="G23">
        <f>($G$16*(1+F23)^(5-$B$10))+($J$16*(1+F23)^(5-$B$11))</f>
        <v>14.675895999999998</v>
      </c>
      <c r="H23">
        <f t="shared" ref="H23:H24" si="0">ABS($E$18-G23)</f>
        <v>8.9729000000001946E-2</v>
      </c>
    </row>
    <row r="24" spans="5:8" x14ac:dyDescent="0.25">
      <c r="F24" s="2">
        <v>0.17</v>
      </c>
      <c r="G24">
        <f>($G$16*(1+F24)^(5-$B$10))+($J$16*(1+F24)^(5-$B$11))</f>
        <v>14.387138999999998</v>
      </c>
      <c r="H24">
        <f t="shared" si="0"/>
        <v>0.37848600000000232</v>
      </c>
    </row>
    <row r="25" spans="5:8" x14ac:dyDescent="0.25">
      <c r="F25" s="2"/>
    </row>
    <row r="26" spans="5:8" x14ac:dyDescent="0.25">
      <c r="F26" s="2"/>
    </row>
    <row r="27" spans="5:8" x14ac:dyDescent="0.25">
      <c r="F27" s="2"/>
    </row>
    <row r="28" spans="5:8" x14ac:dyDescent="0.25">
      <c r="F28" s="2"/>
    </row>
    <row r="29" spans="5:8" x14ac:dyDescent="0.25">
      <c r="F29" s="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E2BDF-FCE6-4C3E-8A59-C6C4384EFAE5}">
  <dimension ref="B10:K23"/>
  <sheetViews>
    <sheetView tabSelected="1" workbookViewId="0">
      <selection activeCell="I14" sqref="I14"/>
    </sheetView>
  </sheetViews>
  <sheetFormatPr defaultRowHeight="15" x14ac:dyDescent="0.25"/>
  <sheetData>
    <row r="10" spans="2:11" x14ac:dyDescent="0.25">
      <c r="B10" t="s">
        <v>67</v>
      </c>
      <c r="C10" s="2">
        <v>0.5</v>
      </c>
      <c r="E10" t="s">
        <v>68</v>
      </c>
      <c r="F10" s="2">
        <v>0.3</v>
      </c>
      <c r="H10" t="s">
        <v>9</v>
      </c>
      <c r="I10" s="2">
        <v>0.08</v>
      </c>
    </row>
    <row r="11" spans="2:11" x14ac:dyDescent="0.25">
      <c r="B11" t="s">
        <v>72</v>
      </c>
      <c r="C11">
        <v>14000</v>
      </c>
    </row>
    <row r="13" spans="2:11" x14ac:dyDescent="0.25">
      <c r="B13" t="s">
        <v>0</v>
      </c>
      <c r="C13" t="s">
        <v>65</v>
      </c>
      <c r="D13" t="s">
        <v>69</v>
      </c>
      <c r="E13" t="s">
        <v>66</v>
      </c>
      <c r="F13" t="s">
        <v>70</v>
      </c>
      <c r="G13" t="s">
        <v>75</v>
      </c>
      <c r="I13" t="s">
        <v>71</v>
      </c>
      <c r="J13" t="s">
        <v>73</v>
      </c>
      <c r="K13" t="s">
        <v>74</v>
      </c>
    </row>
    <row r="14" spans="2:11" x14ac:dyDescent="0.25">
      <c r="B14">
        <v>1</v>
      </c>
      <c r="C14">
        <v>14000</v>
      </c>
      <c r="D14">
        <f>C14*(1+$I$10)^B14</f>
        <v>15120.000000000002</v>
      </c>
      <c r="E14">
        <v>0</v>
      </c>
      <c r="F14">
        <f>E14*(1+$I$10)^B14</f>
        <v>0</v>
      </c>
      <c r="G14">
        <f>F14</f>
        <v>0</v>
      </c>
      <c r="I14">
        <f>D14-G14</f>
        <v>15120.000000000002</v>
      </c>
      <c r="J14">
        <f>($I$10*(1+$I$10)^B14)/((1+$I$10)^B14-1)</f>
        <v>1.0799999999999992</v>
      </c>
      <c r="K14">
        <f>J14*I14</f>
        <v>16329.599999999989</v>
      </c>
    </row>
    <row r="15" spans="2:11" x14ac:dyDescent="0.25">
      <c r="B15">
        <v>2</v>
      </c>
      <c r="C15">
        <f>C14*(1-$F$10)</f>
        <v>9800</v>
      </c>
      <c r="D15">
        <f>C15*(1+$I$10)^B15</f>
        <v>11430.720000000001</v>
      </c>
      <c r="E15">
        <v>0</v>
      </c>
      <c r="F15">
        <f>E15*(1+$I$10)^B15</f>
        <v>0</v>
      </c>
      <c r="G15">
        <f>G14+F15</f>
        <v>0</v>
      </c>
      <c r="I15">
        <f>D15-G15+$C$11</f>
        <v>25430.720000000001</v>
      </c>
      <c r="J15">
        <f>($I$10*(1+$I$10)^B15)/((1+$I$10)^B15-1)</f>
        <v>0.56076923076923046</v>
      </c>
      <c r="K15">
        <f t="shared" ref="K15:K23" si="0">J15*I15</f>
        <v>14260.765292307686</v>
      </c>
    </row>
    <row r="16" spans="2:11" x14ac:dyDescent="0.25">
      <c r="B16">
        <v>3</v>
      </c>
      <c r="C16">
        <f t="shared" ref="C16:C23" si="1">C15*(1-$F$10)</f>
        <v>6860</v>
      </c>
      <c r="D16">
        <f>C16*(1+$I$10)^B16</f>
        <v>8641.6243200000008</v>
      </c>
      <c r="E16">
        <v>1600</v>
      </c>
      <c r="F16">
        <f>E16*(1+$I$10)^B16</f>
        <v>2015.5392000000002</v>
      </c>
      <c r="G16">
        <f>G15+F16</f>
        <v>2015.5392000000002</v>
      </c>
      <c r="I16">
        <f>D16-G16+$C$11</f>
        <v>20626.08512</v>
      </c>
      <c r="J16">
        <f>($I$10*(1+$I$10)^B16)/((1+$I$10)^B16-1)</f>
        <v>0.38803351404632802</v>
      </c>
      <c r="K16">
        <f t="shared" si="0"/>
        <v>8003.6122901322769</v>
      </c>
    </row>
    <row r="17" spans="2:11" x14ac:dyDescent="0.25">
      <c r="B17">
        <v>4</v>
      </c>
      <c r="C17">
        <f t="shared" si="1"/>
        <v>4802</v>
      </c>
      <c r="D17">
        <f>C17*(1+$I$10)^B17</f>
        <v>6533.0679859200018</v>
      </c>
      <c r="E17">
        <f>E16*(1+$C$10)</f>
        <v>2400</v>
      </c>
      <c r="F17">
        <f>E17*(1+$I$10)^B17</f>
        <v>3265.1735040000008</v>
      </c>
      <c r="G17">
        <f>G16+F17</f>
        <v>5280.7127040000014</v>
      </c>
      <c r="I17">
        <f>D17-G17+$C$11</f>
        <v>15252.355281920001</v>
      </c>
      <c r="J17">
        <f>($I$10*(1+$I$10)^B17)/((1+$I$10)^B17-1)</f>
        <v>0.30192080445403913</v>
      </c>
      <c r="K17">
        <f t="shared" si="0"/>
        <v>4605.0033765360995</v>
      </c>
    </row>
    <row r="18" spans="2:11" x14ac:dyDescent="0.25">
      <c r="B18">
        <v>5</v>
      </c>
      <c r="C18">
        <f t="shared" si="1"/>
        <v>3361.3999999999996</v>
      </c>
      <c r="D18">
        <f>C18*(1+$I$10)^B18</f>
        <v>4938.9993973555202</v>
      </c>
      <c r="E18">
        <f>E17*(1+$C$10)</f>
        <v>3600</v>
      </c>
      <c r="F18">
        <f>E18*(1+$I$10)^B18</f>
        <v>5289.5810764800008</v>
      </c>
      <c r="G18">
        <f>G17+F18</f>
        <v>10570.293780480002</v>
      </c>
      <c r="I18">
        <f>D18-G18+$C$11</f>
        <v>8368.7056168755189</v>
      </c>
      <c r="J18">
        <f>($I$10*(1+$I$10)^B18)/((1+$I$10)^B18-1)</f>
        <v>0.25045645456683646</v>
      </c>
      <c r="K18">
        <f t="shared" si="0"/>
        <v>2095.9963381162124</v>
      </c>
    </row>
    <row r="19" spans="2:11" x14ac:dyDescent="0.25">
      <c r="B19">
        <v>6</v>
      </c>
      <c r="C19">
        <f t="shared" si="1"/>
        <v>2352.9799999999996</v>
      </c>
      <c r="D19">
        <f>C19*(1+$I$10)^B19</f>
        <v>3733.8835444007736</v>
      </c>
      <c r="E19">
        <f>E18*(1+$C$10)</f>
        <v>5400</v>
      </c>
      <c r="F19">
        <f>E19*(1+$I$10)^B19</f>
        <v>8569.1213438976029</v>
      </c>
      <c r="G19">
        <f>G18+F19</f>
        <v>19139.415124377607</v>
      </c>
      <c r="I19">
        <f>D19-G19+$C$11</f>
        <v>-1405.5315799768323</v>
      </c>
      <c r="J19">
        <f>($I$10*(1+$I$10)^B19)/((1+$I$10)^B19-1)</f>
        <v>0.2163153862290097</v>
      </c>
      <c r="K19">
        <f t="shared" si="0"/>
        <v>-304.03810657975873</v>
      </c>
    </row>
    <row r="20" spans="2:11" x14ac:dyDescent="0.25">
      <c r="B20">
        <v>7</v>
      </c>
      <c r="C20">
        <f t="shared" si="1"/>
        <v>1647.0859999999996</v>
      </c>
      <c r="D20">
        <f>C20*(1+$I$10)^B20</f>
        <v>2822.8159595669849</v>
      </c>
      <c r="E20">
        <f t="shared" ref="E20:E23" si="2">E19*(1+$C$10)</f>
        <v>8100</v>
      </c>
      <c r="F20">
        <f>E20*(1+$I$10)^B20</f>
        <v>13881.976577114117</v>
      </c>
      <c r="G20">
        <f t="shared" ref="G16:G23" si="3">G19+F20</f>
        <v>33021.391701491724</v>
      </c>
      <c r="I20">
        <f>D20-G20+$C$11</f>
        <v>-16198.575741924738</v>
      </c>
      <c r="J20">
        <f>($I$10*(1+$I$10)^B20)/((1+$I$10)^B20-1)</f>
        <v>0.19207240142841048</v>
      </c>
      <c r="K20">
        <f t="shared" si="0"/>
        <v>-3111.2993424714805</v>
      </c>
    </row>
    <row r="21" spans="2:11" x14ac:dyDescent="0.25">
      <c r="B21">
        <v>8</v>
      </c>
      <c r="C21">
        <f t="shared" si="1"/>
        <v>1152.9601999999995</v>
      </c>
      <c r="D21">
        <f>C21*(1+$I$10)^B21</f>
        <v>2134.04886543264</v>
      </c>
      <c r="E21">
        <f t="shared" si="2"/>
        <v>12150</v>
      </c>
      <c r="F21">
        <f>E21*(1+$I$10)^B21</f>
        <v>22488.802054924869</v>
      </c>
      <c r="G21">
        <f t="shared" si="3"/>
        <v>55510.193756416593</v>
      </c>
      <c r="I21">
        <f>D21-G21+$C$11</f>
        <v>-39376.144890983953</v>
      </c>
      <c r="J21">
        <f>($I$10*(1+$I$10)^B21)/((1+$I$10)^B21-1)</f>
        <v>0.17401476059182211</v>
      </c>
      <c r="K21">
        <f t="shared" si="0"/>
        <v>-6852.0304262334721</v>
      </c>
    </row>
    <row r="22" spans="2:11" x14ac:dyDescent="0.25">
      <c r="B22">
        <v>9</v>
      </c>
      <c r="C22">
        <f t="shared" si="1"/>
        <v>807.07213999999965</v>
      </c>
      <c r="D22">
        <f>C22*(1+$I$10)^B22</f>
        <v>1613.3409422670761</v>
      </c>
      <c r="E22">
        <f t="shared" si="2"/>
        <v>18225</v>
      </c>
      <c r="F22">
        <f>E22*(1+$I$10)^B22</f>
        <v>36431.859328978295</v>
      </c>
      <c r="G22">
        <f t="shared" si="3"/>
        <v>91942.053085394888</v>
      </c>
      <c r="I22">
        <f>D22-G22+$C$11</f>
        <v>-76328.712143127806</v>
      </c>
      <c r="J22">
        <f>($I$10*(1+$I$10)^B22)/((1+$I$10)^B22-1)</f>
        <v>0.16007970917199468</v>
      </c>
      <c r="K22">
        <f t="shared" si="0"/>
        <v>-12218.678041344798</v>
      </c>
    </row>
    <row r="23" spans="2:11" x14ac:dyDescent="0.25">
      <c r="B23">
        <v>10</v>
      </c>
      <c r="C23">
        <f t="shared" si="1"/>
        <v>564.9504979999997</v>
      </c>
      <c r="D23">
        <f>C23*(1+$I$10)^B23</f>
        <v>1219.6857523539095</v>
      </c>
      <c r="E23">
        <f t="shared" si="2"/>
        <v>27337.5</v>
      </c>
      <c r="F23">
        <f>E23*(1+$I$10)^B23</f>
        <v>59019.612112944837</v>
      </c>
      <c r="G23">
        <f t="shared" si="3"/>
        <v>150961.66519833973</v>
      </c>
      <c r="I23">
        <f>D23-G23+$C$11</f>
        <v>-135741.97944598581</v>
      </c>
      <c r="J23">
        <f>($I$10*(1+$I$10)^B23)/((1+$I$10)^B23-1)</f>
        <v>0.14902948869707539</v>
      </c>
      <c r="K23">
        <f t="shared" si="0"/>
        <v>-20229.557791564181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32BF1-FFA9-4383-B9BE-D3EEF3A09EA7}">
  <dimension ref="A20:F36"/>
  <sheetViews>
    <sheetView workbookViewId="0">
      <selection activeCell="B37" sqref="B37"/>
    </sheetView>
  </sheetViews>
  <sheetFormatPr defaultRowHeight="15" x14ac:dyDescent="0.25"/>
  <cols>
    <col min="2" max="2" width="10.5703125" bestFit="1" customWidth="1"/>
    <col min="3" max="4" width="14.28515625" bestFit="1" customWidth="1"/>
  </cols>
  <sheetData>
    <row r="20" spans="1:6" x14ac:dyDescent="0.25">
      <c r="B20" t="s">
        <v>44</v>
      </c>
      <c r="C20" t="s">
        <v>48</v>
      </c>
      <c r="D20" t="s">
        <v>49</v>
      </c>
    </row>
    <row r="21" spans="1:6" x14ac:dyDescent="0.25">
      <c r="B21" t="s">
        <v>45</v>
      </c>
      <c r="C21" s="9">
        <v>16000000</v>
      </c>
      <c r="D21" s="9">
        <v>13600000</v>
      </c>
    </row>
    <row r="22" spans="1:6" x14ac:dyDescent="0.25">
      <c r="B22" t="s">
        <v>46</v>
      </c>
      <c r="C22" s="9">
        <v>6600000</v>
      </c>
      <c r="D22" s="9">
        <v>8300000</v>
      </c>
    </row>
    <row r="23" spans="1:6" x14ac:dyDescent="0.25">
      <c r="B23" t="s">
        <v>47</v>
      </c>
      <c r="C23" s="9">
        <v>4400000</v>
      </c>
      <c r="D23" s="9">
        <v>2700000</v>
      </c>
    </row>
    <row r="25" spans="1:6" x14ac:dyDescent="0.25">
      <c r="A25" t="s">
        <v>33</v>
      </c>
    </row>
    <row r="26" spans="1:6" x14ac:dyDescent="0.25">
      <c r="B26" t="s">
        <v>50</v>
      </c>
      <c r="C26" s="7">
        <f>C21/(C22+C23)</f>
        <v>1.4545454545454546</v>
      </c>
      <c r="D26" s="7">
        <f>D21/(D22+D23)</f>
        <v>1.2363636363636363</v>
      </c>
      <c r="F26" s="10"/>
    </row>
    <row r="28" spans="1:6" x14ac:dyDescent="0.25">
      <c r="A28" t="s">
        <v>36</v>
      </c>
    </row>
    <row r="29" spans="1:6" x14ac:dyDescent="0.25">
      <c r="B29" t="s">
        <v>51</v>
      </c>
      <c r="C29" s="7">
        <f>(C21-C22)/C23</f>
        <v>2.1363636363636362</v>
      </c>
      <c r="D29" s="7">
        <f>(D21-D22)/D23</f>
        <v>1.962962962962963</v>
      </c>
    </row>
    <row r="31" spans="1:6" x14ac:dyDescent="0.25">
      <c r="A31" t="s">
        <v>39</v>
      </c>
    </row>
    <row r="32" spans="1:6" x14ac:dyDescent="0.25">
      <c r="B32" t="e">
        <f>(C21-D21)/((C22+C23)-(D22+D23))</f>
        <v>#DIV/0!</v>
      </c>
      <c r="C32" s="12" t="s">
        <v>52</v>
      </c>
      <c r="D32" s="12"/>
    </row>
    <row r="34" spans="1:4" x14ac:dyDescent="0.25">
      <c r="A34" t="s">
        <v>53</v>
      </c>
      <c r="B34" t="s">
        <v>44</v>
      </c>
      <c r="C34" s="12">
        <f>C21-C22-C23</f>
        <v>5000000</v>
      </c>
      <c r="D34" s="12">
        <f>D21-D22-D23</f>
        <v>2600000</v>
      </c>
    </row>
    <row r="36" spans="1:4" x14ac:dyDescent="0.25">
      <c r="B36" t="s">
        <v>54</v>
      </c>
      <c r="C36" t="b">
        <f>C34&gt;D34</f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9936D-0214-4889-80F2-C82BC24225D0}">
  <dimension ref="B15:F20"/>
  <sheetViews>
    <sheetView workbookViewId="0">
      <selection activeCell="D21" sqref="D21"/>
    </sheetView>
  </sheetViews>
  <sheetFormatPr defaultRowHeight="15" x14ac:dyDescent="0.25"/>
  <sheetData>
    <row r="15" spans="2:6" x14ac:dyDescent="0.25">
      <c r="B15" t="s">
        <v>11</v>
      </c>
      <c r="C15">
        <v>7.0000000000000007E-2</v>
      </c>
      <c r="E15" t="s">
        <v>13</v>
      </c>
      <c r="F15">
        <v>0.06</v>
      </c>
    </row>
    <row r="16" spans="2:6" x14ac:dyDescent="0.25">
      <c r="B16" t="s">
        <v>12</v>
      </c>
      <c r="C16">
        <v>7000000</v>
      </c>
      <c r="E16" t="s">
        <v>14</v>
      </c>
      <c r="F16">
        <v>9500000</v>
      </c>
    </row>
    <row r="18" spans="3:6" x14ac:dyDescent="0.25">
      <c r="C18">
        <f>C16*C15</f>
        <v>490000.00000000006</v>
      </c>
      <c r="F18">
        <f>F16*F15</f>
        <v>570000</v>
      </c>
    </row>
    <row r="20" spans="3:6" x14ac:dyDescent="0.25">
      <c r="D20">
        <f>F18-C18</f>
        <v>79999.999999999942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43652-AE50-4679-8D40-17533A102C8E}">
  <dimension ref="B20:L30"/>
  <sheetViews>
    <sheetView topLeftCell="A11" workbookViewId="0">
      <selection activeCell="L31" sqref="L31"/>
    </sheetView>
  </sheetViews>
  <sheetFormatPr defaultRowHeight="15" x14ac:dyDescent="0.25"/>
  <cols>
    <col min="7" max="7" width="10.140625" bestFit="1" customWidth="1"/>
  </cols>
  <sheetData>
    <row r="20" spans="2:12" x14ac:dyDescent="0.25">
      <c r="B20" t="s">
        <v>55</v>
      </c>
      <c r="F20" t="s">
        <v>6</v>
      </c>
      <c r="G20" s="2">
        <v>0.21</v>
      </c>
      <c r="I20" t="s">
        <v>60</v>
      </c>
    </row>
    <row r="21" spans="2:12" x14ac:dyDescent="0.25">
      <c r="B21" t="s">
        <v>56</v>
      </c>
      <c r="C21">
        <v>6500</v>
      </c>
      <c r="F21" t="s">
        <v>63</v>
      </c>
      <c r="G21" s="2">
        <v>7.0000000000000007E-2</v>
      </c>
      <c r="I21" t="s">
        <v>0</v>
      </c>
      <c r="K21" t="s">
        <v>62</v>
      </c>
      <c r="L21" t="s">
        <v>32</v>
      </c>
    </row>
    <row r="22" spans="2:12" x14ac:dyDescent="0.25">
      <c r="B22" t="s">
        <v>57</v>
      </c>
      <c r="C22">
        <v>16</v>
      </c>
      <c r="F22" t="s">
        <v>64</v>
      </c>
      <c r="G22" s="6">
        <f>((1+G20)*(1+G21))-1</f>
        <v>0.29469999999999996</v>
      </c>
      <c r="I22">
        <v>0</v>
      </c>
      <c r="K22">
        <f>((1+$G$22)^I22-1)/($G$22*(1+$G$22)^I22)</f>
        <v>0</v>
      </c>
      <c r="L22">
        <f>K22*J22</f>
        <v>0</v>
      </c>
    </row>
    <row r="23" spans="2:12" x14ac:dyDescent="0.25">
      <c r="B23" t="s">
        <v>58</v>
      </c>
      <c r="C23">
        <v>18000</v>
      </c>
      <c r="F23" t="s">
        <v>16</v>
      </c>
      <c r="G23">
        <v>6</v>
      </c>
      <c r="I23">
        <v>1</v>
      </c>
      <c r="J23">
        <v>55000</v>
      </c>
      <c r="K23">
        <f t="shared" ref="K23:K28" si="0">((1+$G$22)^I23-1)/($G$22*(1+$G$22)^I23)</f>
        <v>0.77237970186143512</v>
      </c>
      <c r="L23">
        <f t="shared" ref="L23:L28" si="1">K23*J23</f>
        <v>42480.883602378934</v>
      </c>
    </row>
    <row r="24" spans="2:12" x14ac:dyDescent="0.25">
      <c r="B24" t="s">
        <v>59</v>
      </c>
      <c r="C24">
        <v>27000</v>
      </c>
      <c r="I24">
        <v>2</v>
      </c>
      <c r="J24">
        <v>55000</v>
      </c>
      <c r="K24">
        <f t="shared" si="0"/>
        <v>1.3689501057089946</v>
      </c>
      <c r="L24">
        <f t="shared" si="1"/>
        <v>75292.255813994707</v>
      </c>
    </row>
    <row r="25" spans="2:12" x14ac:dyDescent="0.25">
      <c r="I25">
        <v>3</v>
      </c>
      <c r="J25">
        <v>55000</v>
      </c>
      <c r="K25">
        <f t="shared" si="0"/>
        <v>1.8297289763721283</v>
      </c>
      <c r="L25">
        <f t="shared" si="1"/>
        <v>100635.09370046706</v>
      </c>
    </row>
    <row r="26" spans="2:12" x14ac:dyDescent="0.25">
      <c r="B26" t="s">
        <v>61</v>
      </c>
      <c r="C26">
        <f>(C21*C22)+C23</f>
        <v>122000</v>
      </c>
      <c r="D26" t="s">
        <v>62</v>
      </c>
      <c r="E26">
        <f>((1+$G$22)^G23-1)/($G$22*(1+$G$22)^G23)</f>
        <v>2.6728294277244897</v>
      </c>
      <c r="I26">
        <v>4</v>
      </c>
      <c r="J26">
        <v>63900</v>
      </c>
      <c r="K26">
        <f t="shared" si="0"/>
        <v>2.1856252231189686</v>
      </c>
      <c r="L26">
        <f t="shared" si="1"/>
        <v>139661.4517573021</v>
      </c>
    </row>
    <row r="27" spans="2:12" x14ac:dyDescent="0.25">
      <c r="I27">
        <v>5</v>
      </c>
      <c r="J27">
        <v>63900</v>
      </c>
      <c r="K27">
        <f t="shared" si="0"/>
        <v>2.4605122600748968</v>
      </c>
      <c r="L27">
        <f t="shared" si="1"/>
        <v>157226.73341878591</v>
      </c>
    </row>
    <row r="28" spans="2:12" x14ac:dyDescent="0.25">
      <c r="B28" t="s">
        <v>32</v>
      </c>
      <c r="C28">
        <f>(C26*E26)+C24</f>
        <v>353085.19018238777</v>
      </c>
      <c r="I28">
        <v>6</v>
      </c>
      <c r="J28">
        <v>63900</v>
      </c>
      <c r="K28">
        <f t="shared" si="0"/>
        <v>2.6728294277244897</v>
      </c>
      <c r="L28">
        <f t="shared" si="1"/>
        <v>170793.80043159489</v>
      </c>
    </row>
    <row r="30" spans="2:12" x14ac:dyDescent="0.25">
      <c r="L30">
        <f>SUM(L22:L28)</f>
        <v>686090.21872452367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17A19-3E74-4476-BC0F-80B3B64B81E8}">
  <dimension ref="B7:G17"/>
  <sheetViews>
    <sheetView workbookViewId="0">
      <selection activeCell="J14" sqref="J14"/>
    </sheetView>
  </sheetViews>
  <sheetFormatPr defaultRowHeight="15" x14ac:dyDescent="0.25"/>
  <cols>
    <col min="2" max="2" width="10.85546875" customWidth="1"/>
    <col min="4" max="4" width="10.5703125" bestFit="1" customWidth="1"/>
  </cols>
  <sheetData>
    <row r="7" spans="2:7" x14ac:dyDescent="0.25">
      <c r="B7" t="s">
        <v>15</v>
      </c>
      <c r="C7">
        <v>600</v>
      </c>
    </row>
    <row r="8" spans="2:7" x14ac:dyDescent="0.25">
      <c r="B8" t="s">
        <v>16</v>
      </c>
      <c r="C8">
        <v>25</v>
      </c>
      <c r="D8">
        <f>C8*12</f>
        <v>300</v>
      </c>
    </row>
    <row r="9" spans="2:7" x14ac:dyDescent="0.25">
      <c r="B9" t="s">
        <v>17</v>
      </c>
      <c r="C9">
        <v>6000</v>
      </c>
    </row>
    <row r="10" spans="2:7" x14ac:dyDescent="0.25">
      <c r="B10" t="s">
        <v>9</v>
      </c>
      <c r="C10" s="5">
        <v>0.06</v>
      </c>
      <c r="D10" s="4">
        <f>C10/12</f>
        <v>5.0000000000000001E-3</v>
      </c>
    </row>
    <row r="12" spans="2:7" x14ac:dyDescent="0.25">
      <c r="B12" t="s">
        <v>18</v>
      </c>
    </row>
    <row r="13" spans="2:7" x14ac:dyDescent="0.25">
      <c r="B13" s="8">
        <f>(1-(1+D10)^(-D8))/D10</f>
        <v>155.2068640071829</v>
      </c>
    </row>
    <row r="15" spans="2:7" x14ac:dyDescent="0.25">
      <c r="B15" t="s">
        <v>19</v>
      </c>
      <c r="C15">
        <f>C9</f>
        <v>6000</v>
      </c>
      <c r="D15" t="s">
        <v>20</v>
      </c>
      <c r="E15" s="8">
        <f>B13</f>
        <v>155.2068640071829</v>
      </c>
      <c r="F15" s="1" t="s">
        <v>5</v>
      </c>
      <c r="G15">
        <f>C7</f>
        <v>600</v>
      </c>
    </row>
    <row r="17" spans="2:4" x14ac:dyDescent="0.25">
      <c r="B17" t="s">
        <v>21</v>
      </c>
      <c r="C17" s="1" t="s">
        <v>5</v>
      </c>
      <c r="D17" s="9">
        <f>(G15*E15)+C15</f>
        <v>99124.118404309746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98A52-561D-43A2-BCD6-CD9ED191B321}">
  <dimension ref="B9:C14"/>
  <sheetViews>
    <sheetView workbookViewId="0">
      <selection activeCell="G30" sqref="G30"/>
    </sheetView>
  </sheetViews>
  <sheetFormatPr defaultRowHeight="15" x14ac:dyDescent="0.25"/>
  <sheetData>
    <row r="9" spans="2:3" x14ac:dyDescent="0.25">
      <c r="B9" t="s">
        <v>22</v>
      </c>
      <c r="C9" s="2">
        <v>0.12</v>
      </c>
    </row>
    <row r="10" spans="2:3" x14ac:dyDescent="0.25">
      <c r="B10" t="s">
        <v>9</v>
      </c>
      <c r="C10" s="2">
        <v>0.25</v>
      </c>
    </row>
    <row r="11" spans="2:3" x14ac:dyDescent="0.25">
      <c r="B11" t="s">
        <v>23</v>
      </c>
      <c r="C11">
        <v>20000</v>
      </c>
    </row>
    <row r="12" spans="2:3" x14ac:dyDescent="0.25">
      <c r="B12" t="s">
        <v>0</v>
      </c>
      <c r="C12">
        <v>10</v>
      </c>
    </row>
    <row r="14" spans="2:3" x14ac:dyDescent="0.25">
      <c r="B14" t="s">
        <v>24</v>
      </c>
      <c r="C14">
        <f>C11*(((1+C10)^C12)-((1+C9)^C12))/(C10-C9)</f>
        <v>954981.15966316522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D4E69-E262-4661-AF64-3A3BEA3047D8}">
  <dimension ref="B15:J25"/>
  <sheetViews>
    <sheetView workbookViewId="0">
      <selection activeCell="C23" sqref="C23"/>
    </sheetView>
  </sheetViews>
  <sheetFormatPr defaultRowHeight="15" x14ac:dyDescent="0.25"/>
  <sheetData>
    <row r="15" spans="2:10" x14ac:dyDescent="0.25">
      <c r="B15" t="s">
        <v>25</v>
      </c>
      <c r="G15" t="s">
        <v>29</v>
      </c>
    </row>
    <row r="16" spans="2:10" x14ac:dyDescent="0.25">
      <c r="B16" t="s">
        <v>0</v>
      </c>
      <c r="C16">
        <v>20</v>
      </c>
      <c r="D16" t="s">
        <v>26</v>
      </c>
      <c r="E16">
        <v>65</v>
      </c>
      <c r="G16" t="s">
        <v>0</v>
      </c>
      <c r="H16">
        <v>8</v>
      </c>
      <c r="I16" t="s">
        <v>26</v>
      </c>
      <c r="J16">
        <v>45</v>
      </c>
    </row>
    <row r="17" spans="2:10" x14ac:dyDescent="0.25">
      <c r="D17" t="s">
        <v>27</v>
      </c>
      <c r="E17">
        <v>35</v>
      </c>
      <c r="I17" t="s">
        <v>27</v>
      </c>
      <c r="J17">
        <v>65</v>
      </c>
    </row>
    <row r="18" spans="2:10" x14ac:dyDescent="0.25">
      <c r="D18" t="s">
        <v>28</v>
      </c>
      <c r="E18">
        <f>E16+E17</f>
        <v>100</v>
      </c>
      <c r="I18" t="s">
        <v>28</v>
      </c>
      <c r="J18">
        <f>J16+J17</f>
        <v>110</v>
      </c>
    </row>
    <row r="20" spans="2:10" x14ac:dyDescent="0.25">
      <c r="C20" t="s">
        <v>30</v>
      </c>
      <c r="D20">
        <f>LCM(C16,H16)</f>
        <v>40</v>
      </c>
    </row>
    <row r="22" spans="2:10" x14ac:dyDescent="0.25">
      <c r="B22" t="s">
        <v>0</v>
      </c>
      <c r="C22" t="s">
        <v>31</v>
      </c>
      <c r="D22" t="s">
        <v>32</v>
      </c>
    </row>
    <row r="23" spans="2:10" x14ac:dyDescent="0.25">
      <c r="B23">
        <v>0</v>
      </c>
    </row>
    <row r="24" spans="2:10" x14ac:dyDescent="0.25">
      <c r="B24">
        <v>20</v>
      </c>
    </row>
    <row r="25" spans="2:10" x14ac:dyDescent="0.25">
      <c r="B25">
        <v>40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29EF5-D76F-42C2-89A7-3128A3D6C211}">
  <dimension ref="A1"/>
  <sheetViews>
    <sheetView workbookViewId="0">
      <selection activeCell="F18" sqref="F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C30E-A8AB-4E34-9E78-FC09DEE3CB2C}">
  <dimension ref="B21:C42"/>
  <sheetViews>
    <sheetView workbookViewId="0">
      <selection activeCell="B33" sqref="B33"/>
    </sheetView>
  </sheetViews>
  <sheetFormatPr defaultRowHeight="15" x14ac:dyDescent="0.25"/>
  <cols>
    <col min="3" max="3" width="9.5703125" bestFit="1" customWidth="1"/>
  </cols>
  <sheetData>
    <row r="21" spans="2:3" x14ac:dyDescent="0.25">
      <c r="B21" t="s">
        <v>33</v>
      </c>
    </row>
    <row r="23" spans="2:3" x14ac:dyDescent="0.25">
      <c r="B23" t="s">
        <v>34</v>
      </c>
      <c r="C23" s="2">
        <v>0.12</v>
      </c>
    </row>
    <row r="24" spans="2:3" x14ac:dyDescent="0.25">
      <c r="B24" t="s">
        <v>0</v>
      </c>
      <c r="C24">
        <v>12</v>
      </c>
    </row>
    <row r="26" spans="2:3" x14ac:dyDescent="0.25">
      <c r="B26" t="s">
        <v>35</v>
      </c>
      <c r="C26" s="3">
        <f>(1+(C23/C24))^C24-1</f>
        <v>0.12682503013196977</v>
      </c>
    </row>
    <row r="28" spans="2:3" x14ac:dyDescent="0.25">
      <c r="B28" t="s">
        <v>36</v>
      </c>
    </row>
    <row r="30" spans="2:3" x14ac:dyDescent="0.25">
      <c r="B30" t="s">
        <v>37</v>
      </c>
      <c r="C30" s="3">
        <f>C23/C24</f>
        <v>0.01</v>
      </c>
    </row>
    <row r="31" spans="2:3" x14ac:dyDescent="0.25">
      <c r="B31" t="s">
        <v>38</v>
      </c>
      <c r="C31">
        <v>50000</v>
      </c>
    </row>
    <row r="33" spans="2:3" x14ac:dyDescent="0.25">
      <c r="B33" s="7">
        <f>C33*C31</f>
        <v>56341.251506598492</v>
      </c>
      <c r="C33" s="11">
        <f>((1+C30)^C24)</f>
        <v>1.1268250301319698</v>
      </c>
    </row>
    <row r="35" spans="2:3" x14ac:dyDescent="0.25">
      <c r="B35" t="s">
        <v>39</v>
      </c>
    </row>
    <row r="36" spans="2:3" x14ac:dyDescent="0.25">
      <c r="B36" t="s">
        <v>40</v>
      </c>
      <c r="C36" s="2">
        <v>0.02</v>
      </c>
    </row>
    <row r="38" spans="2:3" x14ac:dyDescent="0.25">
      <c r="B38" t="s">
        <v>41</v>
      </c>
      <c r="C38" s="8">
        <f>(1-C36)*B33</f>
        <v>55214.42647646652</v>
      </c>
    </row>
    <row r="40" spans="2:3" x14ac:dyDescent="0.25">
      <c r="B40" t="s">
        <v>42</v>
      </c>
      <c r="C40" s="3">
        <f>C38/C31-1</f>
        <v>0.10428852952933032</v>
      </c>
    </row>
    <row r="42" spans="2:3" x14ac:dyDescent="0.25">
      <c r="B42" t="s">
        <v>43</v>
      </c>
      <c r="C42" s="3">
        <f>(1+(C40/C24))^C24-1</f>
        <v>0.1094206780263749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</vt:lpstr>
      <vt:lpstr>3</vt:lpstr>
      <vt:lpstr>4</vt:lpstr>
      <vt:lpstr>5</vt:lpstr>
      <vt:lpstr>7</vt:lpstr>
      <vt:lpstr>8</vt:lpstr>
      <vt:lpstr>11</vt:lpstr>
      <vt:lpstr>13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</cp:lastModifiedBy>
  <dcterms:created xsi:type="dcterms:W3CDTF">2015-06-05T18:17:20Z</dcterms:created>
  <dcterms:modified xsi:type="dcterms:W3CDTF">2023-08-13T02:49:45Z</dcterms:modified>
</cp:coreProperties>
</file>