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projects\Strandbeest\"/>
    </mc:Choice>
  </mc:AlternateContent>
  <bookViews>
    <workbookView xWindow="480" yWindow="30" windowWidth="27795" windowHeight="13350" activeTab="5"/>
  </bookViews>
  <sheets>
    <sheet name="initial linkages" sheetId="1" r:id="rId1"/>
    <sheet name="point positions (1)" sheetId="2" r:id="rId2"/>
    <sheet name="point positions (2)" sheetId="4" r:id="rId3"/>
    <sheet name="point positions (3)" sheetId="5" r:id="rId4"/>
    <sheet name="point positions (4)" sheetId="6" r:id="rId5"/>
    <sheet name="point positions (5), final" sheetId="7" r:id="rId6"/>
    <sheet name="motors, etc." sheetId="8" r:id="rId7"/>
  </sheets>
  <calcPr calcId="171027"/>
</workbook>
</file>

<file path=xl/calcChain.xml><?xml version="1.0" encoding="utf-8"?>
<calcChain xmlns="http://schemas.openxmlformats.org/spreadsheetml/2006/main">
  <c r="L7" i="8" l="1"/>
  <c r="M8" i="8"/>
  <c r="M7" i="8"/>
  <c r="H11" i="8"/>
  <c r="H10" i="8"/>
  <c r="L10" i="8"/>
  <c r="K10" i="8" s="1"/>
  <c r="L6" i="8"/>
  <c r="L9" i="8"/>
  <c r="M9" i="8"/>
  <c r="L5" i="8"/>
  <c r="I5" i="8"/>
  <c r="M4" i="8"/>
  <c r="L4" i="8"/>
  <c r="L3" i="8"/>
  <c r="I4" i="8"/>
  <c r="F3" i="8"/>
  <c r="I3" i="8"/>
  <c r="C37" i="7" l="1"/>
  <c r="E37" i="7" s="1"/>
  <c r="C36" i="7"/>
  <c r="E36" i="7" s="1"/>
  <c r="C35" i="7"/>
  <c r="E35" i="7" s="1"/>
  <c r="C34" i="7"/>
  <c r="E34" i="7" s="1"/>
  <c r="B34" i="7"/>
  <c r="D34" i="7" s="1"/>
  <c r="C33" i="7"/>
  <c r="E33" i="7" s="1"/>
  <c r="C32" i="7"/>
  <c r="E32" i="7" s="1"/>
  <c r="C31" i="7"/>
  <c r="E31" i="7" s="1"/>
  <c r="C29" i="7"/>
  <c r="E29" i="7" s="1"/>
  <c r="B29" i="7"/>
  <c r="D29" i="7" s="1"/>
  <c r="C28" i="7"/>
  <c r="E28" i="7" s="1"/>
  <c r="B28" i="7"/>
  <c r="D28" i="7" s="1"/>
  <c r="C27" i="7"/>
  <c r="E27" i="7" s="1"/>
  <c r="B27" i="7"/>
  <c r="D27" i="7" s="1"/>
  <c r="E21" i="7"/>
  <c r="D21" i="7"/>
  <c r="C20" i="7"/>
  <c r="E20" i="7" s="1"/>
  <c r="B20" i="7"/>
  <c r="C19" i="7"/>
  <c r="E19" i="7" s="1"/>
  <c r="B19" i="7"/>
  <c r="D19" i="7" s="1"/>
  <c r="C18" i="7"/>
  <c r="E18" i="7" s="1"/>
  <c r="B18" i="7"/>
  <c r="H17" i="7" s="1"/>
  <c r="E17" i="7"/>
  <c r="D17" i="7"/>
  <c r="H16" i="7"/>
  <c r="E16" i="7"/>
  <c r="D16" i="7"/>
  <c r="C15" i="7"/>
  <c r="E15" i="7" s="1"/>
  <c r="B15" i="7"/>
  <c r="C14" i="7"/>
  <c r="C30" i="7" s="1"/>
  <c r="E30" i="7" s="1"/>
  <c r="B14" i="7"/>
  <c r="E13" i="7"/>
  <c r="D13" i="7"/>
  <c r="H12" i="7"/>
  <c r="E12" i="7"/>
  <c r="D12" i="7"/>
  <c r="C11" i="7"/>
  <c r="E11" i="7" s="1"/>
  <c r="B11" i="7"/>
  <c r="B37" i="7" s="1"/>
  <c r="D37" i="7" s="1"/>
  <c r="C9" i="7"/>
  <c r="E9" i="7" s="1"/>
  <c r="B9" i="7"/>
  <c r="D9" i="7" s="1"/>
  <c r="D8" i="7"/>
  <c r="C8" i="7"/>
  <c r="E8" i="7" s="1"/>
  <c r="B8" i="7"/>
  <c r="C7" i="7"/>
  <c r="E7" i="7" s="1"/>
  <c r="B7" i="7"/>
  <c r="D7" i="7" s="1"/>
  <c r="E6" i="7"/>
  <c r="D6" i="7"/>
  <c r="H5" i="7"/>
  <c r="E5" i="7"/>
  <c r="D5" i="7"/>
  <c r="H4" i="7"/>
  <c r="E4" i="7"/>
  <c r="D4" i="7"/>
  <c r="C14" i="6"/>
  <c r="C30" i="6" s="1"/>
  <c r="E30" i="6" s="1"/>
  <c r="B14" i="6"/>
  <c r="H13" i="6" s="1"/>
  <c r="C37" i="6"/>
  <c r="E37" i="6" s="1"/>
  <c r="C36" i="6"/>
  <c r="E36" i="6" s="1"/>
  <c r="C35" i="6"/>
  <c r="C28" i="6"/>
  <c r="B28" i="6"/>
  <c r="C27" i="6"/>
  <c r="B27" i="6"/>
  <c r="C34" i="6"/>
  <c r="B34" i="6"/>
  <c r="C33" i="6"/>
  <c r="E33" i="6" s="1"/>
  <c r="C32" i="6"/>
  <c r="C31" i="6"/>
  <c r="C29" i="6"/>
  <c r="C7" i="6"/>
  <c r="E7" i="6" s="1"/>
  <c r="C20" i="6"/>
  <c r="E20" i="6" s="1"/>
  <c r="B20" i="6"/>
  <c r="H20" i="6" s="1"/>
  <c r="H22" i="6" s="1"/>
  <c r="C19" i="6"/>
  <c r="E19" i="6" s="1"/>
  <c r="B19" i="6"/>
  <c r="H18" i="6" s="1"/>
  <c r="C18" i="6"/>
  <c r="B18" i="6"/>
  <c r="D18" i="6" s="1"/>
  <c r="C15" i="6"/>
  <c r="B15" i="6"/>
  <c r="H15" i="6" s="1"/>
  <c r="C11" i="6"/>
  <c r="B11" i="6"/>
  <c r="B36" i="6" s="1"/>
  <c r="C9" i="6"/>
  <c r="B9" i="6"/>
  <c r="C8" i="6"/>
  <c r="B8" i="6"/>
  <c r="B7" i="6"/>
  <c r="H12" i="6"/>
  <c r="H16" i="6"/>
  <c r="H17" i="6"/>
  <c r="H5" i="6"/>
  <c r="B35" i="6"/>
  <c r="D35" i="6" s="1"/>
  <c r="B31" i="6"/>
  <c r="D31" i="6" s="1"/>
  <c r="B29" i="6"/>
  <c r="D29" i="6" s="1"/>
  <c r="E35" i="6"/>
  <c r="E34" i="6"/>
  <c r="D34" i="6"/>
  <c r="E32" i="6"/>
  <c r="E31" i="6"/>
  <c r="E29" i="6"/>
  <c r="E28" i="6"/>
  <c r="D28" i="6"/>
  <c r="E27" i="6"/>
  <c r="D27" i="6"/>
  <c r="D20" i="6"/>
  <c r="E9" i="6"/>
  <c r="D9" i="6"/>
  <c r="E21" i="6"/>
  <c r="D21" i="6"/>
  <c r="E18" i="6"/>
  <c r="E17" i="6"/>
  <c r="D17" i="6"/>
  <c r="E16" i="6"/>
  <c r="D16" i="6"/>
  <c r="E15" i="6"/>
  <c r="D15" i="6"/>
  <c r="E13" i="6"/>
  <c r="D13" i="6"/>
  <c r="E12" i="6"/>
  <c r="D12" i="6"/>
  <c r="E11" i="6"/>
  <c r="E8" i="6"/>
  <c r="E6" i="6"/>
  <c r="D6" i="6"/>
  <c r="E5" i="6"/>
  <c r="D5" i="6"/>
  <c r="H4" i="6"/>
  <c r="E4" i="6"/>
  <c r="D4" i="6"/>
  <c r="B30" i="6" l="1"/>
  <c r="D30" i="6" s="1"/>
  <c r="H6" i="6"/>
  <c r="H7" i="6"/>
  <c r="D14" i="6"/>
  <c r="B32" i="6"/>
  <c r="D32" i="6" s="1"/>
  <c r="H11" i="6"/>
  <c r="H25" i="6" s="1"/>
  <c r="J28" i="6" s="1"/>
  <c r="D18" i="7"/>
  <c r="D11" i="7"/>
  <c r="H8" i="7"/>
  <c r="E14" i="7"/>
  <c r="H28" i="7"/>
  <c r="H7" i="7"/>
  <c r="H15" i="7"/>
  <c r="H18" i="7"/>
  <c r="H20" i="7"/>
  <c r="H22" i="7" s="1"/>
  <c r="H27" i="7"/>
  <c r="H19" i="7"/>
  <c r="H14" i="7"/>
  <c r="D15" i="7"/>
  <c r="H13" i="7"/>
  <c r="D14" i="7"/>
  <c r="H6" i="7"/>
  <c r="H11" i="7"/>
  <c r="D20" i="7"/>
  <c r="B30" i="7"/>
  <c r="H29" i="7" s="1"/>
  <c r="B31" i="7"/>
  <c r="B32" i="7"/>
  <c r="B33" i="7"/>
  <c r="B35" i="7"/>
  <c r="B36" i="7"/>
  <c r="E14" i="6"/>
  <c r="H14" i="6"/>
  <c r="J14" i="6" s="1"/>
  <c r="H28" i="6"/>
  <c r="H27" i="6"/>
  <c r="J27" i="6" s="1"/>
  <c r="D19" i="6"/>
  <c r="H19" i="6"/>
  <c r="J19" i="6" s="1"/>
  <c r="O19" i="6" s="1"/>
  <c r="L37" i="6"/>
  <c r="K29" i="6"/>
  <c r="L36" i="6"/>
  <c r="K35" i="6"/>
  <c r="L28" i="6"/>
  <c r="L34" i="6"/>
  <c r="D11" i="6"/>
  <c r="L33" i="6"/>
  <c r="B33" i="6"/>
  <c r="B37" i="6"/>
  <c r="D37" i="6" s="1"/>
  <c r="K28" i="6"/>
  <c r="L32" i="6"/>
  <c r="D7" i="6"/>
  <c r="K7" i="6" s="1"/>
  <c r="H8" i="6"/>
  <c r="D8" i="6"/>
  <c r="K8" i="6" s="1"/>
  <c r="H36" i="6"/>
  <c r="H35" i="6"/>
  <c r="D36" i="6"/>
  <c r="K36" i="6" s="1"/>
  <c r="H34" i="6"/>
  <c r="H31" i="6"/>
  <c r="H29" i="6"/>
  <c r="H30" i="6"/>
  <c r="J30" i="6" s="1"/>
  <c r="K4" i="6"/>
  <c r="J6" i="6"/>
  <c r="N6" i="6" s="1"/>
  <c r="K14" i="6"/>
  <c r="J22" i="6"/>
  <c r="L19" i="6"/>
  <c r="L8" i="6"/>
  <c r="J5" i="6"/>
  <c r="K5" i="6"/>
  <c r="K11" i="6"/>
  <c r="J13" i="6"/>
  <c r="N14" i="6" s="1"/>
  <c r="L16" i="6"/>
  <c r="L20" i="6"/>
  <c r="L9" i="6"/>
  <c r="K21" i="6"/>
  <c r="J16" i="6"/>
  <c r="L21" i="6"/>
  <c r="J15" i="6"/>
  <c r="O15" i="6" s="1"/>
  <c r="L18" i="6"/>
  <c r="K6" i="6"/>
  <c r="L13" i="6"/>
  <c r="L17" i="6"/>
  <c r="K20" i="6"/>
  <c r="J11" i="6" l="1"/>
  <c r="K16" i="6"/>
  <c r="J4" i="6"/>
  <c r="N4" i="6" s="1"/>
  <c r="K13" i="6"/>
  <c r="J12" i="6"/>
  <c r="L7" i="6"/>
  <c r="K15" i="6"/>
  <c r="L6" i="6"/>
  <c r="K18" i="6"/>
  <c r="L11" i="6"/>
  <c r="L4" i="6"/>
  <c r="J34" i="6"/>
  <c r="J7" i="6"/>
  <c r="K34" i="6"/>
  <c r="K37" i="6"/>
  <c r="L27" i="6"/>
  <c r="L30" i="6"/>
  <c r="K30" i="6"/>
  <c r="K31" i="6"/>
  <c r="L14" i="6"/>
  <c r="J18" i="6"/>
  <c r="K12" i="6"/>
  <c r="K17" i="6"/>
  <c r="J17" i="6"/>
  <c r="N17" i="6" s="1"/>
  <c r="K19" i="6"/>
  <c r="L12" i="6"/>
  <c r="K9" i="6"/>
  <c r="J20" i="6"/>
  <c r="L15" i="6"/>
  <c r="L5" i="6"/>
  <c r="J35" i="6"/>
  <c r="J8" i="6"/>
  <c r="N8" i="6" s="1"/>
  <c r="L29" i="6"/>
  <c r="L35" i="6"/>
  <c r="K32" i="6"/>
  <c r="K27" i="6"/>
  <c r="L31" i="6"/>
  <c r="H32" i="7"/>
  <c r="J32" i="7" s="1"/>
  <c r="D32" i="7"/>
  <c r="J11" i="7"/>
  <c r="H25" i="7"/>
  <c r="J22" i="7" s="1"/>
  <c r="H36" i="7"/>
  <c r="J36" i="7" s="1"/>
  <c r="D36" i="7"/>
  <c r="H31" i="7"/>
  <c r="J31" i="7" s="1"/>
  <c r="D31" i="7"/>
  <c r="K31" i="7" s="1"/>
  <c r="J6" i="7"/>
  <c r="N6" i="7" s="1"/>
  <c r="S6" i="7" s="1"/>
  <c r="H35" i="7"/>
  <c r="J35" i="7" s="1"/>
  <c r="D35" i="7"/>
  <c r="K35" i="7" s="1"/>
  <c r="H30" i="7"/>
  <c r="J30" i="7" s="1"/>
  <c r="D30" i="7"/>
  <c r="K30" i="7" s="1"/>
  <c r="H33" i="7"/>
  <c r="J33" i="7" s="1"/>
  <c r="D33" i="7"/>
  <c r="K33" i="7" s="1"/>
  <c r="K20" i="7"/>
  <c r="H34" i="7"/>
  <c r="J34" i="7" s="1"/>
  <c r="J29" i="6"/>
  <c r="J31" i="6"/>
  <c r="J36" i="6"/>
  <c r="D33" i="6"/>
  <c r="K33" i="6" s="1"/>
  <c r="H32" i="6"/>
  <c r="J32" i="6" s="1"/>
  <c r="H33" i="6"/>
  <c r="N19" i="6"/>
  <c r="N15" i="6"/>
  <c r="E9" i="5"/>
  <c r="D9" i="5"/>
  <c r="D11" i="5"/>
  <c r="K11" i="5" s="1"/>
  <c r="E11" i="5"/>
  <c r="L11" i="5" s="1"/>
  <c r="D12" i="5"/>
  <c r="E12" i="5"/>
  <c r="L12" i="5" s="1"/>
  <c r="D13" i="5"/>
  <c r="E13" i="5"/>
  <c r="L13" i="5" s="1"/>
  <c r="D14" i="5"/>
  <c r="K14" i="5" s="1"/>
  <c r="E14" i="5"/>
  <c r="L14" i="5" s="1"/>
  <c r="D15" i="5"/>
  <c r="K15" i="5" s="1"/>
  <c r="E15" i="5"/>
  <c r="L15" i="5" s="1"/>
  <c r="D16" i="5"/>
  <c r="E16" i="5"/>
  <c r="L16" i="5" s="1"/>
  <c r="D17" i="5"/>
  <c r="E17" i="5"/>
  <c r="L17" i="5" s="1"/>
  <c r="D18" i="5"/>
  <c r="K18" i="5" s="1"/>
  <c r="E18" i="5"/>
  <c r="L18" i="5" s="1"/>
  <c r="D19" i="5"/>
  <c r="E19" i="5"/>
  <c r="L19" i="5" s="1"/>
  <c r="E10" i="5"/>
  <c r="D10" i="5"/>
  <c r="K10" i="5" s="1"/>
  <c r="D5" i="5"/>
  <c r="E5" i="5"/>
  <c r="D6" i="5"/>
  <c r="E6" i="5"/>
  <c r="D7" i="5"/>
  <c r="E7" i="5"/>
  <c r="E4" i="5"/>
  <c r="D4" i="5"/>
  <c r="H18" i="5"/>
  <c r="H17" i="5"/>
  <c r="H16" i="5"/>
  <c r="H15" i="5"/>
  <c r="H14" i="5"/>
  <c r="H20" i="5" s="1"/>
  <c r="H13" i="5"/>
  <c r="H12" i="5"/>
  <c r="H11" i="5"/>
  <c r="H10" i="5"/>
  <c r="H9" i="5"/>
  <c r="H23" i="5" s="1"/>
  <c r="K13" i="5" s="1"/>
  <c r="H6" i="5"/>
  <c r="H5" i="5"/>
  <c r="H4" i="5"/>
  <c r="L7" i="5" l="1"/>
  <c r="L5" i="5"/>
  <c r="K9" i="5"/>
  <c r="K16" i="5"/>
  <c r="L10" i="5"/>
  <c r="L9" i="5"/>
  <c r="J20" i="5"/>
  <c r="K19" i="5"/>
  <c r="K36" i="7"/>
  <c r="K12" i="5"/>
  <c r="K17" i="5"/>
  <c r="K32" i="7"/>
  <c r="J16" i="7"/>
  <c r="J7" i="7"/>
  <c r="L17" i="7"/>
  <c r="L34" i="7"/>
  <c r="J15" i="7"/>
  <c r="K9" i="7"/>
  <c r="J18" i="7"/>
  <c r="J27" i="7"/>
  <c r="L35" i="7"/>
  <c r="L13" i="7"/>
  <c r="L31" i="7"/>
  <c r="J14" i="7"/>
  <c r="L21" i="7"/>
  <c r="K6" i="7"/>
  <c r="L6" i="7"/>
  <c r="K13" i="7"/>
  <c r="L20" i="7"/>
  <c r="L8" i="7"/>
  <c r="K19" i="7"/>
  <c r="L4" i="7"/>
  <c r="J17" i="7"/>
  <c r="N17" i="7" s="1"/>
  <c r="S17" i="7" s="1"/>
  <c r="K11" i="7"/>
  <c r="J19" i="7"/>
  <c r="L28" i="7"/>
  <c r="K4" i="7"/>
  <c r="K16" i="7"/>
  <c r="L37" i="7"/>
  <c r="L16" i="7"/>
  <c r="L29" i="7"/>
  <c r="K7" i="7"/>
  <c r="J8" i="7"/>
  <c r="N8" i="7" s="1"/>
  <c r="S8" i="7" s="1"/>
  <c r="K14" i="7"/>
  <c r="L27" i="7"/>
  <c r="L36" i="7"/>
  <c r="K12" i="7"/>
  <c r="K27" i="7"/>
  <c r="J5" i="7"/>
  <c r="J28" i="7"/>
  <c r="J13" i="7"/>
  <c r="N14" i="7" s="1"/>
  <c r="S14" i="7" s="1"/>
  <c r="K29" i="7"/>
  <c r="L5" i="7"/>
  <c r="K18" i="7"/>
  <c r="L7" i="7"/>
  <c r="L18" i="7"/>
  <c r="K34" i="7"/>
  <c r="J12" i="7"/>
  <c r="L9" i="7"/>
  <c r="K15" i="7"/>
  <c r="K28" i="7"/>
  <c r="L14" i="7"/>
  <c r="K8" i="7"/>
  <c r="L32" i="7"/>
  <c r="L15" i="7"/>
  <c r="J20" i="7"/>
  <c r="L33" i="7"/>
  <c r="K37" i="7"/>
  <c r="K21" i="7"/>
  <c r="L12" i="7"/>
  <c r="L19" i="7"/>
  <c r="J4" i="7"/>
  <c r="N4" i="7" s="1"/>
  <c r="K5" i="7"/>
  <c r="L11" i="7"/>
  <c r="K17" i="7"/>
  <c r="L30" i="7"/>
  <c r="J29" i="7"/>
  <c r="J33" i="6"/>
  <c r="K6" i="5"/>
  <c r="L4" i="5"/>
  <c r="L6" i="5"/>
  <c r="K4" i="5"/>
  <c r="K5" i="5"/>
  <c r="K7" i="5"/>
  <c r="J10" i="5"/>
  <c r="F43" i="4"/>
  <c r="F42" i="4"/>
  <c r="F41" i="4"/>
  <c r="F40" i="4"/>
  <c r="F39" i="4"/>
  <c r="F46" i="4" s="1"/>
  <c r="G1" i="4" s="1"/>
  <c r="F38" i="4"/>
  <c r="F47" i="4" s="1"/>
  <c r="F37" i="4"/>
  <c r="F36" i="4"/>
  <c r="F35" i="4"/>
  <c r="F34" i="4"/>
  <c r="F31" i="4"/>
  <c r="F30" i="4"/>
  <c r="F29" i="4"/>
  <c r="F28" i="4"/>
  <c r="F27" i="4"/>
  <c r="F26" i="4"/>
  <c r="F25" i="4"/>
  <c r="F24" i="4"/>
  <c r="F23" i="4"/>
  <c r="F22" i="4"/>
  <c r="F6" i="4"/>
  <c r="F5" i="4"/>
  <c r="F4" i="4"/>
  <c r="F42" i="2"/>
  <c r="F43" i="2"/>
  <c r="F35" i="2"/>
  <c r="F36" i="2"/>
  <c r="G36" i="2" s="1"/>
  <c r="F37" i="2"/>
  <c r="F38" i="2"/>
  <c r="F39" i="2"/>
  <c r="F40" i="2"/>
  <c r="G40" i="2" s="1"/>
  <c r="F41" i="2"/>
  <c r="F34" i="2"/>
  <c r="F23" i="2"/>
  <c r="F24" i="2"/>
  <c r="G24" i="2" s="1"/>
  <c r="F25" i="2"/>
  <c r="F26" i="2"/>
  <c r="F27" i="2"/>
  <c r="F28" i="2"/>
  <c r="G28" i="2" s="1"/>
  <c r="F29" i="2"/>
  <c r="F30" i="2"/>
  <c r="F31" i="2"/>
  <c r="F22" i="2"/>
  <c r="G22" i="2" s="1"/>
  <c r="F5" i="2"/>
  <c r="F6" i="2"/>
  <c r="F4" i="2"/>
  <c r="G1" i="2" s="1"/>
  <c r="E4" i="1"/>
  <c r="E5" i="1"/>
  <c r="E6" i="1"/>
  <c r="E7" i="1"/>
  <c r="E3" i="1"/>
  <c r="E10" i="1" s="1"/>
  <c r="E9" i="1"/>
  <c r="E8" i="1"/>
  <c r="C13" i="1" l="1"/>
  <c r="C11" i="1"/>
  <c r="C12" i="1"/>
  <c r="G39" i="2"/>
  <c r="I4" i="2"/>
  <c r="H5" i="2"/>
  <c r="H6" i="2"/>
  <c r="I6" i="2"/>
  <c r="H7" i="2"/>
  <c r="I7" i="2"/>
  <c r="H4" i="2"/>
  <c r="I5" i="2"/>
  <c r="N9" i="7"/>
  <c r="S4" i="7"/>
  <c r="O28" i="7"/>
  <c r="O29" i="7"/>
  <c r="O32" i="7"/>
  <c r="O30" i="7"/>
  <c r="N35" i="7"/>
  <c r="N32" i="7"/>
  <c r="N31" i="7"/>
  <c r="O31" i="7"/>
  <c r="N29" i="7"/>
  <c r="N28" i="7"/>
  <c r="N30" i="7" s="1"/>
  <c r="O19" i="7"/>
  <c r="N19" i="7"/>
  <c r="S19" i="7" s="1"/>
  <c r="N15" i="7"/>
  <c r="O15" i="7"/>
  <c r="J6" i="5"/>
  <c r="J13" i="5"/>
  <c r="N13" i="5" s="1"/>
  <c r="J17" i="5"/>
  <c r="J11" i="5"/>
  <c r="N12" i="5" s="1"/>
  <c r="J14" i="5"/>
  <c r="J16" i="5"/>
  <c r="J15" i="5"/>
  <c r="N15" i="5" s="1"/>
  <c r="J4" i="5"/>
  <c r="J12" i="5"/>
  <c r="J9" i="5"/>
  <c r="N9" i="5" s="1"/>
  <c r="J5" i="5"/>
  <c r="J18" i="5"/>
  <c r="G30" i="4"/>
  <c r="G22" i="4"/>
  <c r="G40" i="4"/>
  <c r="G4" i="4"/>
  <c r="G28" i="4"/>
  <c r="G38" i="4"/>
  <c r="G42" i="4"/>
  <c r="G36" i="4"/>
  <c r="G23" i="4"/>
  <c r="G24" i="4"/>
  <c r="G6" i="4"/>
  <c r="G25" i="4"/>
  <c r="G29" i="4"/>
  <c r="G4" i="2"/>
  <c r="G31" i="2"/>
  <c r="G27" i="2"/>
  <c r="G23" i="2"/>
  <c r="G37" i="2"/>
  <c r="G41" i="2"/>
  <c r="G6" i="2"/>
  <c r="G30" i="2"/>
  <c r="G26" i="2"/>
  <c r="G34" i="2"/>
  <c r="G38" i="2"/>
  <c r="G43" i="2"/>
  <c r="G5" i="2"/>
  <c r="G29" i="2"/>
  <c r="G25" i="2"/>
  <c r="G35" i="2"/>
  <c r="G42" i="2"/>
  <c r="N20" i="7" l="1"/>
  <c r="N24" i="7" s="1"/>
  <c r="N25" i="7" s="1"/>
  <c r="S15" i="7"/>
  <c r="N17" i="5"/>
  <c r="G43" i="4"/>
  <c r="G41" i="4"/>
  <c r="G39" i="4"/>
  <c r="G37" i="4"/>
  <c r="G35" i="4"/>
  <c r="G47" i="4" s="1"/>
  <c r="G31" i="4"/>
  <c r="I7" i="4"/>
  <c r="H7" i="4"/>
  <c r="I6" i="4"/>
  <c r="I5" i="4"/>
  <c r="I4" i="4"/>
  <c r="H6" i="4"/>
  <c r="H4" i="4"/>
  <c r="H5" i="4"/>
  <c r="G34" i="4"/>
  <c r="G26" i="4"/>
  <c r="G5" i="4"/>
  <c r="G27" i="4"/>
  <c r="G46" i="4" l="1"/>
</calcChain>
</file>

<file path=xl/sharedStrings.xml><?xml version="1.0" encoding="utf-8"?>
<sst xmlns="http://schemas.openxmlformats.org/spreadsheetml/2006/main" count="458" uniqueCount="154">
  <si>
    <t>Straandbeest</t>
  </si>
  <si>
    <t>crank connecting arm</t>
  </si>
  <si>
    <t>red</t>
  </si>
  <si>
    <t>lower rocker</t>
  </si>
  <si>
    <t>green</t>
  </si>
  <si>
    <t xml:space="preserve">crank   </t>
  </si>
  <si>
    <t>blue</t>
  </si>
  <si>
    <t>upper rocker</t>
  </si>
  <si>
    <t>black</t>
  </si>
  <si>
    <t>leg connecting arm</t>
  </si>
  <si>
    <t>magenta</t>
  </si>
  <si>
    <t>foot</t>
  </si>
  <si>
    <t>green yellow</t>
  </si>
  <si>
    <t>leg</t>
  </si>
  <si>
    <t>yellow</t>
  </si>
  <si>
    <t>triagle left</t>
  </si>
  <si>
    <t>triangle top</t>
  </si>
  <si>
    <t>triangle bottom</t>
  </si>
  <si>
    <t>Mekanizmalar</t>
  </si>
  <si>
    <t>measured mm</t>
  </si>
  <si>
    <t>thigh</t>
  </si>
  <si>
    <t>ratio</t>
  </si>
  <si>
    <t>170 degrees</t>
  </si>
  <si>
    <t>X</t>
  </si>
  <si>
    <t>Y</t>
  </si>
  <si>
    <t>fully extended ground stride position</t>
  </si>
  <si>
    <t>27X</t>
  </si>
  <si>
    <t>elbow joint</t>
  </si>
  <si>
    <t>29x</t>
  </si>
  <si>
    <t>crank</t>
  </si>
  <si>
    <t>33x</t>
  </si>
  <si>
    <t>35x</t>
  </si>
  <si>
    <t>knee joint/axle</t>
  </si>
  <si>
    <t>37x</t>
  </si>
  <si>
    <t>hip joint</t>
  </si>
  <si>
    <t>grounded gait position</t>
  </si>
  <si>
    <t>27Y</t>
  </si>
  <si>
    <t>29y</t>
  </si>
  <si>
    <t>33y</t>
  </si>
  <si>
    <t>35y</t>
  </si>
  <si>
    <t>37y</t>
  </si>
  <si>
    <t>fully extended</t>
  </si>
  <si>
    <t>fully retracted</t>
  </si>
  <si>
    <t>length</t>
  </si>
  <si>
    <t>crankshaft</t>
  </si>
  <si>
    <t>crank joint</t>
  </si>
  <si>
    <t>bottom axle</t>
  </si>
  <si>
    <t>top axle</t>
  </si>
  <si>
    <t>elbow</t>
  </si>
  <si>
    <t xml:space="preserve">knee   </t>
  </si>
  <si>
    <t xml:space="preserve">hip  </t>
  </si>
  <si>
    <t>scaled</t>
  </si>
  <si>
    <t>mm</t>
  </si>
  <si>
    <t>Klann Linkage</t>
  </si>
  <si>
    <t>point</t>
  </si>
  <si>
    <t>description</t>
  </si>
  <si>
    <t>fixed points</t>
  </si>
  <si>
    <t>height</t>
  </si>
  <si>
    <t>longest piece</t>
  </si>
  <si>
    <t>http://blog.rectorsquid.com/linkage-mechanism-designer-and-simulator/</t>
  </si>
  <si>
    <t>link simulator:</t>
  </si>
  <si>
    <t>x offset</t>
  </si>
  <si>
    <t>scale factor</t>
  </si>
  <si>
    <t>y offset</t>
  </si>
  <si>
    <t>X'</t>
  </si>
  <si>
    <t>Y'</t>
  </si>
  <si>
    <t>foot-knee-hip</t>
  </si>
  <si>
    <t>knee-elbow-crankjoint</t>
  </si>
  <si>
    <t>crank depth</t>
  </si>
  <si>
    <t>hip to top axle</t>
  </si>
  <si>
    <t>elbow to bottom axle</t>
  </si>
  <si>
    <t>part</t>
  </si>
  <si>
    <t>bottom left axle</t>
  </si>
  <si>
    <t>bottom right axle</t>
  </si>
  <si>
    <t>elbow left</t>
  </si>
  <si>
    <t>knee  left</t>
  </si>
  <si>
    <t>hip left</t>
  </si>
  <si>
    <t>left</t>
  </si>
  <si>
    <t>right</t>
  </si>
  <si>
    <t>elbow right</t>
  </si>
  <si>
    <t>knee  right</t>
  </si>
  <si>
    <t>hip right</t>
  </si>
  <si>
    <t>foot left</t>
  </si>
  <si>
    <t>foot right</t>
  </si>
  <si>
    <t>knee right</t>
  </si>
  <si>
    <t>frame</t>
  </si>
  <si>
    <t>linkage</t>
  </si>
  <si>
    <t>hip-knee-foot</t>
  </si>
  <si>
    <t>red numbers are inputs</t>
  </si>
  <si>
    <t>mid</t>
  </si>
  <si>
    <t>pin</t>
  </si>
  <si>
    <t>-</t>
  </si>
  <si>
    <t>sleeve</t>
  </si>
  <si>
    <t>knee-elbow-crank</t>
  </si>
  <si>
    <t>foot?</t>
  </si>
  <si>
    <t>scaled dimensions</t>
  </si>
  <si>
    <t>start</t>
  </si>
  <si>
    <t>end</t>
  </si>
  <si>
    <t>top to bottom axles</t>
  </si>
  <si>
    <t>T</t>
  </si>
  <si>
    <t>bottom axles to crankshaft</t>
  </si>
  <si>
    <t>top axle to crankshaft</t>
  </si>
  <si>
    <t>connector type</t>
  </si>
  <si>
    <t>linkage_08</t>
  </si>
  <si>
    <t>total inches</t>
  </si>
  <si>
    <t>total feet</t>
  </si>
  <si>
    <t>Translated frame points</t>
  </si>
  <si>
    <t>delta x</t>
  </si>
  <si>
    <t>delta y</t>
  </si>
  <si>
    <t>bottom left</t>
  </si>
  <si>
    <t>bottom right</t>
  </si>
  <si>
    <t>legs</t>
  </si>
  <si>
    <t>axles</t>
  </si>
  <si>
    <t>left-right axle separation</t>
  </si>
  <si>
    <t>cut</t>
  </si>
  <si>
    <t>calibration</t>
  </si>
  <si>
    <t>oz-in</t>
  </si>
  <si>
    <t>kg-cm</t>
  </si>
  <si>
    <t>A</t>
  </si>
  <si>
    <t>RPM</t>
  </si>
  <si>
    <t>shaft diameter</t>
  </si>
  <si>
    <t>wt,lbs</t>
  </si>
  <si>
    <t>price</t>
  </si>
  <si>
    <t>stock?</t>
  </si>
  <si>
    <t>no</t>
  </si>
  <si>
    <t>https://www.servocity.com/html/10_rpm_gear_motor.html</t>
  </si>
  <si>
    <t>best</t>
  </si>
  <si>
    <t>stall</t>
  </si>
  <si>
    <t>no load</t>
  </si>
  <si>
    <t>https://www.sparkfun.com/products/12367</t>
  </si>
  <si>
    <t>https://www.sparkfun.com/products/12115</t>
  </si>
  <si>
    <t>ship</t>
  </si>
  <si>
    <t>tx</t>
  </si>
  <si>
    <t>yes</t>
  </si>
  <si>
    <t>http://www.ebay.com/itm/12v-dc-10rpm-High-torque-DC-Worm-Gearmotor-with-Double-Shaft-Gearbox-Tsiny-Motor-/221515025957</t>
  </si>
  <si>
    <t>yes?</t>
  </si>
  <si>
    <t>us</t>
  </si>
  <si>
    <t>http://www.ebay.com/itm/DC-12V-150mA-10RPM-20-9Kg-cm-High-Torque-Permanent-Magnetic-Gear-Motor-New-Fre-/262373204631</t>
  </si>
  <si>
    <t>manuf</t>
  </si>
  <si>
    <t>Tsiny</t>
  </si>
  <si>
    <t>https://www.zoro.com/dayton-dc-gearmotor-12-rpm-12v-vented-2l008/i/G1052773/</t>
  </si>
  <si>
    <t>https://www.zoro.com/dayton-dc-gearmotor-88-rpm-12v-vented-2l007/i/G2369315/</t>
  </si>
  <si>
    <t>TS-58GZ868-527</t>
  </si>
  <si>
    <t>https://www.amazon.com/Torque-DC-Double-Reducer-Motor/dp/B00Q8G6N6U</t>
  </si>
  <si>
    <t>https://www.amazon.com/dp/B00QLF4YSM</t>
  </si>
  <si>
    <t>TS-58GZ868D-1210</t>
  </si>
  <si>
    <t>amazon</t>
  </si>
  <si>
    <t>Remote control fob:</t>
  </si>
  <si>
    <t>http://www.ebay.com/itm/221517636847</t>
  </si>
  <si>
    <t>All pipes are 1/2" Schedule 40 PVC except the ground-contact legs (hip-knee-foot), which are 3/4".</t>
  </si>
  <si>
    <t>Sleeve joints are half-circle cut to mate to the axles, then attached with 1/2" stainless straps.</t>
  </si>
  <si>
    <t>12V 2.3Ah battery:</t>
  </si>
  <si>
    <t>https://www.amazon.com/gp/product/B000LQDN52</t>
  </si>
  <si>
    <t>lengths are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</si>
</sst>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/>
    <xf numFmtId="2" fontId="3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6" fillId="0" borderId="0" xfId="0" applyNumberFormat="1" applyFont="1"/>
    <xf numFmtId="164" fontId="7" fillId="0" borderId="0" xfId="0" applyNumberFormat="1" applyFont="1" applyAlignment="1">
      <alignment horizontal="center" vertical="center"/>
    </xf>
    <xf numFmtId="2" fontId="3" fillId="0" borderId="1" xfId="0" applyNumberFormat="1" applyFont="1" applyBorder="1"/>
    <xf numFmtId="1" fontId="3" fillId="0" borderId="0" xfId="0" applyNumberFormat="1" applyFont="1"/>
    <xf numFmtId="2" fontId="3" fillId="0" borderId="2" xfId="0" applyNumberFormat="1" applyFont="1" applyBorder="1"/>
    <xf numFmtId="6" fontId="0" fillId="0" borderId="0" xfId="0" applyNumberFormat="1"/>
    <xf numFmtId="6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9" fillId="0" borderId="0" xfId="0" applyFont="1"/>
    <xf numFmtId="2" fontId="9" fillId="0" borderId="0" xfId="0" applyNumberFormat="1" applyFont="1"/>
    <xf numFmtId="1" fontId="9" fillId="0" borderId="0" xfId="0" applyNumberFormat="1" applyFont="1"/>
    <xf numFmtId="2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6" fontId="9" fillId="0" borderId="0" xfId="0" applyNumberFormat="1" applyFont="1"/>
    <xf numFmtId="0" fontId="9" fillId="0" borderId="0" xfId="0" applyFont="1" applyAlignment="1">
      <alignment horizontal="right"/>
    </xf>
    <xf numFmtId="0" fontId="11" fillId="0" borderId="0" xfId="1" applyFont="1"/>
    <xf numFmtId="16" fontId="9" fillId="0" borderId="0" xfId="0" quotePrefix="1" applyNumberFormat="1" applyFont="1" applyAlignment="1">
      <alignment horizontal="right"/>
    </xf>
    <xf numFmtId="0" fontId="8" fillId="0" borderId="0" xfId="1" applyAlignment="1">
      <alignment vertical="center"/>
    </xf>
    <xf numFmtId="2" fontId="12" fillId="0" borderId="0" xfId="0" applyNumberFormat="1" applyFont="1"/>
    <xf numFmtId="0" fontId="13" fillId="0" borderId="0" xfId="0" applyFont="1"/>
    <xf numFmtId="16" fontId="13" fillId="0" borderId="0" xfId="0" quotePrefix="1" applyNumberFormat="1" applyFont="1" applyAlignment="1">
      <alignment horizontal="right"/>
    </xf>
    <xf numFmtId="2" fontId="13" fillId="0" borderId="0" xfId="0" applyNumberFormat="1" applyFont="1"/>
    <xf numFmtId="1" fontId="13" fillId="0" borderId="0" xfId="0" applyNumberFormat="1" applyFont="1"/>
    <xf numFmtId="2" fontId="13" fillId="0" borderId="0" xfId="0" applyNumberFormat="1" applyFont="1" applyAlignment="1">
      <alignment horizontal="right"/>
    </xf>
    <xf numFmtId="2" fontId="13" fillId="0" borderId="0" xfId="0" applyNumberFormat="1" applyFont="1" applyAlignment="1">
      <alignment horizontal="center"/>
    </xf>
    <xf numFmtId="6" fontId="13" fillId="0" borderId="0" xfId="0" applyNumberFormat="1" applyFont="1"/>
    <xf numFmtId="0" fontId="13" fillId="0" borderId="0" xfId="0" applyFont="1" applyAlignment="1">
      <alignment horizontal="right"/>
    </xf>
    <xf numFmtId="0" fontId="14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3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(1)'!$B$4:$B$7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(1)'!$C$4:$C$7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2-4BB0-8A2F-7C8F4ABEB3FB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D2-4BB0-8A2F-7C8F4ABEB3FB}"/>
                </c:ext>
              </c:extLst>
            </c:dLbl>
            <c:dLbl>
              <c:idx val="1"/>
              <c:layout>
                <c:manualLayout>
                  <c:x val="-4.2634133543224449E-2"/>
                  <c:y val="-3.5734705546026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D2-4BB0-8A2F-7C8F4ABEB3F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D2-4BB0-8A2F-7C8F4ABEB3FB}"/>
                </c:ext>
              </c:extLst>
            </c:dLbl>
            <c:dLbl>
              <c:idx val="3"/>
              <c:layout>
                <c:manualLayout>
                  <c:x val="0"/>
                  <c:y val="2.620545073375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D2-4BB0-8A2F-7C8F4ABEB3FB}"/>
                </c:ext>
              </c:extLst>
            </c:dLbl>
            <c:dLbl>
              <c:idx val="4"/>
              <c:layout>
                <c:manualLayout>
                  <c:x val="-2.7876164239800605E-2"/>
                  <c:y val="-4.7646274061368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D2-4BB0-8A2F-7C8F4ABEB3F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D2-4BB0-8A2F-7C8F4ABEB3F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D2-4BB0-8A2F-7C8F4ABEB3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D2-4BB0-8A2F-7C8F4ABEB3FB}"/>
                </c:ext>
              </c:extLst>
            </c:dLbl>
            <c:dLbl>
              <c:idx val="8"/>
              <c:layout>
                <c:manualLayout>
                  <c:x val="-5.9031877213695398E-2"/>
                  <c:y val="-1.4293882218410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D2-4BB0-8A2F-7C8F4ABEB3FB}"/>
                </c:ext>
              </c:extLst>
            </c:dLbl>
            <c:dLbl>
              <c:idx val="9"/>
              <c:layout>
                <c:manualLayout>
                  <c:x val="-6.723074904893088E-2"/>
                  <c:y val="-3.3352391842957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D2-4BB0-8A2F-7C8F4ABEB3FB}"/>
                </c:ext>
              </c:extLst>
            </c:dLbl>
            <c:dLbl>
              <c:idx val="10"/>
              <c:layout>
                <c:manualLayout>
                  <c:x val="1.6397743670471018E-3"/>
                  <c:y val="-2.14408233276157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D2-4BB0-8A2F-7C8F4ABEB3F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(1)'!$B$22:$B$32</c:f>
              <c:numCache>
                <c:formatCode>General</c:formatCode>
                <c:ptCount val="11"/>
                <c:pt idx="0">
                  <c:v>1.599</c:v>
                </c:pt>
                <c:pt idx="1">
                  <c:v>1.331</c:v>
                </c:pt>
                <c:pt idx="2">
                  <c:v>0.74099999999999999</c:v>
                </c:pt>
                <c:pt idx="3">
                  <c:v>1.0089999999999999</c:v>
                </c:pt>
                <c:pt idx="4">
                  <c:v>0.74099999999999999</c:v>
                </c:pt>
                <c:pt idx="5">
                  <c:v>0.23200000000000001</c:v>
                </c:pt>
                <c:pt idx="6">
                  <c:v>0.86599999999999999</c:v>
                </c:pt>
                <c:pt idx="7">
                  <c:v>1.3660000000000001</c:v>
                </c:pt>
                <c:pt idx="8">
                  <c:v>0.86599999999999999</c:v>
                </c:pt>
                <c:pt idx="9">
                  <c:v>0.23200000000000001</c:v>
                </c:pt>
                <c:pt idx="10">
                  <c:v>0</c:v>
                </c:pt>
              </c:numCache>
            </c:numRef>
          </c:xVal>
          <c:yVal>
            <c:numRef>
              <c:f>'point positions (1)'!$C$22:$C$32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1.5</c:v>
                </c:pt>
                <c:pt idx="7">
                  <c:v>1.3660000000000001</c:v>
                </c:pt>
                <c:pt idx="8">
                  <c:v>1.5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ED2-4BB0-8A2F-7C8F4ABEB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33664"/>
        <c:axId val="110835200"/>
      </c:scatterChart>
      <c:valAx>
        <c:axId val="110833664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0835200"/>
        <c:crosses val="autoZero"/>
        <c:crossBetween val="midCat"/>
      </c:valAx>
      <c:valAx>
        <c:axId val="110835200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3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(1)'!$B$4:$B$7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(1)'!$C$4:$C$7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4-422A-B675-97349141E8B2}"/>
            </c:ext>
          </c:extLst>
        </c:ser>
        <c:ser>
          <c:idx val="1"/>
          <c:order val="1"/>
          <c:tx>
            <c:v>fully retracted</c:v>
          </c:tx>
          <c:dLbls>
            <c:dLbl>
              <c:idx val="0"/>
              <c:layout>
                <c:manualLayout>
                  <c:x val="-1.1480114801148012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94-422A-B675-97349141E8B2}"/>
                </c:ext>
              </c:extLst>
            </c:dLbl>
            <c:dLbl>
              <c:idx val="1"/>
              <c:layout>
                <c:manualLayout>
                  <c:x val="-2.6240262402624025E-2"/>
                  <c:y val="3.681334817220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94-422A-B675-97349141E8B2}"/>
                </c:ext>
              </c:extLst>
            </c:dLbl>
            <c:dLbl>
              <c:idx val="2"/>
              <c:layout>
                <c:manualLayout>
                  <c:x val="-1.6400164001640016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94-422A-B675-97349141E8B2}"/>
                </c:ext>
              </c:extLst>
            </c:dLbl>
            <c:dLbl>
              <c:idx val="3"/>
              <c:layout>
                <c:manualLayout>
                  <c:x val="-4.9201783356416237E-3"/>
                  <c:y val="2.761001112915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94-422A-B675-97349141E8B2}"/>
                </c:ext>
              </c:extLst>
            </c:dLbl>
            <c:dLbl>
              <c:idx val="5"/>
              <c:layout>
                <c:manualLayout>
                  <c:x val="-7.8720787207872081E-2"/>
                  <c:y val="-9.20333704305114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94-422A-B675-97349141E8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94-422A-B675-97349141E8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94-422A-B675-97349141E8B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(1)'!$B$34:$B$44</c:f>
              <c:numCache>
                <c:formatCode>General</c:formatCode>
                <c:ptCount val="11"/>
                <c:pt idx="0">
                  <c:v>1.599</c:v>
                </c:pt>
                <c:pt idx="1">
                  <c:v>1.867</c:v>
                </c:pt>
                <c:pt idx="2">
                  <c:v>1.2769999999999999</c:v>
                </c:pt>
                <c:pt idx="3">
                  <c:v>1.0089999999999999</c:v>
                </c:pt>
                <c:pt idx="4">
                  <c:v>1.2769999999999999</c:v>
                </c:pt>
                <c:pt idx="5">
                  <c:v>0.76800000000000002</c:v>
                </c:pt>
                <c:pt idx="6">
                  <c:v>1</c:v>
                </c:pt>
                <c:pt idx="7">
                  <c:v>1.3660000000000001</c:v>
                </c:pt>
                <c:pt idx="8">
                  <c:v>1</c:v>
                </c:pt>
                <c:pt idx="9">
                  <c:v>0.76800000000000002</c:v>
                </c:pt>
                <c:pt idx="10">
                  <c:v>1</c:v>
                </c:pt>
              </c:numCache>
            </c:numRef>
          </c:xVal>
          <c:yVal>
            <c:numRef>
              <c:f>'point positions (1)'!$C$34:$C$44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1.732</c:v>
                </c:pt>
                <c:pt idx="7">
                  <c:v>1.3660000000000001</c:v>
                </c:pt>
                <c:pt idx="8">
                  <c:v>1.732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94-422A-B675-97349141E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5504"/>
        <c:axId val="110887296"/>
      </c:scatterChart>
      <c:valAx>
        <c:axId val="11088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87296"/>
        <c:crosses val="autoZero"/>
        <c:crossBetween val="midCat"/>
      </c:valAx>
      <c:valAx>
        <c:axId val="110887296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8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(2)'!$B$4:$B$7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(2)'!$C$4:$C$7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C-4FD2-B448-8EFC992DFEF5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FC-4FD2-B448-8EFC992DFEF5}"/>
                </c:ext>
              </c:extLst>
            </c:dLbl>
            <c:dLbl>
              <c:idx val="1"/>
              <c:layout>
                <c:manualLayout>
                  <c:x val="-4.2634133543224449E-2"/>
                  <c:y val="-3.57347055460262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FC-4FD2-B448-8EFC992DFEF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FC-4FD2-B448-8EFC992DFEF5}"/>
                </c:ext>
              </c:extLst>
            </c:dLbl>
            <c:dLbl>
              <c:idx val="3"/>
              <c:layout>
                <c:manualLayout>
                  <c:x val="0"/>
                  <c:y val="2.62054507337527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FC-4FD2-B448-8EFC992DFEF5}"/>
                </c:ext>
              </c:extLst>
            </c:dLbl>
            <c:dLbl>
              <c:idx val="4"/>
              <c:layout>
                <c:manualLayout>
                  <c:x val="-2.7876164239800605E-2"/>
                  <c:y val="-4.76462740613683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2FC-4FD2-B448-8EFC992DFEF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FC-4FD2-B448-8EFC992DFEF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FC-4FD2-B448-8EFC992DFE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FC-4FD2-B448-8EFC992DFEF5}"/>
                </c:ext>
              </c:extLst>
            </c:dLbl>
            <c:dLbl>
              <c:idx val="8"/>
              <c:layout>
                <c:manualLayout>
                  <c:x val="-5.9031877213695398E-2"/>
                  <c:y val="-1.4293882218410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2FC-4FD2-B448-8EFC992DFEF5}"/>
                </c:ext>
              </c:extLst>
            </c:dLbl>
            <c:dLbl>
              <c:idx val="9"/>
              <c:layout>
                <c:manualLayout>
                  <c:x val="-6.723074904893088E-2"/>
                  <c:y val="-3.33523918429578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FC-4FD2-B448-8EFC992DFEF5}"/>
                </c:ext>
              </c:extLst>
            </c:dLbl>
            <c:dLbl>
              <c:idx val="10"/>
              <c:layout>
                <c:manualLayout>
                  <c:x val="1.6397743670471018E-3"/>
                  <c:y val="-2.14408233276157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2FC-4FD2-B448-8EFC992DFEF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(2)'!$B$22:$B$32</c:f>
              <c:numCache>
                <c:formatCode>General</c:formatCode>
                <c:ptCount val="11"/>
                <c:pt idx="0">
                  <c:v>1.599</c:v>
                </c:pt>
                <c:pt idx="1">
                  <c:v>1.331</c:v>
                </c:pt>
                <c:pt idx="2">
                  <c:v>0.74099999999999999</c:v>
                </c:pt>
                <c:pt idx="3">
                  <c:v>1.0089999999999999</c:v>
                </c:pt>
                <c:pt idx="4">
                  <c:v>0.74099999999999999</c:v>
                </c:pt>
                <c:pt idx="5">
                  <c:v>0.23200000000000001</c:v>
                </c:pt>
                <c:pt idx="6">
                  <c:v>0.86599999999999999</c:v>
                </c:pt>
                <c:pt idx="7">
                  <c:v>1.3660000000000001</c:v>
                </c:pt>
                <c:pt idx="8">
                  <c:v>0.86599999999999999</c:v>
                </c:pt>
                <c:pt idx="9">
                  <c:v>0.23200000000000001</c:v>
                </c:pt>
                <c:pt idx="10">
                  <c:v>0</c:v>
                </c:pt>
              </c:numCache>
            </c:numRef>
          </c:xVal>
          <c:yVal>
            <c:numRef>
              <c:f>'point positions (2)'!$C$22:$C$32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1.5</c:v>
                </c:pt>
                <c:pt idx="7">
                  <c:v>1.3660000000000001</c:v>
                </c:pt>
                <c:pt idx="8">
                  <c:v>1.5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FC-4FD2-B448-8EFC992D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45792"/>
        <c:axId val="110947328"/>
      </c:scatterChart>
      <c:valAx>
        <c:axId val="110945792"/>
        <c:scaling>
          <c:orientation val="minMax"/>
          <c:max val="2"/>
        </c:scaling>
        <c:delete val="0"/>
        <c:axPos val="b"/>
        <c:numFmt formatCode="General" sourceLinked="1"/>
        <c:majorTickMark val="out"/>
        <c:minorTickMark val="none"/>
        <c:tickLblPos val="nextTo"/>
        <c:crossAx val="110947328"/>
        <c:crosses val="autoZero"/>
        <c:crossBetween val="midCat"/>
      </c:valAx>
      <c:valAx>
        <c:axId val="11094732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4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/>
          </c:spPr>
          <c:xVal>
            <c:numRef>
              <c:f>'point positions (2)'!$B$4:$B$7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1.0089999999999999</c:v>
                </c:pt>
                <c:pt idx="2">
                  <c:v>1.599</c:v>
                </c:pt>
                <c:pt idx="3">
                  <c:v>1.3660000000000001</c:v>
                </c:pt>
              </c:numCache>
            </c:numRef>
          </c:xVal>
          <c:yVal>
            <c:numRef>
              <c:f>'point positions (2)'!$C$4:$C$7</c:f>
              <c:numCache>
                <c:formatCode>General</c:formatCode>
                <c:ptCount val="4"/>
                <c:pt idx="0">
                  <c:v>1.3660000000000001</c:v>
                </c:pt>
                <c:pt idx="1">
                  <c:v>0.57399999999999995</c:v>
                </c:pt>
                <c:pt idx="2">
                  <c:v>0.75</c:v>
                </c:pt>
                <c:pt idx="3">
                  <c:v>1.3660000000000001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0-47C7-B57F-60B777E3AD29}"/>
            </c:ext>
          </c:extLst>
        </c:ser>
        <c:ser>
          <c:idx val="1"/>
          <c:order val="1"/>
          <c:tx>
            <c:v>fully retracted</c:v>
          </c:tx>
          <c:dLbls>
            <c:dLbl>
              <c:idx val="0"/>
              <c:layout>
                <c:manualLayout>
                  <c:x val="-1.1480114801148012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F0-47C7-B57F-60B777E3AD29}"/>
                </c:ext>
              </c:extLst>
            </c:dLbl>
            <c:dLbl>
              <c:idx val="1"/>
              <c:layout>
                <c:manualLayout>
                  <c:x val="-2.6240262402624025E-2"/>
                  <c:y val="3.6813348172204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 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F0-47C7-B57F-60B777E3AD29}"/>
                </c:ext>
              </c:extLst>
            </c:dLbl>
            <c:dLbl>
              <c:idx val="2"/>
              <c:layout>
                <c:manualLayout>
                  <c:x val="-1.6400164001640016E-2"/>
                  <c:y val="-3.451251391144179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F0-47C7-B57F-60B777E3AD29}"/>
                </c:ext>
              </c:extLst>
            </c:dLbl>
            <c:dLbl>
              <c:idx val="3"/>
              <c:layout>
                <c:manualLayout>
                  <c:x val="-4.9201783356416237E-3"/>
                  <c:y val="2.76100111291534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F0-47C7-B57F-60B777E3AD29}"/>
                </c:ext>
              </c:extLst>
            </c:dLbl>
            <c:dLbl>
              <c:idx val="5"/>
              <c:layout>
                <c:manualLayout>
                  <c:x val="-7.8720787207872081E-2"/>
                  <c:y val="-9.203337043051144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F0-47C7-B57F-60B777E3AD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F0-47C7-B57F-60B777E3AD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top axle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F0-47C7-B57F-60B777E3AD2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(2)'!$B$34:$B$44</c:f>
              <c:numCache>
                <c:formatCode>General</c:formatCode>
                <c:ptCount val="11"/>
                <c:pt idx="0">
                  <c:v>1.599</c:v>
                </c:pt>
                <c:pt idx="1">
                  <c:v>1.867</c:v>
                </c:pt>
                <c:pt idx="2">
                  <c:v>1.2769999999999999</c:v>
                </c:pt>
                <c:pt idx="3">
                  <c:v>1.0089999999999999</c:v>
                </c:pt>
                <c:pt idx="4">
                  <c:v>1.2769999999999999</c:v>
                </c:pt>
                <c:pt idx="5">
                  <c:v>0.76800000000000002</c:v>
                </c:pt>
                <c:pt idx="6">
                  <c:v>1</c:v>
                </c:pt>
                <c:pt idx="7">
                  <c:v>1.3660000000000001</c:v>
                </c:pt>
                <c:pt idx="8">
                  <c:v>1</c:v>
                </c:pt>
                <c:pt idx="9">
                  <c:v>0.76800000000000002</c:v>
                </c:pt>
                <c:pt idx="10">
                  <c:v>1</c:v>
                </c:pt>
              </c:numCache>
            </c:numRef>
          </c:xVal>
          <c:yVal>
            <c:numRef>
              <c:f>'point positions (2)'!$C$34:$C$44</c:f>
              <c:numCache>
                <c:formatCode>General</c:formatCode>
                <c:ptCount val="11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0.57399999999999995</c:v>
                </c:pt>
                <c:pt idx="4">
                  <c:v>0.75</c:v>
                </c:pt>
                <c:pt idx="5">
                  <c:v>0.86599999999999999</c:v>
                </c:pt>
                <c:pt idx="6">
                  <c:v>1.732</c:v>
                </c:pt>
                <c:pt idx="7">
                  <c:v>1.3660000000000001</c:v>
                </c:pt>
                <c:pt idx="8">
                  <c:v>1.732</c:v>
                </c:pt>
                <c:pt idx="9">
                  <c:v>0.86599999999999999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F0-47C7-B57F-60B777E3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3792"/>
        <c:axId val="110995328"/>
      </c:scatterChart>
      <c:valAx>
        <c:axId val="11099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95328"/>
        <c:crosses val="autoZero"/>
        <c:crossBetween val="midCat"/>
      </c:valAx>
      <c:valAx>
        <c:axId val="110995328"/>
        <c:scaling>
          <c:orientation val="minMax"/>
          <c:max val="1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fixpoints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(3)'!$K$4:$K$7</c:f>
              <c:numCache>
                <c:formatCode>0.00</c:formatCode>
                <c:ptCount val="4"/>
                <c:pt idx="0">
                  <c:v>35.546145191277638</c:v>
                </c:pt>
                <c:pt idx="1">
                  <c:v>28.693292725214199</c:v>
                </c:pt>
                <c:pt idx="2">
                  <c:v>35.546145191277638</c:v>
                </c:pt>
                <c:pt idx="3">
                  <c:v>35.546145191277638</c:v>
                </c:pt>
              </c:numCache>
            </c:numRef>
          </c:xVal>
          <c:yVal>
            <c:numRef>
              <c:f>'point positions (3)'!$L$4:$L$7</c:f>
              <c:numCache>
                <c:formatCode>0.00</c:formatCode>
                <c:ptCount val="4"/>
                <c:pt idx="0">
                  <c:v>22.216340744548525</c:v>
                </c:pt>
                <c:pt idx="1">
                  <c:v>11.201034676586463</c:v>
                </c:pt>
                <c:pt idx="2">
                  <c:v>13.329804446729113</c:v>
                </c:pt>
                <c:pt idx="3">
                  <c:v>22.216340744548525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8BB-AB46-D1D7668C38CB}"/>
            </c:ext>
          </c:extLst>
        </c:ser>
        <c:ser>
          <c:idx val="1"/>
          <c:order val="1"/>
          <c:tx>
            <c:v>fully extended</c:v>
          </c:tx>
          <c:dLbls>
            <c:dLbl>
              <c:idx val="0"/>
              <c:layout>
                <c:manualLayout>
                  <c:x val="-1.2661725436400185E-2"/>
                  <c:y val="1.9852873791412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B4-48BB-AB46-D1D7668C38CB}"/>
                </c:ext>
              </c:extLst>
            </c:dLbl>
            <c:dLbl>
              <c:idx val="1"/>
              <c:layout>
                <c:manualLayout>
                  <c:x val="-9.544642875036825E-3"/>
                  <c:y val="-3.47502225147825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  <a:p>
                    <a:r>
                      <a:rPr lang="en-US"/>
                      <a:t>joint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B4-48BB-AB46-D1D7668C38CB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B4-48BB-AB46-D1D7668C38CB}"/>
                </c:ext>
              </c:extLst>
            </c:dLbl>
            <c:dLbl>
              <c:idx val="3"/>
              <c:layout>
                <c:manualLayout>
                  <c:x val="-1.5907738125061376E-3"/>
                  <c:y val="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B4-48BB-AB46-D1D7668C38C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B4-48BB-AB46-D1D7668C38C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B4-48BB-AB46-D1D7668C38CB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B4-48BB-AB46-D1D7668C38CB}"/>
                </c:ext>
              </c:extLst>
            </c:dLbl>
            <c:dLbl>
              <c:idx val="7"/>
              <c:layout>
                <c:manualLayout>
                  <c:x val="-3.1815476250122753E-3"/>
                  <c:y val="-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B4-48BB-AB46-D1D7668C38C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B4-48BB-AB46-D1D7668C38CB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B4-48BB-AB46-D1D7668C38C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B4-48BB-AB46-D1D7668C38C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(3)'!$K$9:$K$19</c:f>
              <c:numCache>
                <c:formatCode>0.00</c:formatCode>
                <c:ptCount val="11"/>
                <c:pt idx="0">
                  <c:v>35.546145191277638</c:v>
                </c:pt>
                <c:pt idx="1">
                  <c:v>31.546315203629124</c:v>
                </c:pt>
                <c:pt idx="2">
                  <c:v>22.74064638611987</c:v>
                </c:pt>
                <c:pt idx="3">
                  <c:v>28.693292725214199</c:v>
                </c:pt>
                <c:pt idx="4">
                  <c:v>22.74064638611987</c:v>
                </c:pt>
                <c:pt idx="5">
                  <c:v>16.410322254368211</c:v>
                </c:pt>
                <c:pt idx="6">
                  <c:v>23.247178955095578</c:v>
                </c:pt>
                <c:pt idx="7">
                  <c:v>35.546145191277638</c:v>
                </c:pt>
                <c:pt idx="8">
                  <c:v>23.247178955095578</c:v>
                </c:pt>
                <c:pt idx="9">
                  <c:v>16.410322254368211</c:v>
                </c:pt>
                <c:pt idx="10">
                  <c:v>2.7370531797283766</c:v>
                </c:pt>
              </c:numCache>
            </c:numRef>
          </c:xVal>
          <c:yVal>
            <c:numRef>
              <c:f>'point positions (3)'!$L$9:$L$19</c:f>
              <c:numCache>
                <c:formatCode>0.00</c:formatCode>
                <c:ptCount val="11"/>
                <c:pt idx="0">
                  <c:v>13.329804446729113</c:v>
                </c:pt>
                <c:pt idx="1">
                  <c:v>13.29292532109317</c:v>
                </c:pt>
                <c:pt idx="2">
                  <c:v>16.372998801917365</c:v>
                </c:pt>
                <c:pt idx="3">
                  <c:v>11.201034676586463</c:v>
                </c:pt>
                <c:pt idx="4">
                  <c:v>16.372998801917365</c:v>
                </c:pt>
                <c:pt idx="5">
                  <c:v>18.60351941267005</c:v>
                </c:pt>
                <c:pt idx="6">
                  <c:v>26.603623714781971</c:v>
                </c:pt>
                <c:pt idx="7">
                  <c:v>22.216340744548525</c:v>
                </c:pt>
                <c:pt idx="8">
                  <c:v>26.603623714781971</c:v>
                </c:pt>
                <c:pt idx="9">
                  <c:v>18.60351941267005</c:v>
                </c:pt>
                <c:pt idx="10">
                  <c:v>2.5966459062228413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B4-48BB-AB46-D1D7668C3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08576"/>
        <c:axId val="111610112"/>
      </c:scatterChart>
      <c:valAx>
        <c:axId val="111608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610112"/>
        <c:crosses val="autoZero"/>
        <c:crossBetween val="midCat"/>
      </c:valAx>
      <c:valAx>
        <c:axId val="111610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08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(4)'!$K$4:$K$9</c:f>
              <c:numCache>
                <c:formatCode>0.00</c:formatCode>
                <c:ptCount val="6"/>
                <c:pt idx="0">
                  <c:v>30.634573304157499</c:v>
                </c:pt>
                <c:pt idx="1">
                  <c:v>23.884901531728623</c:v>
                </c:pt>
                <c:pt idx="2">
                  <c:v>30.634573304157499</c:v>
                </c:pt>
                <c:pt idx="3">
                  <c:v>37.384245076586375</c:v>
                </c:pt>
                <c:pt idx="4">
                  <c:v>30.634573304157499</c:v>
                </c:pt>
                <c:pt idx="5">
                  <c:v>30.634573304157499</c:v>
                </c:pt>
              </c:numCache>
            </c:numRef>
          </c:xVal>
          <c:yVal>
            <c:numRef>
              <c:f>'point positions (4)'!$L$4:$L$9</c:f>
              <c:numCache>
                <c:formatCode>0.00</c:formatCode>
                <c:ptCount val="6"/>
                <c:pt idx="0">
                  <c:v>21.88183807439821</c:v>
                </c:pt>
                <c:pt idx="1">
                  <c:v>10.940919037199105</c:v>
                </c:pt>
                <c:pt idx="2">
                  <c:v>13.129102844638927</c:v>
                </c:pt>
                <c:pt idx="3">
                  <c:v>10.940919037199105</c:v>
                </c:pt>
                <c:pt idx="4">
                  <c:v>21.88183807439821</c:v>
                </c:pt>
                <c:pt idx="5">
                  <c:v>13.129102844638927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55F-BF2E-BFBDBCBDA188}"/>
            </c:ext>
          </c:extLst>
        </c:ser>
        <c:ser>
          <c:idx val="1"/>
          <c:order val="1"/>
          <c:tx>
            <c:v>left</c:v>
          </c:tx>
          <c:dLbls>
            <c:dLbl>
              <c:idx val="0"/>
              <c:layout>
                <c:manualLayout>
                  <c:x val="-1.2661725436400185E-2"/>
                  <c:y val="1.985287379141234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8E-455F-BF2E-BFBDBCBDA188}"/>
                </c:ext>
              </c:extLst>
            </c:dLbl>
            <c:dLbl>
              <c:idx val="1"/>
              <c:layout>
                <c:manualLayout>
                  <c:x val="-9.544642875036825E-3"/>
                  <c:y val="-3.475022251478252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8E-455F-BF2E-BFBDBCBDA188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8E-455F-BF2E-BFBDBCBDA188}"/>
                </c:ext>
              </c:extLst>
            </c:dLbl>
            <c:dLbl>
              <c:idx val="3"/>
              <c:layout>
                <c:manualLayout>
                  <c:x val="-1.5907738125061376E-3"/>
                  <c:y val="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8E-455F-BF2E-BFBDBCBDA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8E-455F-BF2E-BFBDBCBDA1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8E-455F-BF2E-BFBDBCBDA188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8E-455F-BF2E-BFBDBCBDA188}"/>
                </c:ext>
              </c:extLst>
            </c:dLbl>
            <c:dLbl>
              <c:idx val="7"/>
              <c:layout>
                <c:manualLayout>
                  <c:x val="-3.1815476250122753E-3"/>
                  <c:y val="-1.985727000844715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8E-455F-BF2E-BFBDBCBDA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8E-455F-BF2E-BFBDBCBDA188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8E-455F-BF2E-BFBDBCBDA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D8E-455F-BF2E-BFBDBCBDA18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(4)'!$K$11:$K$21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21.606564551422284</c:v>
                </c:pt>
                <c:pt idx="3">
                  <c:v>23.884901531728623</c:v>
                </c:pt>
                <c:pt idx="4">
                  <c:v>21.606564551422284</c:v>
                </c:pt>
                <c:pt idx="5">
                  <c:v>14.37111597374177</c:v>
                </c:pt>
                <c:pt idx="6">
                  <c:v>19.17374179431069</c:v>
                </c:pt>
                <c:pt idx="7">
                  <c:v>30.634573304157499</c:v>
                </c:pt>
                <c:pt idx="8">
                  <c:v>19.17374179431069</c:v>
                </c:pt>
                <c:pt idx="9">
                  <c:v>14.37111597374177</c:v>
                </c:pt>
                <c:pt idx="10">
                  <c:v>4.3698030634573231</c:v>
                </c:pt>
              </c:numCache>
            </c:numRef>
          </c:xVal>
          <c:yVal>
            <c:numRef>
              <c:f>'point positions (4)'!$L$11:$L$21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18.480962800875254</c:v>
                </c:pt>
                <c:pt idx="3">
                  <c:v>10.940919037199105</c:v>
                </c:pt>
                <c:pt idx="4">
                  <c:v>18.480962800875254</c:v>
                </c:pt>
                <c:pt idx="5">
                  <c:v>19.548358862144383</c:v>
                </c:pt>
                <c:pt idx="6">
                  <c:v>28.701969365426642</c:v>
                </c:pt>
                <c:pt idx="7">
                  <c:v>21.88183807439821</c:v>
                </c:pt>
                <c:pt idx="8">
                  <c:v>28.701969365426642</c:v>
                </c:pt>
                <c:pt idx="9">
                  <c:v>19.548358862144383</c:v>
                </c:pt>
                <c:pt idx="10">
                  <c:v>0.52691466083149363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D8E-455F-BF2E-BFBDBCBDA188}"/>
            </c:ext>
          </c:extLst>
        </c:ser>
        <c:ser>
          <c:idx val="2"/>
          <c:order val="2"/>
          <c:tx>
            <c:v>right</c:v>
          </c:tx>
          <c:xVal>
            <c:numRef>
              <c:f>'point positions (4)'!$K$27:$K$37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39.66258205689271</c:v>
                </c:pt>
                <c:pt idx="3">
                  <c:v>37.384245076586375</c:v>
                </c:pt>
                <c:pt idx="4">
                  <c:v>39.66258205689271</c:v>
                </c:pt>
                <c:pt idx="5">
                  <c:v>46.898030634573225</c:v>
                </c:pt>
                <c:pt idx="6">
                  <c:v>42.095404814004304</c:v>
                </c:pt>
                <c:pt idx="7">
                  <c:v>30.634573304157499</c:v>
                </c:pt>
                <c:pt idx="8">
                  <c:v>42.095404814004304</c:v>
                </c:pt>
                <c:pt idx="9">
                  <c:v>46.898030634573225</c:v>
                </c:pt>
                <c:pt idx="10">
                  <c:v>56.899343544857672</c:v>
                </c:pt>
              </c:numCache>
            </c:numRef>
          </c:xVal>
          <c:yVal>
            <c:numRef>
              <c:f>'point positions (4)'!$L$27:$L$37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18.480962800875254</c:v>
                </c:pt>
                <c:pt idx="3">
                  <c:v>10.940919037199105</c:v>
                </c:pt>
                <c:pt idx="4">
                  <c:v>18.480962800875254</c:v>
                </c:pt>
                <c:pt idx="5">
                  <c:v>19.548358862144383</c:v>
                </c:pt>
                <c:pt idx="6">
                  <c:v>28.701969365426642</c:v>
                </c:pt>
                <c:pt idx="7">
                  <c:v>21.88183807439821</c:v>
                </c:pt>
                <c:pt idx="8">
                  <c:v>28.701969365426642</c:v>
                </c:pt>
                <c:pt idx="9">
                  <c:v>19.548358862144383</c:v>
                </c:pt>
                <c:pt idx="10">
                  <c:v>0.52691466083149363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D8E-455F-BF2E-BFBDBCBD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5776"/>
        <c:axId val="111437312"/>
      </c:scatterChart>
      <c:valAx>
        <c:axId val="1114357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437312"/>
        <c:crosses val="autoZero"/>
        <c:crossBetween val="midCat"/>
      </c:valAx>
      <c:valAx>
        <c:axId val="111437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43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frame</c:v>
          </c:tx>
          <c:spPr>
            <a:ln w="44450">
              <a:solidFill>
                <a:schemeClr val="bg1">
                  <a:lumMod val="75000"/>
                </a:schemeClr>
              </a:solidFill>
              <a:prstDash val="sysDot"/>
            </a:ln>
          </c:spPr>
          <c:xVal>
            <c:numRef>
              <c:f>'point positions (5), final'!$K$4:$K$9</c:f>
              <c:numCache>
                <c:formatCode>0.00</c:formatCode>
                <c:ptCount val="6"/>
                <c:pt idx="0">
                  <c:v>30.634573304157499</c:v>
                </c:pt>
                <c:pt idx="1">
                  <c:v>22.664332603938693</c:v>
                </c:pt>
                <c:pt idx="2">
                  <c:v>30.634573304157499</c:v>
                </c:pt>
                <c:pt idx="3">
                  <c:v>38.604814004376308</c:v>
                </c:pt>
                <c:pt idx="4">
                  <c:v>30.634573304157499</c:v>
                </c:pt>
                <c:pt idx="5">
                  <c:v>30.634573304157499</c:v>
                </c:pt>
              </c:numCache>
            </c:numRef>
          </c:xVal>
          <c:yVal>
            <c:numRef>
              <c:f>'point positions (5), final'!$L$4:$L$9</c:f>
              <c:numCache>
                <c:formatCode>0.00</c:formatCode>
                <c:ptCount val="6"/>
                <c:pt idx="0">
                  <c:v>21.88183807439821</c:v>
                </c:pt>
                <c:pt idx="1">
                  <c:v>10.940919037199105</c:v>
                </c:pt>
                <c:pt idx="2">
                  <c:v>13.129102844638927</c:v>
                </c:pt>
                <c:pt idx="3">
                  <c:v>10.940919037199105</c:v>
                </c:pt>
                <c:pt idx="4">
                  <c:v>21.88183807439821</c:v>
                </c:pt>
                <c:pt idx="5">
                  <c:v>13.129102844638927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1-4B5B-A768-33625CFB6B59}"/>
            </c:ext>
          </c:extLst>
        </c:ser>
        <c:ser>
          <c:idx val="1"/>
          <c:order val="1"/>
          <c:tx>
            <c:v>left</c:v>
          </c:tx>
          <c:dLbls>
            <c:dLbl>
              <c:idx val="0"/>
              <c:layout>
                <c:manualLayout>
                  <c:x val="-3.5437110521239303E-2"/>
                  <c:y val="3.33147833934882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crankshaft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61-4B5B-A768-33625CFB6B59}"/>
                </c:ext>
              </c:extLst>
            </c:dLbl>
            <c:dLbl>
              <c:idx val="1"/>
              <c:layout>
                <c:manualLayout>
                  <c:x val="-2.2730368165648537E-2"/>
                  <c:y val="-2.3211350443192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crank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61-4B5B-A768-33625CFB6B59}"/>
                </c:ext>
              </c:extLst>
            </c:dLbl>
            <c:dLbl>
              <c:idx val="2"/>
              <c:layout>
                <c:manualLayout>
                  <c:x val="3.1756835658875572E-3"/>
                  <c:y val="-2.481609223926542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elbow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61-4B5B-A768-33625CFB6B59}"/>
                </c:ext>
              </c:extLst>
            </c:dLbl>
            <c:dLbl>
              <c:idx val="3"/>
              <c:layout>
                <c:manualLayout>
                  <c:x val="-4.8340364948022935E-2"/>
                  <c:y val="3.1396038187133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bottom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61-4B5B-A768-33625CFB6B5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61-4B5B-A768-33625CFB6B5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61-4B5B-A768-33625CFB6B59}"/>
                </c:ext>
              </c:extLst>
            </c:dLbl>
            <c:dLbl>
              <c:idx val="6"/>
              <c:layout>
                <c:manualLayout>
                  <c:x val="-6.3513671317751144E-3"/>
                  <c:y val="-2.23344830153388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hip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61-4B5B-A768-33625CFB6B59}"/>
                </c:ext>
              </c:extLst>
            </c:dLbl>
            <c:dLbl>
              <c:idx val="7"/>
              <c:layout>
                <c:manualLayout>
                  <c:x val="4.1454419629158502E-4"/>
                  <c:y val="-6.2585225616482642E-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top</a:t>
                    </a:r>
                    <a:r>
                      <a:rPr lang="en-US" baseline="0"/>
                      <a:t> axle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61-4B5B-A768-33625CFB6B5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61-4B5B-A768-33625CFB6B59}"/>
                </c:ext>
              </c:extLst>
            </c:dLbl>
            <c:dLbl>
              <c:idx val="9"/>
              <c:layout>
                <c:manualLayout>
                  <c:x val="9.526925670750629E-3"/>
                  <c:y val="-9.92643689570617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knee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61-4B5B-A768-33625CFB6B5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foot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61-4B5B-A768-33625CFB6B5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'point positions (5), final'!$K$11:$K$21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20.424945295404779</c:v>
                </c:pt>
                <c:pt idx="3">
                  <c:v>22.664332603938693</c:v>
                </c:pt>
                <c:pt idx="4">
                  <c:v>20.424945295404779</c:v>
                </c:pt>
                <c:pt idx="5">
                  <c:v>13.602188183807415</c:v>
                </c:pt>
                <c:pt idx="6">
                  <c:v>19.110722100656421</c:v>
                </c:pt>
                <c:pt idx="7">
                  <c:v>30.634573304157499</c:v>
                </c:pt>
                <c:pt idx="8">
                  <c:v>19.110722100656421</c:v>
                </c:pt>
                <c:pt idx="9">
                  <c:v>13.602188183807415</c:v>
                </c:pt>
                <c:pt idx="10">
                  <c:v>3.5072210065645457</c:v>
                </c:pt>
              </c:numCache>
            </c:numRef>
          </c:xVal>
          <c:yVal>
            <c:numRef>
              <c:f>'point positions (5), final'!$L$11:$L$21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18.569365426695803</c:v>
                </c:pt>
                <c:pt idx="3">
                  <c:v>10.940919037199105</c:v>
                </c:pt>
                <c:pt idx="4">
                  <c:v>18.569365426695803</c:v>
                </c:pt>
                <c:pt idx="5">
                  <c:v>19.548358862144383</c:v>
                </c:pt>
                <c:pt idx="6">
                  <c:v>29.85251641137851</c:v>
                </c:pt>
                <c:pt idx="7">
                  <c:v>21.88183807439821</c:v>
                </c:pt>
                <c:pt idx="8">
                  <c:v>29.85251641137851</c:v>
                </c:pt>
                <c:pt idx="9">
                  <c:v>19.548358862144383</c:v>
                </c:pt>
                <c:pt idx="10">
                  <c:v>0.74835886214441616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C61-4B5B-A768-33625CFB6B59}"/>
            </c:ext>
          </c:extLst>
        </c:ser>
        <c:ser>
          <c:idx val="2"/>
          <c:order val="2"/>
          <c:tx>
            <c:v>right</c:v>
          </c:tx>
          <c:xVal>
            <c:numRef>
              <c:f>'point positions (5), final'!$K$27:$K$37</c:f>
              <c:numCache>
                <c:formatCode>0.00</c:formatCode>
                <c:ptCount val="11"/>
                <c:pt idx="0">
                  <c:v>30.634573304157499</c:v>
                </c:pt>
                <c:pt idx="1">
                  <c:v>30.634573304157499</c:v>
                </c:pt>
                <c:pt idx="2">
                  <c:v>40.844201312910215</c:v>
                </c:pt>
                <c:pt idx="3">
                  <c:v>38.604814004376308</c:v>
                </c:pt>
                <c:pt idx="4">
                  <c:v>40.844201312910215</c:v>
                </c:pt>
                <c:pt idx="5">
                  <c:v>47.666958424507577</c:v>
                </c:pt>
                <c:pt idx="6">
                  <c:v>42.158424507658573</c:v>
                </c:pt>
                <c:pt idx="7">
                  <c:v>30.634573304157499</c:v>
                </c:pt>
                <c:pt idx="8">
                  <c:v>42.158424507658573</c:v>
                </c:pt>
                <c:pt idx="9">
                  <c:v>47.666958424507577</c:v>
                </c:pt>
                <c:pt idx="10">
                  <c:v>57.761925601750441</c:v>
                </c:pt>
              </c:numCache>
            </c:numRef>
          </c:xVal>
          <c:yVal>
            <c:numRef>
              <c:f>'point positions (5), final'!$L$27:$L$37</c:f>
              <c:numCache>
                <c:formatCode>0.00</c:formatCode>
                <c:ptCount val="11"/>
                <c:pt idx="0">
                  <c:v>13.129102844638927</c:v>
                </c:pt>
                <c:pt idx="1">
                  <c:v>17.129102844638926</c:v>
                </c:pt>
                <c:pt idx="2">
                  <c:v>18.569365426695803</c:v>
                </c:pt>
                <c:pt idx="3">
                  <c:v>10.940919037199105</c:v>
                </c:pt>
                <c:pt idx="4">
                  <c:v>18.569365426695803</c:v>
                </c:pt>
                <c:pt idx="5">
                  <c:v>19.548358862144383</c:v>
                </c:pt>
                <c:pt idx="6">
                  <c:v>29.85251641137851</c:v>
                </c:pt>
                <c:pt idx="7">
                  <c:v>21.88183807439821</c:v>
                </c:pt>
                <c:pt idx="8">
                  <c:v>29.85251641137851</c:v>
                </c:pt>
                <c:pt idx="9">
                  <c:v>19.548358862144383</c:v>
                </c:pt>
                <c:pt idx="10">
                  <c:v>0.74835886214441616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C61-4B5B-A768-33625CFB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9088"/>
        <c:axId val="111731840"/>
      </c:scatterChart>
      <c:valAx>
        <c:axId val="1116890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1731840"/>
        <c:crosses val="autoZero"/>
        <c:crossBetween val="midCat"/>
      </c:valAx>
      <c:valAx>
        <c:axId val="111731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168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x"/>
            <c:size val="14"/>
            <c:spPr>
              <a:ln w="22225">
                <a:solidFill>
                  <a:schemeClr val="tx1"/>
                </a:solidFill>
              </a:ln>
            </c:spPr>
          </c:marker>
          <c:xVal>
            <c:numRef>
              <c:f>'point positions (5), final'!$N$29:$N$34</c:f>
              <c:numCache>
                <c:formatCode>0.00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2.029759299781194</c:v>
                </c:pt>
                <c:pt idx="3">
                  <c:v>17.97024070021881</c:v>
                </c:pt>
                <c:pt idx="4">
                  <c:v>0</c:v>
                </c:pt>
                <c:pt idx="5">
                  <c:v>20</c:v>
                </c:pt>
              </c:numCache>
            </c:numRef>
          </c:xVal>
          <c:yVal>
            <c:numRef>
              <c:f>'point positions (5), final'!$O$29:$O$34</c:f>
              <c:numCache>
                <c:formatCode>0.00</c:formatCode>
                <c:ptCount val="6"/>
                <c:pt idx="0">
                  <c:v>14</c:v>
                </c:pt>
                <c:pt idx="1">
                  <c:v>5.2472647702407169</c:v>
                </c:pt>
                <c:pt idx="2">
                  <c:v>3.0590809628008948</c:v>
                </c:pt>
                <c:pt idx="3">
                  <c:v>3.0590809628008948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F-49C8-9984-C133B866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2448"/>
        <c:axId val="111366912"/>
      </c:scatterChart>
      <c:valAx>
        <c:axId val="111352448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crossAx val="111366912"/>
        <c:crosses val="autoZero"/>
        <c:crossBetween val="midCat"/>
      </c:valAx>
      <c:valAx>
        <c:axId val="111366912"/>
        <c:scaling>
          <c:orientation val="minMax"/>
        </c:scaling>
        <c:delete val="0"/>
        <c:axPos val="l"/>
        <c:numFmt formatCode="0.00" sourceLinked="1"/>
        <c:majorTickMark val="out"/>
        <c:minorTickMark val="in"/>
        <c:tickLblPos val="nextTo"/>
        <c:crossAx val="11135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38100</xdr:rowOff>
    </xdr:from>
    <xdr:to>
      <xdr:col>21</xdr:col>
      <xdr:colOff>525019</xdr:colOff>
      <xdr:row>26</xdr:row>
      <xdr:rowOff>139827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38100</xdr:rowOff>
    </xdr:from>
    <xdr:to>
      <xdr:col>21</xdr:col>
      <xdr:colOff>523875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95251</xdr:colOff>
      <xdr:row>0</xdr:row>
      <xdr:rowOff>38100</xdr:rowOff>
    </xdr:from>
    <xdr:to>
      <xdr:col>21</xdr:col>
      <xdr:colOff>525019</xdr:colOff>
      <xdr:row>26</xdr:row>
      <xdr:rowOff>139827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27</xdr:row>
      <xdr:rowOff>38100</xdr:rowOff>
    </xdr:from>
    <xdr:to>
      <xdr:col>21</xdr:col>
      <xdr:colOff>523875</xdr:colOff>
      <xdr:row>56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171450</xdr:rowOff>
    </xdr:from>
    <xdr:to>
      <xdr:col>17</xdr:col>
      <xdr:colOff>352425</xdr:colOff>
      <xdr:row>51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92281</xdr:colOff>
      <xdr:row>39</xdr:row>
      <xdr:rowOff>44654</xdr:rowOff>
    </xdr:from>
    <xdr:to>
      <xdr:col>18</xdr:col>
      <xdr:colOff>66675</xdr:colOff>
      <xdr:row>73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92281</xdr:colOff>
      <xdr:row>39</xdr:row>
      <xdr:rowOff>44654</xdr:rowOff>
    </xdr:from>
    <xdr:to>
      <xdr:col>18</xdr:col>
      <xdr:colOff>66675</xdr:colOff>
      <xdr:row>73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133348</xdr:colOff>
      <xdr:row>75</xdr:row>
      <xdr:rowOff>128587</xdr:rowOff>
    </xdr:from>
    <xdr:to>
      <xdr:col>20</xdr:col>
      <xdr:colOff>609598</xdr:colOff>
      <xdr:row>115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rectorsquid.com/linkage-mechanism-designer-and-simulato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amazon.com/dp/B00QLF4YSM" TargetMode="External"/><Relationship Id="rId1" Type="http://schemas.openxmlformats.org/officeDocument/2006/relationships/hyperlink" Target="http://www.ebay.com/itm/12v-dc-10rpm-High-torque-DC-Worm-Gearmotor-with-Double-Shaft-Gearbox-Tsiny-Motor-/221515025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23" sqref="B23"/>
    </sheetView>
  </sheetViews>
  <sheetFormatPr defaultRowHeight="15" x14ac:dyDescent="0.25"/>
  <cols>
    <col min="1" max="1" width="21.28515625" style="2" customWidth="1"/>
    <col min="2" max="2" width="15.7109375" style="2" customWidth="1"/>
    <col min="3" max="3" width="16.140625" style="8" customWidth="1"/>
    <col min="4" max="4" width="15.5703125" style="4" customWidth="1"/>
    <col min="5" max="5" width="9.140625" style="6"/>
    <col min="6" max="16384" width="9.140625" style="2"/>
  </cols>
  <sheetData>
    <row r="1" spans="1:5" s="1" customFormat="1" ht="38.25" customHeight="1" x14ac:dyDescent="0.25">
      <c r="A1" s="1" t="s">
        <v>0</v>
      </c>
      <c r="C1" s="7"/>
      <c r="D1" s="3"/>
      <c r="E1" s="5"/>
    </row>
    <row r="2" spans="1:5" x14ac:dyDescent="0.25">
      <c r="C2" s="8" t="s">
        <v>18</v>
      </c>
      <c r="D2" s="4" t="s">
        <v>19</v>
      </c>
      <c r="E2" s="6" t="s">
        <v>21</v>
      </c>
    </row>
    <row r="3" spans="1:5" x14ac:dyDescent="0.25">
      <c r="A3" s="2" t="s">
        <v>1</v>
      </c>
      <c r="B3" s="2" t="s">
        <v>6</v>
      </c>
      <c r="C3" s="8">
        <v>288</v>
      </c>
      <c r="D3" s="4">
        <v>60</v>
      </c>
      <c r="E3" s="6">
        <f>C3/D3</f>
        <v>4.8</v>
      </c>
    </row>
    <row r="4" spans="1:5" x14ac:dyDescent="0.25">
      <c r="A4" s="2" t="s">
        <v>3</v>
      </c>
      <c r="B4" s="2" t="s">
        <v>4</v>
      </c>
      <c r="C4" s="8">
        <v>130</v>
      </c>
      <c r="D4" s="4">
        <v>27.5</v>
      </c>
      <c r="E4" s="6">
        <f t="shared" ref="E4:E7" si="0">C4/D4</f>
        <v>4.7272727272727275</v>
      </c>
    </row>
    <row r="5" spans="1:5" x14ac:dyDescent="0.25">
      <c r="A5" s="2" t="s">
        <v>5</v>
      </c>
      <c r="B5" s="2" t="s">
        <v>2</v>
      </c>
      <c r="C5" s="8">
        <v>110</v>
      </c>
      <c r="D5" s="4">
        <v>24</v>
      </c>
      <c r="E5" s="6">
        <f t="shared" si="0"/>
        <v>4.583333333333333</v>
      </c>
    </row>
    <row r="6" spans="1:5" x14ac:dyDescent="0.25">
      <c r="A6" s="2" t="s">
        <v>7</v>
      </c>
      <c r="B6" s="2" t="s">
        <v>8</v>
      </c>
      <c r="C6" s="8">
        <v>182</v>
      </c>
      <c r="D6" s="4">
        <v>38</v>
      </c>
      <c r="E6" s="6">
        <f t="shared" si="0"/>
        <v>4.7894736842105265</v>
      </c>
    </row>
    <row r="7" spans="1:5" x14ac:dyDescent="0.25">
      <c r="A7" s="2" t="s">
        <v>9</v>
      </c>
      <c r="B7" s="2" t="s">
        <v>10</v>
      </c>
      <c r="C7" s="8">
        <v>222</v>
      </c>
      <c r="D7" s="4">
        <v>47.5</v>
      </c>
      <c r="E7" s="6">
        <f t="shared" si="0"/>
        <v>4.6736842105263161</v>
      </c>
    </row>
    <row r="8" spans="1:5" x14ac:dyDescent="0.25">
      <c r="A8" s="2" t="s">
        <v>13</v>
      </c>
      <c r="B8" s="2" t="s">
        <v>12</v>
      </c>
      <c r="C8" s="8">
        <v>490</v>
      </c>
      <c r="D8" s="4">
        <v>102</v>
      </c>
      <c r="E8" s="6">
        <f>C8/D8</f>
        <v>4.8039215686274508</v>
      </c>
    </row>
    <row r="9" spans="1:5" x14ac:dyDescent="0.25">
      <c r="A9" s="2" t="s">
        <v>20</v>
      </c>
      <c r="B9" s="2" t="s">
        <v>14</v>
      </c>
      <c r="C9" s="8">
        <v>265</v>
      </c>
      <c r="D9" s="4">
        <v>55</v>
      </c>
      <c r="E9" s="6">
        <f>C9/D9</f>
        <v>4.8181818181818183</v>
      </c>
    </row>
    <row r="10" spans="1:5" x14ac:dyDescent="0.25">
      <c r="E10" s="6">
        <f>AVERAGE(E3:E9)</f>
        <v>4.7422667631645963</v>
      </c>
    </row>
    <row r="11" spans="1:5" x14ac:dyDescent="0.25">
      <c r="A11" s="2" t="s">
        <v>15</v>
      </c>
      <c r="C11" s="8">
        <f>D11*$E$10</f>
        <v>194.43293728974845</v>
      </c>
      <c r="D11" s="4">
        <v>41</v>
      </c>
    </row>
    <row r="12" spans="1:5" x14ac:dyDescent="0.25">
      <c r="A12" s="2" t="s">
        <v>16</v>
      </c>
      <c r="C12" s="8">
        <f t="shared" ref="C12:C13" si="1">D12*$E$10</f>
        <v>275.0514722635466</v>
      </c>
      <c r="D12" s="4">
        <v>58</v>
      </c>
    </row>
    <row r="13" spans="1:5" x14ac:dyDescent="0.25">
      <c r="A13" s="2" t="s">
        <v>17</v>
      </c>
      <c r="C13" s="8">
        <f t="shared" si="1"/>
        <v>298.76280607936957</v>
      </c>
      <c r="D13" s="4">
        <v>63</v>
      </c>
    </row>
    <row r="16" spans="1:5" x14ac:dyDescent="0.25">
      <c r="A16" s="4" t="s">
        <v>9</v>
      </c>
      <c r="B16" s="65" t="s">
        <v>22</v>
      </c>
    </row>
    <row r="17" spans="1:2" x14ac:dyDescent="0.25">
      <c r="A17" s="4" t="s">
        <v>1</v>
      </c>
      <c r="B17" s="65"/>
    </row>
    <row r="18" spans="1:2" x14ac:dyDescent="0.25">
      <c r="A18" s="4"/>
    </row>
    <row r="19" spans="1:2" x14ac:dyDescent="0.25">
      <c r="A19" s="4" t="s">
        <v>20</v>
      </c>
      <c r="B19" s="65" t="s">
        <v>22</v>
      </c>
    </row>
    <row r="20" spans="1:2" x14ac:dyDescent="0.25">
      <c r="A20" s="4" t="s">
        <v>13</v>
      </c>
      <c r="B20" s="65"/>
    </row>
    <row r="23" spans="1:2" x14ac:dyDescent="0.25">
      <c r="A23" s="2" t="s">
        <v>60</v>
      </c>
      <c r="B23" s="54" t="s">
        <v>59</v>
      </c>
    </row>
  </sheetData>
  <mergeCells count="2">
    <mergeCell ref="B16:B17"/>
    <mergeCell ref="B19:B20"/>
  </mergeCells>
  <hyperlinks>
    <hyperlink ref="B23" r:id="rId1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workbookViewId="0">
      <selection activeCell="Z28" sqref="Z28"/>
    </sheetView>
  </sheetViews>
  <sheetFormatPr defaultRowHeight="15" x14ac:dyDescent="0.25"/>
  <cols>
    <col min="1" max="1" width="5.28515625" style="9" customWidth="1"/>
    <col min="2" max="3" width="7" customWidth="1"/>
    <col min="4" max="4" width="2" customWidth="1"/>
    <col min="5" max="5" width="15.28515625" customWidth="1"/>
    <col min="6" max="6" width="6.85546875" style="12" customWidth="1"/>
    <col min="7" max="7" width="7.28515625" style="13" customWidth="1"/>
    <col min="8" max="8" width="6.28515625" style="18" customWidth="1"/>
    <col min="9" max="9" width="6.85546875" style="18" customWidth="1"/>
  </cols>
  <sheetData>
    <row r="1" spans="1:9" s="15" customFormat="1" ht="36.75" customHeight="1" x14ac:dyDescent="0.25">
      <c r="A1" s="14" t="s">
        <v>53</v>
      </c>
      <c r="F1" s="16"/>
      <c r="G1" s="18">
        <f>15/F4</f>
        <v>17.266342189869587</v>
      </c>
      <c r="H1" s="17"/>
      <c r="I1" s="17"/>
    </row>
    <row r="2" spans="1:9" x14ac:dyDescent="0.25">
      <c r="A2" s="9" t="s">
        <v>54</v>
      </c>
      <c r="B2" s="9" t="s">
        <v>23</v>
      </c>
      <c r="C2" s="9" t="s">
        <v>24</v>
      </c>
      <c r="D2" s="9"/>
      <c r="E2" t="s">
        <v>55</v>
      </c>
      <c r="F2" s="11" t="s">
        <v>43</v>
      </c>
      <c r="G2" s="13" t="s">
        <v>51</v>
      </c>
      <c r="H2" s="13" t="s">
        <v>23</v>
      </c>
      <c r="I2" s="13" t="s">
        <v>24</v>
      </c>
    </row>
    <row r="3" spans="1:9" x14ac:dyDescent="0.25">
      <c r="A3" s="10" t="s">
        <v>56</v>
      </c>
      <c r="G3" s="13" t="s">
        <v>52</v>
      </c>
    </row>
    <row r="4" spans="1:9" x14ac:dyDescent="0.25">
      <c r="A4" s="9">
        <v>9</v>
      </c>
      <c r="B4">
        <v>1.3660000000000001</v>
      </c>
      <c r="C4">
        <v>1.3660000000000001</v>
      </c>
      <c r="E4" t="s">
        <v>47</v>
      </c>
      <c r="F4" s="12">
        <f>SQRT((B4-B5)^2+(C4-C5)^2)</f>
        <v>0.86874219420953669</v>
      </c>
      <c r="G4" s="13">
        <f>F4*$G$1</f>
        <v>15.000000000000002</v>
      </c>
      <c r="H4" s="18">
        <f>B4*$G$1</f>
        <v>23.585823431361856</v>
      </c>
      <c r="I4" s="18">
        <f>C4*$G$1</f>
        <v>23.585823431361856</v>
      </c>
    </row>
    <row r="5" spans="1:9" x14ac:dyDescent="0.25">
      <c r="A5" s="9">
        <v>11</v>
      </c>
      <c r="B5">
        <v>1.0089999999999999</v>
      </c>
      <c r="C5">
        <v>0.57399999999999995</v>
      </c>
      <c r="E5" t="s">
        <v>46</v>
      </c>
      <c r="F5" s="12">
        <f>SQRT((B5-B6)^2+(C5-C6)^2)</f>
        <v>0.61569148118193096</v>
      </c>
      <c r="G5" s="13">
        <f>F5*$G$1</f>
        <v>10.63073979747487</v>
      </c>
      <c r="H5" s="18">
        <f t="shared" ref="H5:I7" si="0">B5*$G$1</f>
        <v>17.42173926957841</v>
      </c>
      <c r="I5" s="18">
        <f t="shared" si="0"/>
        <v>9.9108804169851421</v>
      </c>
    </row>
    <row r="6" spans="1:9" x14ac:dyDescent="0.25">
      <c r="A6" s="9">
        <v>15</v>
      </c>
      <c r="B6">
        <v>1.599</v>
      </c>
      <c r="C6">
        <v>0.75</v>
      </c>
      <c r="E6" t="s">
        <v>44</v>
      </c>
      <c r="F6" s="12">
        <f>SQRT((B6-B7)^2+(C6-C7)^2)</f>
        <v>0.65859319765694513</v>
      </c>
      <c r="G6" s="13">
        <f>F6*$G$1</f>
        <v>11.371495514665231</v>
      </c>
      <c r="H6" s="18">
        <f t="shared" si="0"/>
        <v>27.60888116160147</v>
      </c>
      <c r="I6" s="18">
        <f t="shared" si="0"/>
        <v>12.949756642402189</v>
      </c>
    </row>
    <row r="7" spans="1:9" x14ac:dyDescent="0.25">
      <c r="A7" s="9">
        <v>9</v>
      </c>
      <c r="B7">
        <v>1.3660000000000001</v>
      </c>
      <c r="C7">
        <v>1.3660000000000001</v>
      </c>
      <c r="E7" t="s">
        <v>47</v>
      </c>
      <c r="H7" s="18">
        <f t="shared" si="0"/>
        <v>23.585823431361856</v>
      </c>
      <c r="I7" s="18">
        <f t="shared" si="0"/>
        <v>23.585823431361856</v>
      </c>
    </row>
    <row r="8" spans="1:9" x14ac:dyDescent="0.25">
      <c r="A8" s="10" t="s">
        <v>25</v>
      </c>
    </row>
    <row r="9" spans="1:9" x14ac:dyDescent="0.25">
      <c r="A9" s="9" t="s">
        <v>26</v>
      </c>
      <c r="B9">
        <v>0.74099999999999999</v>
      </c>
      <c r="C9">
        <v>0.75</v>
      </c>
      <c r="E9" t="s">
        <v>27</v>
      </c>
    </row>
    <row r="10" spans="1:9" x14ac:dyDescent="0.25">
      <c r="A10" s="9" t="s">
        <v>28</v>
      </c>
      <c r="B10">
        <v>1.331</v>
      </c>
      <c r="C10">
        <v>0.75</v>
      </c>
      <c r="E10" t="s">
        <v>29</v>
      </c>
    </row>
    <row r="11" spans="1:9" x14ac:dyDescent="0.25">
      <c r="A11" s="9" t="s">
        <v>31</v>
      </c>
      <c r="B11">
        <v>0.23200000000000001</v>
      </c>
      <c r="C11">
        <v>0.86599999999999999</v>
      </c>
      <c r="E11" t="s">
        <v>32</v>
      </c>
    </row>
    <row r="12" spans="1:9" x14ac:dyDescent="0.25">
      <c r="A12" s="9" t="s">
        <v>33</v>
      </c>
      <c r="B12">
        <v>0.86599999999999999</v>
      </c>
      <c r="C12">
        <v>1.5</v>
      </c>
      <c r="E12" t="s">
        <v>34</v>
      </c>
    </row>
    <row r="13" spans="1:9" x14ac:dyDescent="0.25">
      <c r="A13" s="9" t="s">
        <v>30</v>
      </c>
      <c r="B13">
        <v>0</v>
      </c>
      <c r="C13">
        <v>0</v>
      </c>
      <c r="E13" t="s">
        <v>11</v>
      </c>
    </row>
    <row r="14" spans="1:9" x14ac:dyDescent="0.25">
      <c r="A14" s="10" t="s">
        <v>35</v>
      </c>
    </row>
    <row r="15" spans="1:9" x14ac:dyDescent="0.25">
      <c r="A15" s="9" t="s">
        <v>36</v>
      </c>
      <c r="B15">
        <v>1.2769999999999999</v>
      </c>
      <c r="C15">
        <v>0.75</v>
      </c>
      <c r="E15" t="s">
        <v>27</v>
      </c>
    </row>
    <row r="16" spans="1:9" x14ac:dyDescent="0.25">
      <c r="A16" s="9" t="s">
        <v>37</v>
      </c>
      <c r="B16">
        <v>1.867</v>
      </c>
      <c r="C16">
        <v>0.75</v>
      </c>
      <c r="E16" t="s">
        <v>29</v>
      </c>
    </row>
    <row r="17" spans="1:7" x14ac:dyDescent="0.25">
      <c r="A17" s="9" t="s">
        <v>39</v>
      </c>
      <c r="B17">
        <v>0.76800000000000002</v>
      </c>
      <c r="C17">
        <v>0.86599999999999999</v>
      </c>
      <c r="E17" t="s">
        <v>32</v>
      </c>
    </row>
    <row r="18" spans="1:7" x14ac:dyDescent="0.25">
      <c r="A18" s="9" t="s">
        <v>40</v>
      </c>
      <c r="B18">
        <v>1</v>
      </c>
      <c r="C18">
        <v>1.732</v>
      </c>
      <c r="E18" t="s">
        <v>34</v>
      </c>
    </row>
    <row r="19" spans="1:7" x14ac:dyDescent="0.25">
      <c r="A19" s="9" t="s">
        <v>38</v>
      </c>
      <c r="B19">
        <v>1</v>
      </c>
      <c r="C19">
        <v>0</v>
      </c>
      <c r="E19" t="s">
        <v>11</v>
      </c>
    </row>
    <row r="21" spans="1:7" x14ac:dyDescent="0.25">
      <c r="A21" s="10" t="s">
        <v>41</v>
      </c>
    </row>
    <row r="22" spans="1:7" x14ac:dyDescent="0.25">
      <c r="A22" s="9">
        <v>15</v>
      </c>
      <c r="B22">
        <v>1.599</v>
      </c>
      <c r="C22">
        <v>0.75</v>
      </c>
      <c r="E22" t="s">
        <v>44</v>
      </c>
      <c r="F22" s="12">
        <f>SQRT((B22-B23)^2+(C22-C23)^2)</f>
        <v>0.26800000000000002</v>
      </c>
      <c r="G22" s="13">
        <f t="shared" ref="G22:G31" si="1">F22*$G$1</f>
        <v>4.6273797068850495</v>
      </c>
    </row>
    <row r="23" spans="1:7" x14ac:dyDescent="0.25">
      <c r="A23" s="9" t="s">
        <v>28</v>
      </c>
      <c r="B23">
        <v>1.331</v>
      </c>
      <c r="C23">
        <v>0.75</v>
      </c>
      <c r="E23" t="s">
        <v>45</v>
      </c>
      <c r="F23" s="12">
        <f t="shared" ref="F23:F31" si="2">SQRT((B23-B24)^2+(C23-C24)^2)</f>
        <v>0.59</v>
      </c>
      <c r="G23" s="13">
        <f t="shared" si="1"/>
        <v>10.187141892023055</v>
      </c>
    </row>
    <row r="24" spans="1:7" x14ac:dyDescent="0.25">
      <c r="A24" s="9" t="s">
        <v>26</v>
      </c>
      <c r="B24">
        <v>0.74099999999999999</v>
      </c>
      <c r="C24">
        <v>0.75</v>
      </c>
      <c r="E24" t="s">
        <v>48</v>
      </c>
      <c r="F24" s="12">
        <f t="shared" si="2"/>
        <v>0.32062439083762789</v>
      </c>
      <c r="G24" s="13">
        <f t="shared" si="1"/>
        <v>5.5360104466209705</v>
      </c>
    </row>
    <row r="25" spans="1:7" x14ac:dyDescent="0.25">
      <c r="A25" s="9">
        <v>11</v>
      </c>
      <c r="B25">
        <v>1.0089999999999999</v>
      </c>
      <c r="C25">
        <v>0.57399999999999995</v>
      </c>
      <c r="E25" t="s">
        <v>46</v>
      </c>
      <c r="F25" s="12">
        <f t="shared" si="2"/>
        <v>0.32062439083762789</v>
      </c>
      <c r="G25" s="13">
        <f t="shared" si="1"/>
        <v>5.5360104466209705</v>
      </c>
    </row>
    <row r="26" spans="1:7" x14ac:dyDescent="0.25">
      <c r="A26" s="9" t="s">
        <v>26</v>
      </c>
      <c r="B26">
        <v>0.74099999999999999</v>
      </c>
      <c r="C26">
        <v>0.75</v>
      </c>
      <c r="E26" t="s">
        <v>48</v>
      </c>
      <c r="F26" s="12">
        <f t="shared" si="2"/>
        <v>0.52205076381516768</v>
      </c>
      <c r="G26" s="13">
        <f t="shared" si="1"/>
        <v>9.0139071285154735</v>
      </c>
    </row>
    <row r="27" spans="1:7" x14ac:dyDescent="0.25">
      <c r="A27" s="9" t="s">
        <v>31</v>
      </c>
      <c r="B27">
        <v>0.23200000000000001</v>
      </c>
      <c r="C27">
        <v>0.86599999999999999</v>
      </c>
      <c r="E27" t="s">
        <v>49</v>
      </c>
      <c r="F27" s="12">
        <f t="shared" si="2"/>
        <v>0.8966113985445423</v>
      </c>
      <c r="G27" s="13">
        <f t="shared" si="1"/>
        <v>15.481199218607605</v>
      </c>
    </row>
    <row r="28" spans="1:7" x14ac:dyDescent="0.25">
      <c r="A28" s="9" t="s">
        <v>33</v>
      </c>
      <c r="B28">
        <v>0.86599999999999999</v>
      </c>
      <c r="C28">
        <v>1.5</v>
      </c>
      <c r="E28" t="s">
        <v>50</v>
      </c>
      <c r="F28" s="12">
        <f t="shared" si="2"/>
        <v>0.51764466576986967</v>
      </c>
      <c r="G28" s="13">
        <f t="shared" si="1"/>
        <v>8.9378299319432415</v>
      </c>
    </row>
    <row r="29" spans="1:7" x14ac:dyDescent="0.25">
      <c r="A29" s="9">
        <v>9</v>
      </c>
      <c r="B29">
        <v>1.3660000000000001</v>
      </c>
      <c r="C29">
        <v>1.3660000000000001</v>
      </c>
      <c r="E29" t="s">
        <v>47</v>
      </c>
      <c r="F29" s="12">
        <f t="shared" si="2"/>
        <v>0.51764466576986967</v>
      </c>
      <c r="G29" s="13">
        <f t="shared" si="1"/>
        <v>8.9378299319432415</v>
      </c>
    </row>
    <row r="30" spans="1:7" x14ac:dyDescent="0.25">
      <c r="A30" s="9" t="s">
        <v>33</v>
      </c>
      <c r="B30">
        <v>0.86599999999999999</v>
      </c>
      <c r="C30">
        <v>1.5</v>
      </c>
      <c r="E30" t="s">
        <v>50</v>
      </c>
      <c r="F30" s="12">
        <f t="shared" si="2"/>
        <v>0.8966113985445423</v>
      </c>
      <c r="G30" s="13">
        <f t="shared" si="1"/>
        <v>15.481199218607605</v>
      </c>
    </row>
    <row r="31" spans="1:7" x14ac:dyDescent="0.25">
      <c r="A31" s="9" t="s">
        <v>31</v>
      </c>
      <c r="B31">
        <v>0.23200000000000001</v>
      </c>
      <c r="C31">
        <v>0.86599999999999999</v>
      </c>
      <c r="E31" t="s">
        <v>49</v>
      </c>
      <c r="F31" s="12">
        <f t="shared" si="2"/>
        <v>0.89653778503752979</v>
      </c>
      <c r="G31" s="13">
        <f t="shared" si="1"/>
        <v>15.479928182605731</v>
      </c>
    </row>
    <row r="32" spans="1:7" x14ac:dyDescent="0.25">
      <c r="A32" s="9" t="s">
        <v>30</v>
      </c>
      <c r="B32">
        <v>0</v>
      </c>
      <c r="C32">
        <v>0</v>
      </c>
      <c r="E32" t="s">
        <v>11</v>
      </c>
    </row>
    <row r="33" spans="1:7" x14ac:dyDescent="0.25">
      <c r="A33" s="10" t="s">
        <v>42</v>
      </c>
    </row>
    <row r="34" spans="1:7" x14ac:dyDescent="0.25">
      <c r="A34" s="9">
        <v>15</v>
      </c>
      <c r="B34">
        <v>1.599</v>
      </c>
      <c r="C34">
        <v>0.75</v>
      </c>
      <c r="E34" t="s">
        <v>44</v>
      </c>
      <c r="F34" s="12">
        <f>SQRT((B34-B35)^2+(C34-C35)^2)</f>
        <v>0.26800000000000002</v>
      </c>
      <c r="G34" s="13">
        <f t="shared" ref="G34:G43" si="3">F34*$G$1</f>
        <v>4.6273797068850495</v>
      </c>
    </row>
    <row r="35" spans="1:7" x14ac:dyDescent="0.25">
      <c r="A35" s="9" t="s">
        <v>37</v>
      </c>
      <c r="B35">
        <v>1.867</v>
      </c>
      <c r="C35">
        <v>0.75</v>
      </c>
      <c r="E35" t="s">
        <v>45</v>
      </c>
      <c r="F35" s="12">
        <f t="shared" ref="F35:F43" si="4">SQRT((B35-B36)^2+(C35-C36)^2)</f>
        <v>0.59000000000000008</v>
      </c>
      <c r="G35" s="13">
        <f t="shared" si="3"/>
        <v>10.187141892023057</v>
      </c>
    </row>
    <row r="36" spans="1:7" x14ac:dyDescent="0.25">
      <c r="A36" s="9" t="s">
        <v>36</v>
      </c>
      <c r="B36">
        <v>1.2769999999999999</v>
      </c>
      <c r="C36">
        <v>0.75</v>
      </c>
      <c r="E36" t="s">
        <v>48</v>
      </c>
      <c r="F36" s="12">
        <f t="shared" si="4"/>
        <v>0.320624390837628</v>
      </c>
      <c r="G36" s="13">
        <f t="shared" si="3"/>
        <v>5.5360104466209723</v>
      </c>
    </row>
    <row r="37" spans="1:7" x14ac:dyDescent="0.25">
      <c r="A37" s="9">
        <v>11</v>
      </c>
      <c r="B37">
        <v>1.0089999999999999</v>
      </c>
      <c r="C37">
        <v>0.57399999999999995</v>
      </c>
      <c r="E37" t="s">
        <v>46</v>
      </c>
      <c r="F37" s="12">
        <f t="shared" si="4"/>
        <v>0.320624390837628</v>
      </c>
      <c r="G37" s="13">
        <f t="shared" si="3"/>
        <v>5.5360104466209723</v>
      </c>
    </row>
    <row r="38" spans="1:7" x14ac:dyDescent="0.25">
      <c r="A38" s="9" t="s">
        <v>36</v>
      </c>
      <c r="B38">
        <v>1.2769999999999999</v>
      </c>
      <c r="C38">
        <v>0.75</v>
      </c>
      <c r="E38" t="s">
        <v>48</v>
      </c>
      <c r="F38" s="12">
        <f t="shared" si="4"/>
        <v>0.52205076381516757</v>
      </c>
      <c r="G38" s="13">
        <f t="shared" si="3"/>
        <v>9.0139071285154699</v>
      </c>
    </row>
    <row r="39" spans="1:7" x14ac:dyDescent="0.25">
      <c r="A39" s="9" t="s">
        <v>39</v>
      </c>
      <c r="B39">
        <v>0.76800000000000002</v>
      </c>
      <c r="C39">
        <v>0.86599999999999999</v>
      </c>
      <c r="E39" t="s">
        <v>49</v>
      </c>
      <c r="F39" s="12">
        <f t="shared" si="4"/>
        <v>0.89653778503752979</v>
      </c>
      <c r="G39" s="13">
        <f t="shared" si="3"/>
        <v>15.479928182605731</v>
      </c>
    </row>
    <row r="40" spans="1:7" x14ac:dyDescent="0.25">
      <c r="A40" s="9" t="s">
        <v>40</v>
      </c>
      <c r="B40">
        <v>1</v>
      </c>
      <c r="C40">
        <v>1.732</v>
      </c>
      <c r="E40" t="s">
        <v>50</v>
      </c>
      <c r="F40" s="12">
        <f t="shared" si="4"/>
        <v>0.51760216382855273</v>
      </c>
      <c r="G40" s="13">
        <f t="shared" si="3"/>
        <v>8.9370960788807299</v>
      </c>
    </row>
    <row r="41" spans="1:7" x14ac:dyDescent="0.25">
      <c r="A41" s="9">
        <v>9</v>
      </c>
      <c r="B41">
        <v>1.3660000000000001</v>
      </c>
      <c r="C41">
        <v>1.3660000000000001</v>
      </c>
      <c r="E41" t="s">
        <v>47</v>
      </c>
      <c r="F41" s="12">
        <f t="shared" si="4"/>
        <v>0.51760216382855273</v>
      </c>
      <c r="G41" s="13">
        <f t="shared" si="3"/>
        <v>8.9370960788807299</v>
      </c>
    </row>
    <row r="42" spans="1:7" x14ac:dyDescent="0.25">
      <c r="A42" s="9" t="s">
        <v>40</v>
      </c>
      <c r="B42">
        <v>1</v>
      </c>
      <c r="C42">
        <v>1.732</v>
      </c>
      <c r="E42" t="s">
        <v>50</v>
      </c>
      <c r="F42" s="12">
        <f t="shared" si="4"/>
        <v>0.89653778503752979</v>
      </c>
      <c r="G42" s="13">
        <f t="shared" si="3"/>
        <v>15.479928182605731</v>
      </c>
    </row>
    <row r="43" spans="1:7" x14ac:dyDescent="0.25">
      <c r="A43" s="9" t="s">
        <v>39</v>
      </c>
      <c r="B43">
        <v>0.76800000000000002</v>
      </c>
      <c r="C43">
        <v>0.86599999999999999</v>
      </c>
      <c r="E43" t="s">
        <v>49</v>
      </c>
      <c r="F43" s="12">
        <f t="shared" si="4"/>
        <v>0.89653778503752979</v>
      </c>
      <c r="G43" s="13">
        <f t="shared" si="3"/>
        <v>15.479928182605731</v>
      </c>
    </row>
    <row r="44" spans="1:7" x14ac:dyDescent="0.25">
      <c r="A44" s="9" t="s">
        <v>38</v>
      </c>
      <c r="B44">
        <v>1</v>
      </c>
      <c r="C44">
        <v>0</v>
      </c>
      <c r="E44" t="s">
        <v>11</v>
      </c>
    </row>
  </sheetData>
  <pageMargins left="0.25" right="0.25" top="0.25" bottom="0.25" header="0.3" footer="0.3"/>
  <pageSetup scale="6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G49" sqref="G49"/>
    </sheetView>
  </sheetViews>
  <sheetFormatPr defaultRowHeight="15" x14ac:dyDescent="0.25"/>
  <cols>
    <col min="1" max="1" width="5.28515625" style="9" customWidth="1"/>
    <col min="2" max="3" width="7" customWidth="1"/>
    <col min="4" max="4" width="2" customWidth="1"/>
    <col min="5" max="5" width="15.28515625" customWidth="1"/>
    <col min="6" max="6" width="6.85546875" style="12" customWidth="1"/>
    <col min="7" max="7" width="7.28515625" style="13" customWidth="1"/>
    <col min="8" max="8" width="6.28515625" style="18" customWidth="1"/>
    <col min="9" max="9" width="6.85546875" style="18" customWidth="1"/>
  </cols>
  <sheetData>
    <row r="1" spans="1:9" s="15" customFormat="1" ht="36.75" customHeight="1" x14ac:dyDescent="0.25">
      <c r="A1" s="14" t="s">
        <v>53</v>
      </c>
      <c r="F1" s="16"/>
      <c r="G1" s="18">
        <f>8/F46</f>
        <v>4.4616078281994067</v>
      </c>
      <c r="H1" s="17"/>
      <c r="I1" s="17"/>
    </row>
    <row r="2" spans="1:9" x14ac:dyDescent="0.25">
      <c r="A2" s="9" t="s">
        <v>54</v>
      </c>
      <c r="B2" s="9" t="s">
        <v>23</v>
      </c>
      <c r="C2" s="9" t="s">
        <v>24</v>
      </c>
      <c r="D2" s="9"/>
      <c r="E2" t="s">
        <v>55</v>
      </c>
      <c r="F2" s="11" t="s">
        <v>43</v>
      </c>
      <c r="G2" s="13" t="s">
        <v>51</v>
      </c>
      <c r="H2" s="13" t="s">
        <v>23</v>
      </c>
      <c r="I2" s="13" t="s">
        <v>24</v>
      </c>
    </row>
    <row r="3" spans="1:9" x14ac:dyDescent="0.25">
      <c r="A3" s="10" t="s">
        <v>56</v>
      </c>
      <c r="G3" s="13" t="s">
        <v>52</v>
      </c>
    </row>
    <row r="4" spans="1:9" x14ac:dyDescent="0.25">
      <c r="A4" s="9">
        <v>9</v>
      </c>
      <c r="B4">
        <v>1.3660000000000001</v>
      </c>
      <c r="C4">
        <v>1.3660000000000001</v>
      </c>
      <c r="E4" t="s">
        <v>47</v>
      </c>
      <c r="F4" s="12">
        <f>SQRT((B4-B5)^2+(C4-C5)^2)</f>
        <v>0.86874219420953669</v>
      </c>
      <c r="G4" s="13">
        <f>F4*$G$1</f>
        <v>3.875986974372398</v>
      </c>
      <c r="H4" s="18">
        <f>B4*$G$1</f>
        <v>6.0945562933203901</v>
      </c>
      <c r="I4" s="18">
        <f>C4*$G$1</f>
        <v>6.0945562933203901</v>
      </c>
    </row>
    <row r="5" spans="1:9" x14ac:dyDescent="0.25">
      <c r="A5" s="9">
        <v>11</v>
      </c>
      <c r="B5">
        <v>1.0089999999999999</v>
      </c>
      <c r="C5">
        <v>0.57399999999999995</v>
      </c>
      <c r="E5" t="s">
        <v>46</v>
      </c>
      <c r="F5" s="12">
        <f>SQRT((B5-B6)^2+(C5-C6)^2)</f>
        <v>0.61569148118193096</v>
      </c>
      <c r="G5" s="13">
        <f>F5*$G$1</f>
        <v>2.7469739321969908</v>
      </c>
      <c r="H5" s="18">
        <f t="shared" ref="H5:I7" si="0">B5*$G$1</f>
        <v>4.5017622986532011</v>
      </c>
      <c r="I5" s="18">
        <f t="shared" si="0"/>
        <v>2.5609628933864594</v>
      </c>
    </row>
    <row r="6" spans="1:9" x14ac:dyDescent="0.25">
      <c r="A6" s="9">
        <v>15</v>
      </c>
      <c r="B6">
        <v>1.599</v>
      </c>
      <c r="C6">
        <v>0.75</v>
      </c>
      <c r="E6" t="s">
        <v>44</v>
      </c>
      <c r="F6" s="12">
        <f>SQRT((B6-B7)^2+(C6-C7)^2)</f>
        <v>0.65859319765694513</v>
      </c>
      <c r="G6" s="13">
        <f>F6*$G$1</f>
        <v>2.9383845662651056</v>
      </c>
      <c r="H6" s="18">
        <f t="shared" si="0"/>
        <v>7.134110917290851</v>
      </c>
      <c r="I6" s="18">
        <f t="shared" si="0"/>
        <v>3.346205871149555</v>
      </c>
    </row>
    <row r="7" spans="1:9" x14ac:dyDescent="0.25">
      <c r="A7" s="9">
        <v>9</v>
      </c>
      <c r="B7">
        <v>1.3660000000000001</v>
      </c>
      <c r="C7">
        <v>1.3660000000000001</v>
      </c>
      <c r="E7" t="s">
        <v>47</v>
      </c>
      <c r="H7" s="18">
        <f t="shared" si="0"/>
        <v>6.0945562933203901</v>
      </c>
      <c r="I7" s="18">
        <f t="shared" si="0"/>
        <v>6.0945562933203901</v>
      </c>
    </row>
    <row r="8" spans="1:9" x14ac:dyDescent="0.25">
      <c r="A8" s="10" t="s">
        <v>25</v>
      </c>
    </row>
    <row r="9" spans="1:9" x14ac:dyDescent="0.25">
      <c r="A9" s="9" t="s">
        <v>26</v>
      </c>
      <c r="B9">
        <v>0.74099999999999999</v>
      </c>
      <c r="C9">
        <v>0.75</v>
      </c>
      <c r="E9" t="s">
        <v>27</v>
      </c>
    </row>
    <row r="10" spans="1:9" x14ac:dyDescent="0.25">
      <c r="A10" s="9" t="s">
        <v>28</v>
      </c>
      <c r="B10">
        <v>1.331</v>
      </c>
      <c r="C10">
        <v>0.75</v>
      </c>
      <c r="E10" t="s">
        <v>29</v>
      </c>
    </row>
    <row r="11" spans="1:9" x14ac:dyDescent="0.25">
      <c r="A11" s="9" t="s">
        <v>31</v>
      </c>
      <c r="B11">
        <v>0.23200000000000001</v>
      </c>
      <c r="C11">
        <v>0.86599999999999999</v>
      </c>
      <c r="E11" t="s">
        <v>32</v>
      </c>
    </row>
    <row r="12" spans="1:9" x14ac:dyDescent="0.25">
      <c r="A12" s="9" t="s">
        <v>33</v>
      </c>
      <c r="B12">
        <v>0.86599999999999999</v>
      </c>
      <c r="C12">
        <v>1.5</v>
      </c>
      <c r="E12" t="s">
        <v>34</v>
      </c>
    </row>
    <row r="13" spans="1:9" x14ac:dyDescent="0.25">
      <c r="A13" s="9" t="s">
        <v>30</v>
      </c>
      <c r="B13">
        <v>0</v>
      </c>
      <c r="C13">
        <v>0</v>
      </c>
      <c r="E13" t="s">
        <v>11</v>
      </c>
    </row>
    <row r="14" spans="1:9" x14ac:dyDescent="0.25">
      <c r="A14" s="10" t="s">
        <v>35</v>
      </c>
    </row>
    <row r="15" spans="1:9" x14ac:dyDescent="0.25">
      <c r="A15" s="9" t="s">
        <v>36</v>
      </c>
      <c r="B15">
        <v>1.2769999999999999</v>
      </c>
      <c r="C15">
        <v>0.75</v>
      </c>
      <c r="E15" t="s">
        <v>27</v>
      </c>
    </row>
    <row r="16" spans="1:9" x14ac:dyDescent="0.25">
      <c r="A16" s="9" t="s">
        <v>37</v>
      </c>
      <c r="B16">
        <v>1.867</v>
      </c>
      <c r="C16">
        <v>0.75</v>
      </c>
      <c r="E16" t="s">
        <v>29</v>
      </c>
    </row>
    <row r="17" spans="1:7" x14ac:dyDescent="0.25">
      <c r="A17" s="9" t="s">
        <v>39</v>
      </c>
      <c r="B17">
        <v>0.76800000000000002</v>
      </c>
      <c r="C17">
        <v>0.86599999999999999</v>
      </c>
      <c r="E17" t="s">
        <v>32</v>
      </c>
    </row>
    <row r="18" spans="1:7" x14ac:dyDescent="0.25">
      <c r="A18" s="9" t="s">
        <v>40</v>
      </c>
      <c r="B18">
        <v>1</v>
      </c>
      <c r="C18">
        <v>1.732</v>
      </c>
      <c r="E18" t="s">
        <v>34</v>
      </c>
    </row>
    <row r="19" spans="1:7" x14ac:dyDescent="0.25">
      <c r="A19" s="9" t="s">
        <v>38</v>
      </c>
      <c r="B19">
        <v>1</v>
      </c>
      <c r="C19">
        <v>0</v>
      </c>
      <c r="E19" t="s">
        <v>11</v>
      </c>
    </row>
    <row r="21" spans="1:7" x14ac:dyDescent="0.25">
      <c r="A21" s="10" t="s">
        <v>41</v>
      </c>
    </row>
    <row r="22" spans="1:7" x14ac:dyDescent="0.25">
      <c r="A22" s="9">
        <v>15</v>
      </c>
      <c r="B22">
        <v>1.599</v>
      </c>
      <c r="C22">
        <v>0.75</v>
      </c>
      <c r="E22" t="s">
        <v>44</v>
      </c>
      <c r="F22" s="12">
        <f>SQRT((B22-B23)^2+(C22-C23)^2)</f>
        <v>0.26800000000000002</v>
      </c>
      <c r="G22" s="13">
        <f t="shared" ref="G22:G31" si="1">F22*$G$1</f>
        <v>1.1957108979574411</v>
      </c>
    </row>
    <row r="23" spans="1:7" x14ac:dyDescent="0.25">
      <c r="A23" s="9" t="s">
        <v>28</v>
      </c>
      <c r="B23">
        <v>1.331</v>
      </c>
      <c r="C23">
        <v>0.75</v>
      </c>
      <c r="E23" t="s">
        <v>45</v>
      </c>
      <c r="F23" s="12">
        <f t="shared" ref="F23:F31" si="2">SQRT((B23-B24)^2+(C23-C24)^2)</f>
        <v>0.59</v>
      </c>
      <c r="G23" s="13">
        <f t="shared" si="1"/>
        <v>2.6323486186376499</v>
      </c>
    </row>
    <row r="24" spans="1:7" x14ac:dyDescent="0.25">
      <c r="A24" s="9" t="s">
        <v>26</v>
      </c>
      <c r="B24">
        <v>0.74099999999999999</v>
      </c>
      <c r="C24">
        <v>0.75</v>
      </c>
      <c r="E24" t="s">
        <v>48</v>
      </c>
      <c r="F24" s="12">
        <f t="shared" si="2"/>
        <v>0.32062439083762789</v>
      </c>
      <c r="G24" s="13">
        <f t="shared" si="1"/>
        <v>1.4305002920728267</v>
      </c>
    </row>
    <row r="25" spans="1:7" x14ac:dyDescent="0.25">
      <c r="A25" s="9">
        <v>11</v>
      </c>
      <c r="B25">
        <v>1.0089999999999999</v>
      </c>
      <c r="C25">
        <v>0.57399999999999995</v>
      </c>
      <c r="E25" t="s">
        <v>46</v>
      </c>
      <c r="F25" s="12">
        <f t="shared" si="2"/>
        <v>0.32062439083762789</v>
      </c>
      <c r="G25" s="13">
        <f t="shared" si="1"/>
        <v>1.4305002920728267</v>
      </c>
    </row>
    <row r="26" spans="1:7" x14ac:dyDescent="0.25">
      <c r="A26" s="9" t="s">
        <v>26</v>
      </c>
      <c r="B26">
        <v>0.74099999999999999</v>
      </c>
      <c r="C26">
        <v>0.75</v>
      </c>
      <c r="E26" t="s">
        <v>48</v>
      </c>
      <c r="F26" s="12">
        <f t="shared" si="2"/>
        <v>0.52205076381516768</v>
      </c>
      <c r="G26" s="13">
        <f t="shared" si="1"/>
        <v>2.3291857745552318</v>
      </c>
    </row>
    <row r="27" spans="1:7" x14ac:dyDescent="0.25">
      <c r="A27" s="9" t="s">
        <v>31</v>
      </c>
      <c r="B27">
        <v>0.23200000000000001</v>
      </c>
      <c r="C27">
        <v>0.86599999999999999</v>
      </c>
      <c r="E27" t="s">
        <v>49</v>
      </c>
      <c r="F27" s="12">
        <f t="shared" si="2"/>
        <v>0.8966113985445423</v>
      </c>
      <c r="G27" s="13">
        <f t="shared" si="1"/>
        <v>4.0003284345991483</v>
      </c>
    </row>
    <row r="28" spans="1:7" x14ac:dyDescent="0.25">
      <c r="A28" s="9" t="s">
        <v>33</v>
      </c>
      <c r="B28">
        <v>0.86599999999999999</v>
      </c>
      <c r="C28">
        <v>1.5</v>
      </c>
      <c r="E28" t="s">
        <v>50</v>
      </c>
      <c r="F28" s="12">
        <f t="shared" si="2"/>
        <v>0.51764466576986967</v>
      </c>
      <c r="G28" s="13">
        <f t="shared" si="1"/>
        <v>2.309527493024516</v>
      </c>
    </row>
    <row r="29" spans="1:7" x14ac:dyDescent="0.25">
      <c r="A29" s="9">
        <v>9</v>
      </c>
      <c r="B29">
        <v>1.3660000000000001</v>
      </c>
      <c r="C29">
        <v>1.3660000000000001</v>
      </c>
      <c r="E29" t="s">
        <v>47</v>
      </c>
      <c r="F29" s="12">
        <f t="shared" si="2"/>
        <v>0.51764466576986967</v>
      </c>
      <c r="G29" s="13">
        <f t="shared" si="1"/>
        <v>2.309527493024516</v>
      </c>
    </row>
    <row r="30" spans="1:7" x14ac:dyDescent="0.25">
      <c r="A30" s="9" t="s">
        <v>33</v>
      </c>
      <c r="B30">
        <v>0.86599999999999999</v>
      </c>
      <c r="C30">
        <v>1.5</v>
      </c>
      <c r="E30" t="s">
        <v>50</v>
      </c>
      <c r="F30" s="12">
        <f t="shared" si="2"/>
        <v>0.8966113985445423</v>
      </c>
      <c r="G30" s="13">
        <f t="shared" si="1"/>
        <v>4.0003284345991483</v>
      </c>
    </row>
    <row r="31" spans="1:7" x14ac:dyDescent="0.25">
      <c r="A31" s="9" t="s">
        <v>31</v>
      </c>
      <c r="B31">
        <v>0.23200000000000001</v>
      </c>
      <c r="C31">
        <v>0.86599999999999999</v>
      </c>
      <c r="E31" t="s">
        <v>49</v>
      </c>
      <c r="F31" s="12">
        <f t="shared" si="2"/>
        <v>0.89653778503752979</v>
      </c>
      <c r="G31" s="13">
        <f t="shared" si="1"/>
        <v>4</v>
      </c>
    </row>
    <row r="32" spans="1:7" x14ac:dyDescent="0.25">
      <c r="A32" s="9" t="s">
        <v>30</v>
      </c>
      <c r="B32">
        <v>0</v>
      </c>
      <c r="C32">
        <v>0</v>
      </c>
      <c r="E32" t="s">
        <v>11</v>
      </c>
    </row>
    <row r="33" spans="1:7" x14ac:dyDescent="0.25">
      <c r="A33" s="10" t="s">
        <v>42</v>
      </c>
    </row>
    <row r="34" spans="1:7" x14ac:dyDescent="0.25">
      <c r="A34" s="9">
        <v>15</v>
      </c>
      <c r="B34">
        <v>1.599</v>
      </c>
      <c r="C34">
        <v>0.75</v>
      </c>
      <c r="E34" t="s">
        <v>44</v>
      </c>
      <c r="F34" s="12">
        <f>SQRT((B34-B35)^2+(C34-C35)^2)</f>
        <v>0.26800000000000002</v>
      </c>
      <c r="G34" s="13">
        <f t="shared" ref="G34:G43" si="3">F34*$G$1</f>
        <v>1.1957108979574411</v>
      </c>
    </row>
    <row r="35" spans="1:7" x14ac:dyDescent="0.25">
      <c r="A35" s="9" t="s">
        <v>37</v>
      </c>
      <c r="B35">
        <v>1.867</v>
      </c>
      <c r="C35">
        <v>0.75</v>
      </c>
      <c r="E35" t="s">
        <v>45</v>
      </c>
      <c r="F35" s="12">
        <f t="shared" ref="F35:F43" si="4">SQRT((B35-B36)^2+(C35-C36)^2)</f>
        <v>0.59000000000000008</v>
      </c>
      <c r="G35" s="13">
        <f t="shared" si="3"/>
        <v>2.6323486186376504</v>
      </c>
    </row>
    <row r="36" spans="1:7" x14ac:dyDescent="0.25">
      <c r="A36" s="9" t="s">
        <v>36</v>
      </c>
      <c r="B36">
        <v>1.2769999999999999</v>
      </c>
      <c r="C36">
        <v>0.75</v>
      </c>
      <c r="E36" t="s">
        <v>48</v>
      </c>
      <c r="F36" s="12">
        <f t="shared" si="4"/>
        <v>0.320624390837628</v>
      </c>
      <c r="G36" s="13">
        <f t="shared" si="3"/>
        <v>1.4305002920728271</v>
      </c>
    </row>
    <row r="37" spans="1:7" x14ac:dyDescent="0.25">
      <c r="A37" s="9">
        <v>11</v>
      </c>
      <c r="B37">
        <v>1.0089999999999999</v>
      </c>
      <c r="C37">
        <v>0.57399999999999995</v>
      </c>
      <c r="E37" t="s">
        <v>46</v>
      </c>
      <c r="F37" s="12">
        <f t="shared" si="4"/>
        <v>0.320624390837628</v>
      </c>
      <c r="G37" s="13">
        <f t="shared" si="3"/>
        <v>1.4305002920728271</v>
      </c>
    </row>
    <row r="38" spans="1:7" x14ac:dyDescent="0.25">
      <c r="A38" s="9" t="s">
        <v>36</v>
      </c>
      <c r="B38">
        <v>1.2769999999999999</v>
      </c>
      <c r="C38">
        <v>0.75</v>
      </c>
      <c r="E38" t="s">
        <v>48</v>
      </c>
      <c r="F38" s="12">
        <f t="shared" si="4"/>
        <v>0.52205076381516757</v>
      </c>
      <c r="G38" s="13">
        <f t="shared" si="3"/>
        <v>2.3291857745552313</v>
      </c>
    </row>
    <row r="39" spans="1:7" x14ac:dyDescent="0.25">
      <c r="A39" s="9" t="s">
        <v>39</v>
      </c>
      <c r="B39">
        <v>0.76800000000000002</v>
      </c>
      <c r="C39">
        <v>0.86599999999999999</v>
      </c>
      <c r="E39" t="s">
        <v>49</v>
      </c>
      <c r="F39" s="12">
        <f t="shared" si="4"/>
        <v>0.89653778503752979</v>
      </c>
      <c r="G39" s="13">
        <f t="shared" si="3"/>
        <v>4</v>
      </c>
    </row>
    <row r="40" spans="1:7" x14ac:dyDescent="0.25">
      <c r="A40" s="9" t="s">
        <v>40</v>
      </c>
      <c r="B40">
        <v>1</v>
      </c>
      <c r="C40">
        <v>1.732</v>
      </c>
      <c r="E40" t="s">
        <v>50</v>
      </c>
      <c r="F40" s="12">
        <f t="shared" si="4"/>
        <v>0.51760216382855273</v>
      </c>
      <c r="G40" s="13">
        <f t="shared" si="3"/>
        <v>2.3093378660304227</v>
      </c>
    </row>
    <row r="41" spans="1:7" x14ac:dyDescent="0.25">
      <c r="A41" s="9">
        <v>9</v>
      </c>
      <c r="B41">
        <v>1.3660000000000001</v>
      </c>
      <c r="C41">
        <v>1.3660000000000001</v>
      </c>
      <c r="E41" t="s">
        <v>47</v>
      </c>
      <c r="F41" s="12">
        <f t="shared" si="4"/>
        <v>0.51760216382855273</v>
      </c>
      <c r="G41" s="13">
        <f t="shared" si="3"/>
        <v>2.3093378660304227</v>
      </c>
    </row>
    <row r="42" spans="1:7" x14ac:dyDescent="0.25">
      <c r="A42" s="9" t="s">
        <v>40</v>
      </c>
      <c r="B42">
        <v>1</v>
      </c>
      <c r="C42">
        <v>1.732</v>
      </c>
      <c r="E42" t="s">
        <v>50</v>
      </c>
      <c r="F42" s="12">
        <f t="shared" si="4"/>
        <v>0.89653778503752979</v>
      </c>
      <c r="G42" s="13">
        <f t="shared" si="3"/>
        <v>4</v>
      </c>
    </row>
    <row r="43" spans="1:7" x14ac:dyDescent="0.25">
      <c r="A43" s="9" t="s">
        <v>39</v>
      </c>
      <c r="B43">
        <v>0.76800000000000002</v>
      </c>
      <c r="C43">
        <v>0.86599999999999999</v>
      </c>
      <c r="E43" t="s">
        <v>49</v>
      </c>
      <c r="F43" s="12">
        <f t="shared" si="4"/>
        <v>0.89653778503752979</v>
      </c>
      <c r="G43" s="13">
        <f t="shared" si="3"/>
        <v>4</v>
      </c>
    </row>
    <row r="44" spans="1:7" x14ac:dyDescent="0.25">
      <c r="A44" s="9" t="s">
        <v>38</v>
      </c>
      <c r="B44">
        <v>1</v>
      </c>
      <c r="C44">
        <v>0</v>
      </c>
      <c r="E44" t="s">
        <v>11</v>
      </c>
    </row>
    <row r="46" spans="1:7" x14ac:dyDescent="0.25">
      <c r="E46" s="9" t="s">
        <v>57</v>
      </c>
      <c r="F46" s="12">
        <f>F39+F43</f>
        <v>1.7930755700750596</v>
      </c>
      <c r="G46" s="13">
        <f>G39+G43</f>
        <v>8</v>
      </c>
    </row>
    <row r="47" spans="1:7" x14ac:dyDescent="0.25">
      <c r="E47" s="9" t="s">
        <v>58</v>
      </c>
      <c r="F47" s="12">
        <f>F38+F35</f>
        <v>1.1120507638151675</v>
      </c>
      <c r="G47" s="13">
        <f>G38+G35</f>
        <v>4.9615343931928813</v>
      </c>
    </row>
  </sheetData>
  <pageMargins left="0.25" right="0.25" top="0.25" bottom="0.25" header="0.3" footer="0.3"/>
  <pageSetup scale="6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opLeftCell="A16" zoomScale="110" zoomScaleNormal="110" workbookViewId="0">
      <selection activeCell="W23" sqref="W23"/>
    </sheetView>
  </sheetViews>
  <sheetFormatPr defaultRowHeight="15" x14ac:dyDescent="0.25"/>
  <cols>
    <col min="1" max="1" width="5.28515625" style="9" customWidth="1"/>
    <col min="2" max="5" width="7" customWidth="1"/>
    <col min="6" max="6" width="2" customWidth="1"/>
    <col min="7" max="7" width="15.28515625" customWidth="1"/>
    <col min="8" max="8" width="8.85546875" style="12" customWidth="1"/>
    <col min="9" max="9" width="2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3.28515625" style="9" customWidth="1"/>
  </cols>
  <sheetData>
    <row r="1" spans="1:14" s="15" customFormat="1" ht="36.75" customHeight="1" x14ac:dyDescent="0.25">
      <c r="A1" s="14" t="s">
        <v>53</v>
      </c>
      <c r="H1" s="16"/>
      <c r="I1" s="16"/>
      <c r="J1" s="66" t="s">
        <v>51</v>
      </c>
      <c r="K1" s="66"/>
      <c r="L1" s="66"/>
      <c r="M1" s="66"/>
      <c r="N1" s="66"/>
    </row>
    <row r="2" spans="1:14" x14ac:dyDescent="0.25">
      <c r="B2" s="9" t="s">
        <v>23</v>
      </c>
      <c r="C2" s="9" t="s">
        <v>24</v>
      </c>
      <c r="D2" s="9" t="s">
        <v>64</v>
      </c>
      <c r="E2" s="9" t="s">
        <v>65</v>
      </c>
      <c r="F2" s="9"/>
      <c r="G2" t="s">
        <v>55</v>
      </c>
      <c r="H2" s="11" t="s">
        <v>43</v>
      </c>
      <c r="I2" s="11"/>
      <c r="J2" s="13" t="s">
        <v>43</v>
      </c>
      <c r="K2" s="13" t="s">
        <v>23</v>
      </c>
      <c r="L2" s="13" t="s">
        <v>24</v>
      </c>
      <c r="M2" s="13" t="s">
        <v>71</v>
      </c>
      <c r="N2" s="13" t="s">
        <v>43</v>
      </c>
    </row>
    <row r="3" spans="1:14" x14ac:dyDescent="0.25">
      <c r="A3" s="10" t="s">
        <v>56</v>
      </c>
    </row>
    <row r="4" spans="1:14" x14ac:dyDescent="0.25">
      <c r="A4" s="9">
        <v>9</v>
      </c>
      <c r="B4">
        <v>1</v>
      </c>
      <c r="C4">
        <v>53</v>
      </c>
      <c r="D4" s="12">
        <f>B4+$H$21</f>
        <v>8</v>
      </c>
      <c r="E4" s="12">
        <f>C4+$H$22</f>
        <v>5</v>
      </c>
      <c r="G4" t="s">
        <v>47</v>
      </c>
      <c r="H4" s="12">
        <f>SQRT((B4-B5)^2+(C4-C5)^2)</f>
        <v>2.9196962341997179</v>
      </c>
      <c r="J4" s="13">
        <f>H4*$H$23</f>
        <v>12.972993281911217</v>
      </c>
      <c r="K4" s="18">
        <f t="shared" ref="K4:L7" si="0">D4*$H$23</f>
        <v>35.546145191277638</v>
      </c>
      <c r="L4" s="18">
        <f t="shared" si="0"/>
        <v>22.216340744548525</v>
      </c>
    </row>
    <row r="5" spans="1:14" x14ac:dyDescent="0.25">
      <c r="A5" s="9">
        <v>11</v>
      </c>
      <c r="B5">
        <v>-0.5423</v>
      </c>
      <c r="C5">
        <v>50.520899999999997</v>
      </c>
      <c r="D5" s="12">
        <f>B5+$H$21</f>
        <v>6.4577</v>
      </c>
      <c r="E5" s="12">
        <f>C5+$H$22</f>
        <v>2.5208999999999975</v>
      </c>
      <c r="G5" t="s">
        <v>46</v>
      </c>
      <c r="H5" s="12">
        <f>SQRT((B5-B6)^2+(C5-C6)^2)</f>
        <v>1.6150003405572404</v>
      </c>
      <c r="J5" s="13">
        <f>H5*$H$23</f>
        <v>7.1758795736763128</v>
      </c>
      <c r="K5" s="18">
        <f t="shared" si="0"/>
        <v>28.693292725214199</v>
      </c>
      <c r="L5" s="18">
        <f t="shared" si="0"/>
        <v>11.201034676586463</v>
      </c>
    </row>
    <row r="6" spans="1:14" x14ac:dyDescent="0.25">
      <c r="A6" s="9">
        <v>15</v>
      </c>
      <c r="B6">
        <v>1</v>
      </c>
      <c r="C6">
        <v>51</v>
      </c>
      <c r="D6" s="12">
        <f>B6+$H$21</f>
        <v>8</v>
      </c>
      <c r="E6" s="12">
        <f>C6+$H$22</f>
        <v>3</v>
      </c>
      <c r="G6" t="s">
        <v>44</v>
      </c>
      <c r="H6" s="12">
        <f>SQRT((B6-B7)^2+(C6-C7)^2)</f>
        <v>2</v>
      </c>
      <c r="J6" s="13">
        <f>H6*$H$23</f>
        <v>8.8865362978194096</v>
      </c>
      <c r="K6" s="18">
        <f t="shared" si="0"/>
        <v>35.546145191277638</v>
      </c>
      <c r="L6" s="18">
        <f t="shared" si="0"/>
        <v>13.329804446729113</v>
      </c>
    </row>
    <row r="7" spans="1:14" x14ac:dyDescent="0.25">
      <c r="A7" s="9">
        <v>9</v>
      </c>
      <c r="B7">
        <v>1</v>
      </c>
      <c r="C7">
        <v>53</v>
      </c>
      <c r="D7" s="12">
        <f>B7+$H$21</f>
        <v>8</v>
      </c>
      <c r="E7" s="12">
        <f>C7+$H$22</f>
        <v>5</v>
      </c>
      <c r="G7" t="s">
        <v>47</v>
      </c>
      <c r="K7" s="18">
        <f t="shared" si="0"/>
        <v>35.546145191277638</v>
      </c>
      <c r="L7" s="18">
        <f t="shared" si="0"/>
        <v>22.216340744548525</v>
      </c>
    </row>
    <row r="8" spans="1:14" s="18" customFormat="1" x14ac:dyDescent="0.25">
      <c r="A8" s="10" t="s">
        <v>41</v>
      </c>
      <c r="B8"/>
      <c r="C8"/>
      <c r="D8"/>
      <c r="E8"/>
      <c r="F8"/>
      <c r="G8"/>
      <c r="H8" s="12"/>
      <c r="I8" s="12"/>
      <c r="J8" s="13"/>
      <c r="M8" s="13"/>
    </row>
    <row r="9" spans="1:14" s="18" customFormat="1" x14ac:dyDescent="0.25">
      <c r="A9" s="9">
        <v>15</v>
      </c>
      <c r="B9">
        <v>1</v>
      </c>
      <c r="C9">
        <v>51</v>
      </c>
      <c r="D9" s="12">
        <f t="shared" ref="D9" si="1">B9+$H$21</f>
        <v>8</v>
      </c>
      <c r="E9" s="12">
        <f t="shared" ref="E9" si="2">C9+$H$22</f>
        <v>3</v>
      </c>
      <c r="F9"/>
      <c r="G9" t="s">
        <v>44</v>
      </c>
      <c r="H9" s="12">
        <f>SQRT((B9-B10)^2+(C9-C10)^2)</f>
        <v>0.90023826290599307</v>
      </c>
      <c r="I9" s="12"/>
      <c r="J9" s="13">
        <f t="shared" ref="J9:J18" si="3">H9*$H$23</f>
        <v>4</v>
      </c>
      <c r="K9" s="18">
        <f>D9*$H$23</f>
        <v>35.546145191277638</v>
      </c>
      <c r="L9" s="18">
        <f>E9*$H$23</f>
        <v>13.329804446729113</v>
      </c>
      <c r="M9" s="13" t="s">
        <v>68</v>
      </c>
      <c r="N9" s="18">
        <f>J9</f>
        <v>4</v>
      </c>
    </row>
    <row r="10" spans="1:14" s="18" customFormat="1" x14ac:dyDescent="0.25">
      <c r="A10" s="9" t="s">
        <v>28</v>
      </c>
      <c r="B10">
        <v>9.98E-2</v>
      </c>
      <c r="C10">
        <v>50.991700000000002</v>
      </c>
      <c r="D10" s="12">
        <f>B10+$H$21</f>
        <v>7.0998000000000001</v>
      </c>
      <c r="E10" s="12">
        <f>C10+$H$22</f>
        <v>2.9917000000000016</v>
      </c>
      <c r="F10"/>
      <c r="G10" t="s">
        <v>45</v>
      </c>
      <c r="H10" s="12">
        <f t="shared" ref="H10:H18" si="4">SQRT((B10-B11)^2+(C10-C11)^2)</f>
        <v>2.0995374442957657</v>
      </c>
      <c r="I10" s="12"/>
      <c r="J10" s="13">
        <f t="shared" si="3"/>
        <v>9.32880785368266</v>
      </c>
      <c r="K10" s="18">
        <f t="shared" ref="K10:K18" si="5">D10*$H$23</f>
        <v>31.546315203629124</v>
      </c>
      <c r="L10" s="18">
        <f t="shared" ref="L10:L18" si="6">E10*$H$23</f>
        <v>13.29292532109317</v>
      </c>
      <c r="M10" s="13"/>
    </row>
    <row r="11" spans="1:14" s="18" customFormat="1" x14ac:dyDescent="0.25">
      <c r="A11" s="9" t="s">
        <v>26</v>
      </c>
      <c r="B11">
        <v>-1.8819999999999999</v>
      </c>
      <c r="C11">
        <v>51.684899999999999</v>
      </c>
      <c r="D11" s="12">
        <f t="shared" ref="D11:D19" si="7">B11+$H$21</f>
        <v>5.1180000000000003</v>
      </c>
      <c r="E11" s="12">
        <f t="shared" ref="E11:E19" si="8">C11+$H$22</f>
        <v>3.684899999999999</v>
      </c>
      <c r="F11"/>
      <c r="G11" t="s">
        <v>48</v>
      </c>
      <c r="H11" s="12">
        <f t="shared" si="4"/>
        <v>1.7747371889944727</v>
      </c>
      <c r="I11" s="12"/>
      <c r="J11" s="13">
        <f t="shared" si="3"/>
        <v>7.8856332245446836</v>
      </c>
      <c r="K11" s="18">
        <f t="shared" si="5"/>
        <v>22.74064638611987</v>
      </c>
      <c r="L11" s="18">
        <f t="shared" si="6"/>
        <v>16.372998801917365</v>
      </c>
      <c r="M11" s="13"/>
    </row>
    <row r="12" spans="1:14" s="18" customFormat="1" x14ac:dyDescent="0.25">
      <c r="A12" s="9">
        <v>11</v>
      </c>
      <c r="B12">
        <v>-0.5423</v>
      </c>
      <c r="C12">
        <v>50.520899999999997</v>
      </c>
      <c r="D12" s="12">
        <f t="shared" si="7"/>
        <v>6.4577</v>
      </c>
      <c r="E12" s="12">
        <f t="shared" si="8"/>
        <v>2.5208999999999975</v>
      </c>
      <c r="F12"/>
      <c r="G12" t="s">
        <v>46</v>
      </c>
      <c r="H12" s="12">
        <f t="shared" si="4"/>
        <v>1.7747371889944727</v>
      </c>
      <c r="I12" s="12"/>
      <c r="J12" s="13">
        <f t="shared" si="3"/>
        <v>7.8856332245446836</v>
      </c>
      <c r="K12" s="18">
        <f t="shared" si="5"/>
        <v>28.693292725214199</v>
      </c>
      <c r="L12" s="18">
        <f t="shared" si="6"/>
        <v>11.201034676586463</v>
      </c>
      <c r="M12" s="13" t="s">
        <v>70</v>
      </c>
      <c r="N12" s="18">
        <f>J11</f>
        <v>7.8856332245446836</v>
      </c>
    </row>
    <row r="13" spans="1:14" s="18" customFormat="1" x14ac:dyDescent="0.25">
      <c r="A13" s="9" t="s">
        <v>26</v>
      </c>
      <c r="B13">
        <v>-1.8819999999999999</v>
      </c>
      <c r="C13">
        <v>51.684899999999999</v>
      </c>
      <c r="D13" s="12">
        <f t="shared" si="7"/>
        <v>5.1180000000000003</v>
      </c>
      <c r="E13" s="12">
        <f t="shared" si="8"/>
        <v>3.684899999999999</v>
      </c>
      <c r="F13"/>
      <c r="G13" t="s">
        <v>48</v>
      </c>
      <c r="H13" s="12">
        <f t="shared" si="4"/>
        <v>1.5105542327238712</v>
      </c>
      <c r="I13" s="12"/>
      <c r="J13" s="13">
        <f t="shared" si="3"/>
        <v>6.7117975094627145</v>
      </c>
      <c r="K13" s="18">
        <f t="shared" si="5"/>
        <v>22.74064638611987</v>
      </c>
      <c r="L13" s="18">
        <f t="shared" si="6"/>
        <v>16.372998801917365</v>
      </c>
      <c r="M13" s="13" t="s">
        <v>67</v>
      </c>
      <c r="N13" s="18">
        <f>J13+J10</f>
        <v>16.040605363145374</v>
      </c>
    </row>
    <row r="14" spans="1:14" s="18" customFormat="1" x14ac:dyDescent="0.25">
      <c r="A14" s="9" t="s">
        <v>31</v>
      </c>
      <c r="B14">
        <v>-3.3067000000000002</v>
      </c>
      <c r="C14">
        <v>52.186900000000001</v>
      </c>
      <c r="D14" s="12">
        <f t="shared" si="7"/>
        <v>3.6932999999999998</v>
      </c>
      <c r="E14" s="12">
        <f t="shared" si="8"/>
        <v>4.1869000000000014</v>
      </c>
      <c r="F14"/>
      <c r="G14" t="s">
        <v>49</v>
      </c>
      <c r="H14" s="12">
        <f t="shared" si="4"/>
        <v>2.3684167580896736</v>
      </c>
      <c r="I14" s="12"/>
      <c r="J14" s="13">
        <f t="shared" si="3"/>
        <v>10.523510744563827</v>
      </c>
      <c r="K14" s="18">
        <f t="shared" si="5"/>
        <v>16.410322254368211</v>
      </c>
      <c r="L14" s="18">
        <f t="shared" si="6"/>
        <v>18.60351941267005</v>
      </c>
      <c r="M14" s="13"/>
    </row>
    <row r="15" spans="1:14" s="18" customFormat="1" x14ac:dyDescent="0.25">
      <c r="A15" s="9" t="s">
        <v>33</v>
      </c>
      <c r="B15">
        <v>-1.768</v>
      </c>
      <c r="C15">
        <v>53.987400000000001</v>
      </c>
      <c r="D15" s="12">
        <f t="shared" si="7"/>
        <v>5.2320000000000002</v>
      </c>
      <c r="E15" s="12">
        <f t="shared" si="8"/>
        <v>5.9874000000000009</v>
      </c>
      <c r="F15"/>
      <c r="G15" t="s">
        <v>50</v>
      </c>
      <c r="H15" s="12">
        <f t="shared" si="4"/>
        <v>2.9388403767472639</v>
      </c>
      <c r="I15" s="12"/>
      <c r="J15" s="13">
        <f t="shared" si="3"/>
        <v>13.058055840730916</v>
      </c>
      <c r="K15" s="18">
        <f t="shared" si="5"/>
        <v>23.247178955095578</v>
      </c>
      <c r="L15" s="18">
        <f t="shared" si="6"/>
        <v>26.603623714781971</v>
      </c>
      <c r="M15" s="13" t="s">
        <v>69</v>
      </c>
      <c r="N15" s="18">
        <f>J15</f>
        <v>13.058055840730916</v>
      </c>
    </row>
    <row r="16" spans="1:14" s="18" customFormat="1" x14ac:dyDescent="0.25">
      <c r="A16" s="9">
        <v>9</v>
      </c>
      <c r="B16">
        <v>1</v>
      </c>
      <c r="C16">
        <v>53</v>
      </c>
      <c r="D16" s="12">
        <f t="shared" si="7"/>
        <v>8</v>
      </c>
      <c r="E16" s="12">
        <f t="shared" si="8"/>
        <v>5</v>
      </c>
      <c r="F16"/>
      <c r="G16" t="s">
        <v>47</v>
      </c>
      <c r="H16" s="12">
        <f t="shared" si="4"/>
        <v>2.9388403767472639</v>
      </c>
      <c r="I16" s="12"/>
      <c r="J16" s="13">
        <f t="shared" si="3"/>
        <v>13.058055840730916</v>
      </c>
      <c r="K16" s="18">
        <f t="shared" si="5"/>
        <v>35.546145191277638</v>
      </c>
      <c r="L16" s="18">
        <f t="shared" si="6"/>
        <v>22.216340744548525</v>
      </c>
      <c r="M16" s="13"/>
    </row>
    <row r="17" spans="1:14" s="18" customFormat="1" x14ac:dyDescent="0.25">
      <c r="A17" s="9" t="s">
        <v>33</v>
      </c>
      <c r="B17">
        <v>-1.768</v>
      </c>
      <c r="C17">
        <v>53.987400000000001</v>
      </c>
      <c r="D17" s="12">
        <f t="shared" si="7"/>
        <v>5.2320000000000002</v>
      </c>
      <c r="E17" s="12">
        <f t="shared" si="8"/>
        <v>5.9874000000000009</v>
      </c>
      <c r="F17"/>
      <c r="G17" t="s">
        <v>50</v>
      </c>
      <c r="H17" s="12">
        <f t="shared" si="4"/>
        <v>2.3684167580896736</v>
      </c>
      <c r="I17" s="12"/>
      <c r="J17" s="13">
        <f t="shared" si="3"/>
        <v>10.523510744563827</v>
      </c>
      <c r="K17" s="18">
        <f t="shared" si="5"/>
        <v>23.247178955095578</v>
      </c>
      <c r="L17" s="18">
        <f t="shared" si="6"/>
        <v>26.603623714781971</v>
      </c>
      <c r="M17" s="13" t="s">
        <v>66</v>
      </c>
      <c r="N17" s="18">
        <f>J17+J18</f>
        <v>31.575310825290977</v>
      </c>
    </row>
    <row r="18" spans="1:14" s="18" customFormat="1" x14ac:dyDescent="0.25">
      <c r="A18" s="9" t="s">
        <v>31</v>
      </c>
      <c r="B18">
        <v>-3.3067000000000002</v>
      </c>
      <c r="C18">
        <v>52.186900000000001</v>
      </c>
      <c r="D18" s="12">
        <f t="shared" si="7"/>
        <v>3.6932999999999998</v>
      </c>
      <c r="E18" s="12">
        <f t="shared" si="8"/>
        <v>4.1869000000000014</v>
      </c>
      <c r="F18"/>
      <c r="G18" t="s">
        <v>49</v>
      </c>
      <c r="H18" s="12">
        <f t="shared" si="4"/>
        <v>4.737908983929513</v>
      </c>
      <c r="I18" s="12"/>
      <c r="J18" s="13">
        <f t="shared" si="3"/>
        <v>21.051800080727148</v>
      </c>
      <c r="K18" s="18">
        <f t="shared" si="5"/>
        <v>16.410322254368211</v>
      </c>
      <c r="L18" s="18">
        <f t="shared" si="6"/>
        <v>18.60351941267005</v>
      </c>
      <c r="M18" s="13"/>
    </row>
    <row r="19" spans="1:14" s="18" customFormat="1" x14ac:dyDescent="0.25">
      <c r="A19" s="9" t="s">
        <v>30</v>
      </c>
      <c r="B19">
        <v>-6.3840000000000003</v>
      </c>
      <c r="C19">
        <v>48.584400000000002</v>
      </c>
      <c r="D19" s="12">
        <f t="shared" si="7"/>
        <v>0.61599999999999966</v>
      </c>
      <c r="E19" s="12">
        <f t="shared" si="8"/>
        <v>0.58440000000000225</v>
      </c>
      <c r="F19"/>
      <c r="G19" t="s">
        <v>11</v>
      </c>
      <c r="H19" s="12"/>
      <c r="I19" s="12"/>
      <c r="J19" s="13"/>
      <c r="K19" s="18">
        <f t="shared" ref="K19" si="9">D19*$H$23</f>
        <v>2.7370531797283766</v>
      </c>
      <c r="L19" s="18">
        <f t="shared" ref="L19" si="10">E19*$H$23</f>
        <v>2.5966459062228413</v>
      </c>
      <c r="M19" s="13"/>
    </row>
    <row r="20" spans="1:14" s="18" customFormat="1" x14ac:dyDescent="0.25">
      <c r="A20" s="9"/>
      <c r="B20"/>
      <c r="C20"/>
      <c r="D20"/>
      <c r="E20"/>
      <c r="F20"/>
      <c r="G20" s="9" t="s">
        <v>58</v>
      </c>
      <c r="H20" s="12">
        <f>H14+H18</f>
        <v>7.1063257420191865</v>
      </c>
      <c r="I20" s="12"/>
      <c r="J20" s="13">
        <f>H20*H23</f>
        <v>31.575310825290977</v>
      </c>
      <c r="M20" s="13"/>
    </row>
    <row r="21" spans="1:14" x14ac:dyDescent="0.25">
      <c r="G21" s="9" t="s">
        <v>61</v>
      </c>
      <c r="H21" s="12">
        <v>7</v>
      </c>
    </row>
    <row r="22" spans="1:14" x14ac:dyDescent="0.25">
      <c r="G22" s="9" t="s">
        <v>63</v>
      </c>
      <c r="H22" s="12">
        <v>-48</v>
      </c>
    </row>
    <row r="23" spans="1:14" x14ac:dyDescent="0.25">
      <c r="G23" s="9" t="s">
        <v>62</v>
      </c>
      <c r="H23" s="18">
        <f>4/H9</f>
        <v>4.4432681489097048</v>
      </c>
      <c r="I23" s="18"/>
    </row>
  </sheetData>
  <mergeCells count="1">
    <mergeCell ref="J1:N1"/>
  </mergeCells>
  <pageMargins left="0.25" right="0.25" top="0" bottom="0" header="0.3" footer="0.3"/>
  <pageSetup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8"/>
  <sheetViews>
    <sheetView zoomScaleNormal="100" workbookViewId="0">
      <selection activeCell="Z10" sqref="Z10"/>
    </sheetView>
  </sheetViews>
  <sheetFormatPr defaultRowHeight="15" x14ac:dyDescent="0.25"/>
  <cols>
    <col min="1" max="1" width="5.28515625" style="9" customWidth="1"/>
    <col min="2" max="2" width="7.7109375" style="12" customWidth="1"/>
    <col min="3" max="3" width="8.7109375" style="12" customWidth="1"/>
    <col min="4" max="5" width="7" customWidth="1"/>
    <col min="6" max="6" width="2" customWidth="1"/>
    <col min="7" max="7" width="18.42578125" customWidth="1"/>
    <col min="8" max="8" width="8.85546875" style="12" customWidth="1"/>
    <col min="9" max="9" width="6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8.140625" style="9" customWidth="1"/>
    <col min="14" max="14" width="8.140625" customWidth="1"/>
    <col min="15" max="15" width="7.140625" customWidth="1"/>
    <col min="16" max="16" width="8.5703125" style="31" customWidth="1"/>
    <col min="17" max="17" width="6.28515625" style="31" customWidth="1"/>
    <col min="18" max="18" width="8" style="31" customWidth="1"/>
  </cols>
  <sheetData>
    <row r="1" spans="1:18" s="15" customFormat="1" ht="63" customHeight="1" x14ac:dyDescent="0.25">
      <c r="A1" s="28" t="s">
        <v>53</v>
      </c>
      <c r="B1" s="16"/>
      <c r="C1" s="16"/>
      <c r="E1" s="27" t="s">
        <v>88</v>
      </c>
      <c r="H1" s="16"/>
      <c r="I1" s="16"/>
      <c r="J1" s="66" t="s">
        <v>95</v>
      </c>
      <c r="K1" s="66"/>
      <c r="L1" s="66"/>
      <c r="M1" s="22"/>
      <c r="N1" s="25"/>
      <c r="O1" s="25"/>
      <c r="P1" s="67" t="s">
        <v>102</v>
      </c>
      <c r="Q1" s="67"/>
      <c r="R1" s="67"/>
    </row>
    <row r="2" spans="1:18" s="20" customFormat="1" ht="15.75" x14ac:dyDescent="0.25">
      <c r="A2" s="19"/>
      <c r="B2" s="21" t="s">
        <v>23</v>
      </c>
      <c r="C2" s="21" t="s">
        <v>24</v>
      </c>
      <c r="D2" s="19" t="s">
        <v>64</v>
      </c>
      <c r="E2" s="19" t="s">
        <v>65</v>
      </c>
      <c r="F2" s="19"/>
      <c r="G2" s="20" t="s">
        <v>55</v>
      </c>
      <c r="H2" s="21" t="s">
        <v>43</v>
      </c>
      <c r="I2" s="21"/>
      <c r="J2" s="22" t="s">
        <v>43</v>
      </c>
      <c r="K2" s="22" t="s">
        <v>23</v>
      </c>
      <c r="L2" s="22" t="s">
        <v>24</v>
      </c>
      <c r="M2" s="22" t="s">
        <v>86</v>
      </c>
      <c r="N2" s="22" t="s">
        <v>43</v>
      </c>
      <c r="O2" s="22" t="s">
        <v>89</v>
      </c>
      <c r="P2" s="29" t="s">
        <v>96</v>
      </c>
      <c r="Q2" s="29" t="s">
        <v>89</v>
      </c>
      <c r="R2" s="29" t="s">
        <v>97</v>
      </c>
    </row>
    <row r="3" spans="1:18" s="20" customFormat="1" ht="15.75" x14ac:dyDescent="0.25">
      <c r="A3" s="23" t="s">
        <v>85</v>
      </c>
      <c r="B3" s="24"/>
      <c r="C3" s="24"/>
      <c r="H3" s="24"/>
      <c r="I3" s="24"/>
      <c r="J3" s="22"/>
      <c r="K3" s="25"/>
      <c r="L3" s="25"/>
      <c r="M3" s="19"/>
      <c r="P3" s="29"/>
      <c r="Q3" s="29"/>
      <c r="R3" s="29"/>
    </row>
    <row r="4" spans="1:18" s="20" customFormat="1" ht="15.75" x14ac:dyDescent="0.25">
      <c r="A4" s="19"/>
      <c r="B4" s="26">
        <v>1</v>
      </c>
      <c r="C4" s="26">
        <v>53</v>
      </c>
      <c r="D4" s="24">
        <f t="shared" ref="D4:D9" si="0">B4+$H$23</f>
        <v>7</v>
      </c>
      <c r="E4" s="24">
        <f t="shared" ref="E4:E9" si="1">C4+$H$24</f>
        <v>5</v>
      </c>
      <c r="G4" s="20" t="s">
        <v>47</v>
      </c>
      <c r="H4" s="24">
        <f>SQRT((B4-B5)^2+(C4-C5)^2)</f>
        <v>2.9374630704061628</v>
      </c>
      <c r="I4" s="24"/>
      <c r="J4" s="22">
        <f>H4*$H$25</f>
        <v>12.85541825123045</v>
      </c>
      <c r="K4" s="25">
        <f t="shared" ref="K4:L6" si="2">D4*$H$25</f>
        <v>30.634573304157499</v>
      </c>
      <c r="L4" s="25">
        <f t="shared" si="2"/>
        <v>21.88183807439821</v>
      </c>
      <c r="M4" s="19" t="s">
        <v>98</v>
      </c>
      <c r="N4" s="25">
        <f>J4</f>
        <v>12.85541825123045</v>
      </c>
      <c r="P4" s="29" t="s">
        <v>99</v>
      </c>
      <c r="Q4" s="29"/>
      <c r="R4" s="29" t="s">
        <v>99</v>
      </c>
    </row>
    <row r="5" spans="1:18" s="20" customFormat="1" ht="15.75" x14ac:dyDescent="0.25">
      <c r="A5" s="19"/>
      <c r="B5" s="26">
        <v>-0.5423</v>
      </c>
      <c r="C5" s="26">
        <v>50.5</v>
      </c>
      <c r="D5" s="24">
        <f t="shared" si="0"/>
        <v>5.4577</v>
      </c>
      <c r="E5" s="24">
        <f t="shared" si="1"/>
        <v>2.5</v>
      </c>
      <c r="G5" s="20" t="s">
        <v>72</v>
      </c>
      <c r="H5" s="24">
        <f t="shared" ref="H5:H8" si="3">SQRT((B5-B6)^2+(C5-C6)^2)</f>
        <v>1.621323314456435</v>
      </c>
      <c r="I5" s="24"/>
      <c r="J5" s="22">
        <f>H5*$H$25</f>
        <v>7.0955068466364644</v>
      </c>
      <c r="K5" s="25">
        <f t="shared" si="2"/>
        <v>23.884901531728623</v>
      </c>
      <c r="L5" s="25">
        <f t="shared" si="2"/>
        <v>10.940919037199105</v>
      </c>
      <c r="M5" s="19"/>
      <c r="P5" s="29"/>
      <c r="Q5" s="29"/>
      <c r="R5" s="29"/>
    </row>
    <row r="6" spans="1:18" s="20" customFormat="1" ht="15.75" x14ac:dyDescent="0.25">
      <c r="A6" s="19"/>
      <c r="B6" s="26">
        <v>1</v>
      </c>
      <c r="C6" s="26">
        <v>51</v>
      </c>
      <c r="D6" s="24">
        <f t="shared" si="0"/>
        <v>7</v>
      </c>
      <c r="E6" s="24">
        <f t="shared" si="1"/>
        <v>3</v>
      </c>
      <c r="G6" s="20" t="s">
        <v>44</v>
      </c>
      <c r="H6" s="24">
        <f t="shared" si="3"/>
        <v>1.621323314456435</v>
      </c>
      <c r="I6" s="24"/>
      <c r="J6" s="22">
        <f>H6*$H$25</f>
        <v>7.0955068466364644</v>
      </c>
      <c r="K6" s="25">
        <f t="shared" si="2"/>
        <v>30.634573304157499</v>
      </c>
      <c r="L6" s="25">
        <f t="shared" si="2"/>
        <v>13.129102844638927</v>
      </c>
      <c r="M6" s="19" t="s">
        <v>100</v>
      </c>
      <c r="N6" s="25">
        <f>J6</f>
        <v>7.0955068466364644</v>
      </c>
      <c r="P6" s="29" t="s">
        <v>99</v>
      </c>
      <c r="Q6" s="29"/>
      <c r="R6" s="29" t="s">
        <v>92</v>
      </c>
    </row>
    <row r="7" spans="1:18" s="20" customFormat="1" ht="15.75" x14ac:dyDescent="0.25">
      <c r="A7" s="19"/>
      <c r="B7" s="24">
        <f>B6-B5+B6</f>
        <v>2.5423</v>
      </c>
      <c r="C7" s="24">
        <f>C5</f>
        <v>50.5</v>
      </c>
      <c r="D7" s="24">
        <f t="shared" si="0"/>
        <v>8.5423000000000009</v>
      </c>
      <c r="E7" s="24">
        <f t="shared" si="1"/>
        <v>2.5</v>
      </c>
      <c r="G7" s="20" t="s">
        <v>73</v>
      </c>
      <c r="H7" s="24">
        <f t="shared" si="3"/>
        <v>2.9374630704061628</v>
      </c>
      <c r="I7" s="24"/>
      <c r="J7" s="22">
        <f t="shared" ref="J7:J8" si="4">H7*$H$25</f>
        <v>12.85541825123045</v>
      </c>
      <c r="K7" s="25">
        <f t="shared" ref="K7:K9" si="5">D7*$H$25</f>
        <v>37.384245076586375</v>
      </c>
      <c r="L7" s="25">
        <f t="shared" ref="L7:L9" si="6">E7*$H$25</f>
        <v>10.940919037199105</v>
      </c>
      <c r="M7" s="19"/>
      <c r="P7" s="29"/>
      <c r="Q7" s="29"/>
      <c r="R7" s="29"/>
    </row>
    <row r="8" spans="1:18" s="20" customFormat="1" ht="15.75" x14ac:dyDescent="0.25">
      <c r="A8" s="19"/>
      <c r="B8" s="24">
        <f>B4</f>
        <v>1</v>
      </c>
      <c r="C8" s="24">
        <f>C4</f>
        <v>53</v>
      </c>
      <c r="D8" s="24">
        <f t="shared" si="0"/>
        <v>7</v>
      </c>
      <c r="E8" s="24">
        <f t="shared" si="1"/>
        <v>5</v>
      </c>
      <c r="G8" s="20" t="s">
        <v>47</v>
      </c>
      <c r="H8" s="24">
        <f t="shared" si="3"/>
        <v>2</v>
      </c>
      <c r="I8" s="24"/>
      <c r="J8" s="22">
        <f t="shared" si="4"/>
        <v>8.7527352297592849</v>
      </c>
      <c r="K8" s="25">
        <f t="shared" si="5"/>
        <v>30.634573304157499</v>
      </c>
      <c r="L8" s="25">
        <f t="shared" si="6"/>
        <v>21.88183807439821</v>
      </c>
      <c r="M8" s="19" t="s">
        <v>101</v>
      </c>
      <c r="N8" s="25">
        <f>J8</f>
        <v>8.7527352297592849</v>
      </c>
      <c r="P8" s="29" t="s">
        <v>99</v>
      </c>
      <c r="Q8" s="29"/>
      <c r="R8" s="29" t="s">
        <v>92</v>
      </c>
    </row>
    <row r="9" spans="1:18" s="20" customFormat="1" ht="15.75" x14ac:dyDescent="0.25">
      <c r="A9" s="19"/>
      <c r="B9" s="24">
        <f>B6</f>
        <v>1</v>
      </c>
      <c r="C9" s="24">
        <f>C6</f>
        <v>51</v>
      </c>
      <c r="D9" s="24">
        <f t="shared" si="0"/>
        <v>7</v>
      </c>
      <c r="E9" s="24">
        <f t="shared" si="1"/>
        <v>3</v>
      </c>
      <c r="G9" s="20" t="s">
        <v>44</v>
      </c>
      <c r="H9" s="24"/>
      <c r="I9" s="24"/>
      <c r="J9" s="22"/>
      <c r="K9" s="25">
        <f t="shared" si="5"/>
        <v>30.634573304157499</v>
      </c>
      <c r="L9" s="25">
        <f t="shared" si="6"/>
        <v>13.129102844638927</v>
      </c>
      <c r="M9" s="19"/>
      <c r="P9" s="29"/>
      <c r="Q9" s="29"/>
      <c r="R9" s="29"/>
    </row>
    <row r="10" spans="1:18" s="25" customFormat="1" ht="15.75" x14ac:dyDescent="0.25">
      <c r="A10" s="23" t="s">
        <v>77</v>
      </c>
      <c r="B10" s="24"/>
      <c r="C10" s="24"/>
      <c r="D10" s="20"/>
      <c r="E10" s="20"/>
      <c r="F10" s="20"/>
      <c r="G10" s="20"/>
      <c r="H10" s="24"/>
      <c r="I10" s="24"/>
      <c r="J10" s="22"/>
      <c r="M10" s="22"/>
      <c r="P10" s="30"/>
      <c r="Q10" s="30"/>
      <c r="R10" s="30"/>
    </row>
    <row r="11" spans="1:18" s="25" customFormat="1" ht="15.75" x14ac:dyDescent="0.25">
      <c r="A11" s="19"/>
      <c r="B11" s="24">
        <f>B6</f>
        <v>1</v>
      </c>
      <c r="C11" s="24">
        <f>C6</f>
        <v>51</v>
      </c>
      <c r="D11" s="24">
        <f t="shared" ref="D11" si="7">B11+$H$23</f>
        <v>7</v>
      </c>
      <c r="E11" s="24">
        <f t="shared" ref="E11" si="8">C11+$H$24</f>
        <v>3</v>
      </c>
      <c r="F11" s="20"/>
      <c r="G11" s="20" t="s">
        <v>44</v>
      </c>
      <c r="H11" s="24">
        <f>SQRT((B11-B12)^2+(C11-C12)^2)</f>
        <v>0.91400000000000148</v>
      </c>
      <c r="I11" s="24"/>
      <c r="J11" s="22">
        <f t="shared" ref="J11:J20" si="9">H11*$H$25</f>
        <v>3.9999999999999996</v>
      </c>
      <c r="K11" s="25">
        <f>D11*$H$25</f>
        <v>30.634573304157499</v>
      </c>
      <c r="L11" s="25">
        <f>E11*$H$25</f>
        <v>13.129102844638927</v>
      </c>
    </row>
    <row r="12" spans="1:18" s="25" customFormat="1" ht="15.75" x14ac:dyDescent="0.25">
      <c r="A12" s="19"/>
      <c r="B12" s="26">
        <v>1</v>
      </c>
      <c r="C12" s="26">
        <v>51.914000000000001</v>
      </c>
      <c r="D12" s="24">
        <f>B12+$H$23</f>
        <v>7</v>
      </c>
      <c r="E12" s="24">
        <f>C12+$H$24</f>
        <v>3.9140000000000015</v>
      </c>
      <c r="F12" s="20"/>
      <c r="G12" s="20" t="s">
        <v>29</v>
      </c>
      <c r="H12" s="24">
        <f t="shared" ref="H12:H20" si="10">SQRT((B12-B13)^2+(C12-C13)^2)</f>
        <v>2.0858992353419188</v>
      </c>
      <c r="I12" s="24"/>
      <c r="J12" s="22">
        <f t="shared" si="9"/>
        <v>9.1286618614525832</v>
      </c>
      <c r="K12" s="25">
        <f t="shared" ref="K12:L21" si="11">D12*$H$25</f>
        <v>30.634573304157499</v>
      </c>
      <c r="L12" s="25">
        <f t="shared" si="11"/>
        <v>17.129102844638926</v>
      </c>
    </row>
    <row r="13" spans="1:18" s="25" customFormat="1" ht="15.75" x14ac:dyDescent="0.25">
      <c r="A13" s="19"/>
      <c r="B13" s="26">
        <v>-1.0629</v>
      </c>
      <c r="C13" s="26">
        <v>52.222900000000003</v>
      </c>
      <c r="D13" s="24">
        <f t="shared" ref="D13:D21" si="12">B13+$H$23</f>
        <v>4.9371</v>
      </c>
      <c r="E13" s="24">
        <f t="shared" ref="E13:E21" si="13">C13+$H$24</f>
        <v>4.2229000000000028</v>
      </c>
      <c r="F13" s="20"/>
      <c r="G13" s="20" t="s">
        <v>74</v>
      </c>
      <c r="H13" s="24">
        <f t="shared" si="10"/>
        <v>1.7998357619516314</v>
      </c>
      <c r="I13" s="24"/>
      <c r="J13" s="22">
        <f t="shared" si="9"/>
        <v>7.876742940707345</v>
      </c>
      <c r="K13" s="25">
        <f t="shared" si="11"/>
        <v>21.606564551422284</v>
      </c>
      <c r="L13" s="25">
        <f t="shared" si="11"/>
        <v>18.480962800875254</v>
      </c>
      <c r="M13" s="22"/>
      <c r="P13" s="30"/>
      <c r="Q13" s="30"/>
      <c r="R13" s="30"/>
    </row>
    <row r="14" spans="1:18" s="25" customFormat="1" ht="15.75" x14ac:dyDescent="0.25">
      <c r="A14" s="19"/>
      <c r="B14" s="32">
        <f>B5</f>
        <v>-0.5423</v>
      </c>
      <c r="C14" s="32">
        <f>C5</f>
        <v>50.5</v>
      </c>
      <c r="D14" s="24">
        <f t="shared" si="12"/>
        <v>5.4577</v>
      </c>
      <c r="E14" s="24">
        <f t="shared" si="13"/>
        <v>2.5</v>
      </c>
      <c r="F14" s="20"/>
      <c r="G14" s="20" t="s">
        <v>72</v>
      </c>
      <c r="H14" s="24">
        <f t="shared" si="10"/>
        <v>1.7998357619516314</v>
      </c>
      <c r="I14" s="24"/>
      <c r="J14" s="22">
        <f t="shared" si="9"/>
        <v>7.876742940707345</v>
      </c>
      <c r="K14" s="25">
        <f t="shared" si="11"/>
        <v>23.884901531728623</v>
      </c>
      <c r="L14" s="25">
        <f t="shared" si="11"/>
        <v>10.940919037199105</v>
      </c>
      <c r="M14" s="22" t="s">
        <v>70</v>
      </c>
      <c r="N14" s="25">
        <f>J13</f>
        <v>7.876742940707345</v>
      </c>
      <c r="P14" s="30" t="s">
        <v>90</v>
      </c>
      <c r="Q14" s="30" t="s">
        <v>91</v>
      </c>
      <c r="R14" s="30" t="s">
        <v>92</v>
      </c>
    </row>
    <row r="15" spans="1:18" s="25" customFormat="1" ht="15.75" x14ac:dyDescent="0.25">
      <c r="A15" s="19"/>
      <c r="B15" s="24">
        <f>B13</f>
        <v>-1.0629</v>
      </c>
      <c r="C15" s="24">
        <f>C13</f>
        <v>52.222900000000003</v>
      </c>
      <c r="D15" s="24">
        <f t="shared" si="12"/>
        <v>4.9371</v>
      </c>
      <c r="E15" s="24">
        <f t="shared" si="13"/>
        <v>4.2229000000000028</v>
      </c>
      <c r="F15" s="20"/>
      <c r="G15" s="20" t="s">
        <v>74</v>
      </c>
      <c r="H15" s="24">
        <f t="shared" si="10"/>
        <v>1.6711936153540077</v>
      </c>
      <c r="I15" s="24"/>
      <c r="J15" s="22">
        <f t="shared" si="9"/>
        <v>7.3137576164289051</v>
      </c>
      <c r="K15" s="25">
        <f t="shared" si="11"/>
        <v>21.606564551422284</v>
      </c>
      <c r="L15" s="25">
        <f t="shared" si="11"/>
        <v>18.480962800875254</v>
      </c>
      <c r="M15" s="22" t="s">
        <v>93</v>
      </c>
      <c r="N15" s="25">
        <f>J15+J12</f>
        <v>16.442419477881487</v>
      </c>
      <c r="O15" s="25">
        <f>J15</f>
        <v>7.3137576164289051</v>
      </c>
      <c r="P15" s="30" t="s">
        <v>90</v>
      </c>
      <c r="Q15" s="30" t="s">
        <v>90</v>
      </c>
      <c r="R15" s="30" t="s">
        <v>92</v>
      </c>
    </row>
    <row r="16" spans="1:18" s="25" customFormat="1" ht="15.75" x14ac:dyDescent="0.25">
      <c r="A16" s="19"/>
      <c r="B16" s="26">
        <v>-2.7162000000000002</v>
      </c>
      <c r="C16" s="26">
        <v>52.466799999999999</v>
      </c>
      <c r="D16" s="24">
        <f t="shared" si="12"/>
        <v>3.2837999999999998</v>
      </c>
      <c r="E16" s="24">
        <f t="shared" si="13"/>
        <v>4.4667999999999992</v>
      </c>
      <c r="F16" s="20"/>
      <c r="G16" s="20" t="s">
        <v>75</v>
      </c>
      <c r="H16" s="24">
        <f t="shared" si="10"/>
        <v>2.3620070533340916</v>
      </c>
      <c r="I16" s="24"/>
      <c r="J16" s="22">
        <f t="shared" si="9"/>
        <v>10.337011174328611</v>
      </c>
      <c r="K16" s="25">
        <f t="shared" si="11"/>
        <v>14.37111597374177</v>
      </c>
      <c r="L16" s="25">
        <f t="shared" si="11"/>
        <v>19.548358862144383</v>
      </c>
      <c r="M16" s="22"/>
      <c r="P16" s="30"/>
      <c r="Q16" s="30"/>
      <c r="R16" s="30"/>
    </row>
    <row r="17" spans="1:18" s="25" customFormat="1" ht="15.75" x14ac:dyDescent="0.25">
      <c r="A17" s="19"/>
      <c r="B17" s="26">
        <v>-1.6188</v>
      </c>
      <c r="C17" s="26">
        <v>54.558399999999999</v>
      </c>
      <c r="D17" s="24">
        <f t="shared" si="12"/>
        <v>4.3811999999999998</v>
      </c>
      <c r="E17" s="24">
        <f t="shared" si="13"/>
        <v>6.5583999999999989</v>
      </c>
      <c r="F17" s="20"/>
      <c r="G17" s="20" t="s">
        <v>76</v>
      </c>
      <c r="H17" s="24">
        <f t="shared" si="10"/>
        <v>3.047412673072027</v>
      </c>
      <c r="I17" s="24"/>
      <c r="J17" s="22">
        <f t="shared" si="9"/>
        <v>13.336598131606223</v>
      </c>
      <c r="K17" s="25">
        <f t="shared" si="11"/>
        <v>19.17374179431069</v>
      </c>
      <c r="L17" s="25">
        <f t="shared" si="11"/>
        <v>28.701969365426642</v>
      </c>
      <c r="M17" s="22" t="s">
        <v>69</v>
      </c>
      <c r="N17" s="25">
        <f>J17</f>
        <v>13.336598131606223</v>
      </c>
      <c r="P17" s="30" t="s">
        <v>90</v>
      </c>
      <c r="Q17" s="30" t="s">
        <v>91</v>
      </c>
      <c r="R17" s="30" t="s">
        <v>92</v>
      </c>
    </row>
    <row r="18" spans="1:18" s="25" customFormat="1" ht="15.75" x14ac:dyDescent="0.25">
      <c r="A18" s="19"/>
      <c r="B18" s="24">
        <f>B4</f>
        <v>1</v>
      </c>
      <c r="C18" s="24">
        <f>C4</f>
        <v>53</v>
      </c>
      <c r="D18" s="24">
        <f t="shared" si="12"/>
        <v>7</v>
      </c>
      <c r="E18" s="24">
        <f t="shared" si="13"/>
        <v>5</v>
      </c>
      <c r="F18" s="20"/>
      <c r="G18" s="20" t="s">
        <v>47</v>
      </c>
      <c r="H18" s="24">
        <f t="shared" si="10"/>
        <v>3.047412673072027</v>
      </c>
      <c r="I18" s="24"/>
      <c r="J18" s="22">
        <f t="shared" si="9"/>
        <v>13.336598131606223</v>
      </c>
      <c r="K18" s="25">
        <f t="shared" si="11"/>
        <v>30.634573304157499</v>
      </c>
      <c r="L18" s="25">
        <f t="shared" si="11"/>
        <v>21.88183807439821</v>
      </c>
      <c r="M18" s="22"/>
      <c r="P18" s="30"/>
      <c r="Q18" s="30"/>
      <c r="R18" s="30"/>
    </row>
    <row r="19" spans="1:18" s="25" customFormat="1" ht="15.75" x14ac:dyDescent="0.25">
      <c r="A19" s="19"/>
      <c r="B19" s="24">
        <f>B17</f>
        <v>-1.6188</v>
      </c>
      <c r="C19" s="24">
        <f>C17</f>
        <v>54.558399999999999</v>
      </c>
      <c r="D19" s="24">
        <f t="shared" ref="D19:D20" si="14">B19+$H$23</f>
        <v>4.3811999999999998</v>
      </c>
      <c r="E19" s="24">
        <f t="shared" ref="E19:E20" si="15">C19+$H$24</f>
        <v>6.5583999999999989</v>
      </c>
      <c r="F19" s="20"/>
      <c r="G19" s="20" t="s">
        <v>76</v>
      </c>
      <c r="H19" s="24">
        <f t="shared" si="10"/>
        <v>2.3620070533340916</v>
      </c>
      <c r="I19" s="24"/>
      <c r="J19" s="22">
        <f t="shared" si="9"/>
        <v>10.337011174328611</v>
      </c>
      <c r="K19" s="25">
        <f t="shared" si="11"/>
        <v>19.17374179431069</v>
      </c>
      <c r="L19" s="25">
        <f t="shared" si="11"/>
        <v>28.701969365426642</v>
      </c>
      <c r="M19" s="22" t="s">
        <v>87</v>
      </c>
      <c r="N19" s="25">
        <f>J19+J20</f>
        <v>31.827511387983066</v>
      </c>
      <c r="O19" s="25">
        <f>J19</f>
        <v>10.337011174328611</v>
      </c>
      <c r="P19" s="30" t="s">
        <v>90</v>
      </c>
      <c r="Q19" s="30" t="s">
        <v>90</v>
      </c>
      <c r="R19" s="30" t="s">
        <v>94</v>
      </c>
    </row>
    <row r="20" spans="1:18" s="25" customFormat="1" ht="15.75" x14ac:dyDescent="0.25">
      <c r="A20" s="19"/>
      <c r="B20" s="24">
        <f>B16</f>
        <v>-2.7162000000000002</v>
      </c>
      <c r="C20" s="24">
        <f>C16</f>
        <v>52.466799999999999</v>
      </c>
      <c r="D20" s="24">
        <f t="shared" si="14"/>
        <v>3.2837999999999998</v>
      </c>
      <c r="E20" s="24">
        <f t="shared" si="15"/>
        <v>4.4667999999999992</v>
      </c>
      <c r="F20" s="20"/>
      <c r="G20" s="20" t="s">
        <v>75</v>
      </c>
      <c r="H20" s="24">
        <f t="shared" si="10"/>
        <v>4.9105792988200507</v>
      </c>
      <c r="I20" s="24"/>
      <c r="J20" s="22">
        <f t="shared" si="9"/>
        <v>21.490500213654453</v>
      </c>
      <c r="K20" s="25">
        <f t="shared" si="11"/>
        <v>14.37111597374177</v>
      </c>
      <c r="L20" s="25">
        <f t="shared" si="11"/>
        <v>19.548358862144383</v>
      </c>
      <c r="M20" s="22"/>
      <c r="P20" s="30"/>
      <c r="Q20" s="30"/>
      <c r="R20" s="30"/>
    </row>
    <row r="21" spans="1:18" s="25" customFormat="1" ht="15.75" x14ac:dyDescent="0.25">
      <c r="A21" s="19"/>
      <c r="B21" s="26">
        <v>-5.0015000000000001</v>
      </c>
      <c r="C21" s="26">
        <v>48.120399999999997</v>
      </c>
      <c r="D21" s="24">
        <f t="shared" si="12"/>
        <v>0.99849999999999994</v>
      </c>
      <c r="E21" s="24">
        <f t="shared" si="13"/>
        <v>0.12039999999999651</v>
      </c>
      <c r="F21" s="20"/>
      <c r="G21" s="20" t="s">
        <v>82</v>
      </c>
      <c r="H21" s="24"/>
      <c r="I21" s="24"/>
      <c r="J21" s="22"/>
      <c r="K21" s="25">
        <f t="shared" si="11"/>
        <v>4.3698030634573231</v>
      </c>
      <c r="L21" s="25">
        <f t="shared" si="11"/>
        <v>0.52691466083149363</v>
      </c>
      <c r="M21" s="22"/>
      <c r="P21" s="30"/>
      <c r="Q21" s="30"/>
      <c r="R21" s="30"/>
    </row>
    <row r="22" spans="1:18" s="25" customFormat="1" ht="15.75" x14ac:dyDescent="0.25">
      <c r="A22" s="19"/>
      <c r="B22" s="24"/>
      <c r="C22" s="24"/>
      <c r="D22" s="20"/>
      <c r="E22" s="20"/>
      <c r="F22" s="20"/>
      <c r="G22" s="19" t="s">
        <v>58</v>
      </c>
      <c r="H22" s="24">
        <f>H16+H20</f>
        <v>7.2725863521541427</v>
      </c>
      <c r="I22" s="24"/>
      <c r="J22" s="22">
        <f>H22*H25</f>
        <v>31.827511387983066</v>
      </c>
      <c r="M22" s="22"/>
      <c r="P22" s="30"/>
      <c r="Q22" s="30"/>
      <c r="R22" s="30"/>
    </row>
    <row r="23" spans="1:18" s="20" customFormat="1" ht="15.75" x14ac:dyDescent="0.25">
      <c r="A23" s="19"/>
      <c r="B23" s="24"/>
      <c r="C23" s="24"/>
      <c r="G23" s="19" t="s">
        <v>61</v>
      </c>
      <c r="H23" s="24">
        <v>6</v>
      </c>
      <c r="I23" s="24"/>
      <c r="J23" s="22"/>
      <c r="K23" s="25"/>
      <c r="L23" s="25"/>
      <c r="M23" s="19"/>
      <c r="P23" s="29"/>
      <c r="Q23" s="29"/>
      <c r="R23" s="29"/>
    </row>
    <row r="24" spans="1:18" s="20" customFormat="1" ht="15.75" x14ac:dyDescent="0.25">
      <c r="A24" s="19"/>
      <c r="B24" s="24"/>
      <c r="C24" s="24"/>
      <c r="G24" s="19" t="s">
        <v>63</v>
      </c>
      <c r="H24" s="24">
        <v>-48</v>
      </c>
      <c r="I24" s="24"/>
      <c r="J24" s="22"/>
      <c r="K24" s="25"/>
      <c r="L24" s="25"/>
      <c r="M24" s="19"/>
      <c r="P24" s="29"/>
      <c r="Q24" s="29"/>
      <c r="R24" s="29"/>
    </row>
    <row r="25" spans="1:18" s="20" customFormat="1" ht="15.75" x14ac:dyDescent="0.25">
      <c r="A25" s="19"/>
      <c r="B25" s="24"/>
      <c r="C25" s="24"/>
      <c r="G25" s="19" t="s">
        <v>62</v>
      </c>
      <c r="H25" s="25">
        <f>4/H11</f>
        <v>4.3763676148796424</v>
      </c>
      <c r="I25" s="25"/>
      <c r="J25" s="22"/>
      <c r="K25" s="25"/>
      <c r="L25" s="25"/>
      <c r="M25" s="19"/>
      <c r="P25" s="29"/>
      <c r="Q25" s="29"/>
      <c r="R25" s="29"/>
    </row>
    <row r="26" spans="1:18" s="25" customFormat="1" ht="15.75" x14ac:dyDescent="0.25">
      <c r="A26" s="23" t="s">
        <v>78</v>
      </c>
      <c r="B26" s="24"/>
      <c r="C26" s="24"/>
      <c r="D26" s="20"/>
      <c r="E26" s="20"/>
      <c r="F26" s="20"/>
      <c r="G26" s="20"/>
      <c r="H26" s="24"/>
      <c r="I26" s="24"/>
      <c r="J26" s="22"/>
      <c r="M26" s="22"/>
      <c r="P26" s="30"/>
      <c r="Q26" s="30"/>
      <c r="R26" s="30"/>
    </row>
    <row r="27" spans="1:18" s="25" customFormat="1" ht="15.75" x14ac:dyDescent="0.25">
      <c r="A27" s="19"/>
      <c r="B27" s="24">
        <f>B6</f>
        <v>1</v>
      </c>
      <c r="C27" s="24">
        <f>C6</f>
        <v>51</v>
      </c>
      <c r="D27" s="24">
        <f t="shared" ref="D27" si="16">B27+$H$23</f>
        <v>7</v>
      </c>
      <c r="E27" s="24">
        <f t="shared" ref="E27" si="17">C27+$H$24</f>
        <v>3</v>
      </c>
      <c r="F27" s="20"/>
      <c r="G27" s="20" t="s">
        <v>44</v>
      </c>
      <c r="H27" s="24">
        <f>SQRT((B27-B28)^2+(C27-C28)^2)</f>
        <v>0.91400000000000148</v>
      </c>
      <c r="I27" s="24"/>
      <c r="J27" s="22">
        <f t="shared" ref="J27:J36" si="18">H27*$H$25</f>
        <v>3.9999999999999996</v>
      </c>
      <c r="K27" s="25">
        <f>D27*$H$25</f>
        <v>30.634573304157499</v>
      </c>
      <c r="L27" s="25">
        <f>E27*$H$25</f>
        <v>13.129102844638927</v>
      </c>
      <c r="M27" s="22"/>
      <c r="P27" s="30"/>
      <c r="Q27" s="30"/>
      <c r="R27" s="30"/>
    </row>
    <row r="28" spans="1:18" s="25" customFormat="1" ht="15.75" x14ac:dyDescent="0.25">
      <c r="A28" s="19"/>
      <c r="B28" s="24">
        <f>B12</f>
        <v>1</v>
      </c>
      <c r="C28" s="24">
        <f>C12</f>
        <v>51.914000000000001</v>
      </c>
      <c r="D28" s="24">
        <f>B28+$H$23</f>
        <v>7</v>
      </c>
      <c r="E28" s="24">
        <f>C28+$H$24</f>
        <v>3.9140000000000015</v>
      </c>
      <c r="F28" s="20"/>
      <c r="G28" s="20" t="s">
        <v>29</v>
      </c>
      <c r="H28" s="24">
        <f t="shared" ref="H28:H36" si="19">SQRT((B28-B29)^2+(C28-C29)^2)</f>
        <v>2.0858992353419188</v>
      </c>
      <c r="I28" s="24"/>
      <c r="J28" s="22">
        <f t="shared" si="18"/>
        <v>9.1286618614525832</v>
      </c>
      <c r="K28" s="25">
        <f t="shared" ref="K28:K37" si="20">D28*$H$25</f>
        <v>30.634573304157499</v>
      </c>
      <c r="L28" s="25">
        <f t="shared" ref="L28:L37" si="21">E28*$H$25</f>
        <v>17.129102844638926</v>
      </c>
      <c r="M28" s="22"/>
      <c r="P28" s="30"/>
      <c r="Q28" s="30"/>
      <c r="R28" s="30"/>
    </row>
    <row r="29" spans="1:18" s="25" customFormat="1" ht="15.75" x14ac:dyDescent="0.25">
      <c r="A29" s="19"/>
      <c r="B29" s="24">
        <f>(B12-B13)+B12</f>
        <v>3.0629</v>
      </c>
      <c r="C29" s="24">
        <f>C13</f>
        <v>52.222900000000003</v>
      </c>
      <c r="D29" s="24">
        <f t="shared" ref="D29:D37" si="22">B29+$H$23</f>
        <v>9.0628999999999991</v>
      </c>
      <c r="E29" s="24">
        <f t="shared" ref="E29:E37" si="23">C29+$H$24</f>
        <v>4.2229000000000028</v>
      </c>
      <c r="F29" s="20"/>
      <c r="G29" s="20" t="s">
        <v>79</v>
      </c>
      <c r="H29" s="24">
        <f t="shared" si="19"/>
        <v>1.7998357619516314</v>
      </c>
      <c r="I29" s="24"/>
      <c r="J29" s="22">
        <f t="shared" si="18"/>
        <v>7.876742940707345</v>
      </c>
      <c r="K29" s="25">
        <f t="shared" si="20"/>
        <v>39.66258205689271</v>
      </c>
      <c r="L29" s="25">
        <f t="shared" si="21"/>
        <v>18.480962800875254</v>
      </c>
      <c r="M29" s="22"/>
      <c r="P29" s="30"/>
      <c r="Q29" s="30"/>
      <c r="R29" s="30"/>
    </row>
    <row r="30" spans="1:18" s="25" customFormat="1" ht="15.75" x14ac:dyDescent="0.25">
      <c r="A30" s="19"/>
      <c r="B30" s="24">
        <f>B11-B14+B11</f>
        <v>2.5423</v>
      </c>
      <c r="C30" s="24">
        <f>C14</f>
        <v>50.5</v>
      </c>
      <c r="D30" s="24">
        <f t="shared" si="22"/>
        <v>8.5423000000000009</v>
      </c>
      <c r="E30" s="24">
        <f t="shared" si="23"/>
        <v>2.5</v>
      </c>
      <c r="F30" s="20"/>
      <c r="G30" s="20" t="s">
        <v>73</v>
      </c>
      <c r="H30" s="24">
        <f t="shared" si="19"/>
        <v>1.7998357619516314</v>
      </c>
      <c r="I30" s="24"/>
      <c r="J30" s="22">
        <f t="shared" si="18"/>
        <v>7.876742940707345</v>
      </c>
      <c r="K30" s="25">
        <f t="shared" si="20"/>
        <v>37.384245076586375</v>
      </c>
      <c r="L30" s="25">
        <f t="shared" si="21"/>
        <v>10.940919037199105</v>
      </c>
      <c r="M30" s="22"/>
      <c r="P30" s="30"/>
      <c r="Q30" s="30"/>
      <c r="R30" s="30"/>
    </row>
    <row r="31" spans="1:18" s="25" customFormat="1" ht="15.75" x14ac:dyDescent="0.25">
      <c r="A31" s="19"/>
      <c r="B31" s="24">
        <f>B11-B13+B11</f>
        <v>3.0629</v>
      </c>
      <c r="C31" s="24">
        <f>C13</f>
        <v>52.222900000000003</v>
      </c>
      <c r="D31" s="24">
        <f t="shared" si="22"/>
        <v>9.0628999999999991</v>
      </c>
      <c r="E31" s="24">
        <f t="shared" si="23"/>
        <v>4.2229000000000028</v>
      </c>
      <c r="F31" s="20"/>
      <c r="G31" s="20" t="s">
        <v>79</v>
      </c>
      <c r="H31" s="24">
        <f t="shared" si="19"/>
        <v>1.6711936153540081</v>
      </c>
      <c r="I31" s="24"/>
      <c r="J31" s="22">
        <f t="shared" si="18"/>
        <v>7.3137576164289069</v>
      </c>
      <c r="K31" s="25">
        <f t="shared" si="20"/>
        <v>39.66258205689271</v>
      </c>
      <c r="L31" s="25">
        <f t="shared" si="21"/>
        <v>18.480962800875254</v>
      </c>
      <c r="M31" s="22"/>
      <c r="P31" s="30"/>
      <c r="Q31" s="30"/>
      <c r="R31" s="30"/>
    </row>
    <row r="32" spans="1:18" s="25" customFormat="1" ht="15.75" x14ac:dyDescent="0.25">
      <c r="A32" s="19"/>
      <c r="B32" s="24">
        <f>B11-B16+B11</f>
        <v>4.7162000000000006</v>
      </c>
      <c r="C32" s="24">
        <f>C16</f>
        <v>52.466799999999999</v>
      </c>
      <c r="D32" s="24">
        <f t="shared" si="22"/>
        <v>10.716200000000001</v>
      </c>
      <c r="E32" s="24">
        <f t="shared" si="23"/>
        <v>4.4667999999999992</v>
      </c>
      <c r="F32" s="20"/>
      <c r="G32" s="20" t="s">
        <v>84</v>
      </c>
      <c r="H32" s="24">
        <f t="shared" si="19"/>
        <v>2.362007053334092</v>
      </c>
      <c r="I32" s="24"/>
      <c r="J32" s="22">
        <f t="shared" si="18"/>
        <v>10.337011174328612</v>
      </c>
      <c r="K32" s="25">
        <f t="shared" si="20"/>
        <v>46.898030634573225</v>
      </c>
      <c r="L32" s="25">
        <f t="shared" si="21"/>
        <v>19.548358862144383</v>
      </c>
      <c r="M32" s="22"/>
      <c r="P32" s="30"/>
      <c r="Q32" s="30"/>
      <c r="R32" s="30"/>
    </row>
    <row r="33" spans="1:18" s="25" customFormat="1" ht="15.75" x14ac:dyDescent="0.25">
      <c r="A33" s="19"/>
      <c r="B33" s="24">
        <f>B11-B17+B11</f>
        <v>3.6188000000000002</v>
      </c>
      <c r="C33" s="24">
        <f>C17</f>
        <v>54.558399999999999</v>
      </c>
      <c r="D33" s="24">
        <f t="shared" si="22"/>
        <v>9.6188000000000002</v>
      </c>
      <c r="E33" s="24">
        <f t="shared" si="23"/>
        <v>6.5583999999999989</v>
      </c>
      <c r="F33" s="20"/>
      <c r="G33" s="20" t="s">
        <v>81</v>
      </c>
      <c r="H33" s="24">
        <f t="shared" si="19"/>
        <v>3.047412673072027</v>
      </c>
      <c r="I33" s="24"/>
      <c r="J33" s="22">
        <f t="shared" si="18"/>
        <v>13.336598131606223</v>
      </c>
      <c r="K33" s="25">
        <f t="shared" si="20"/>
        <v>42.095404814004304</v>
      </c>
      <c r="L33" s="25">
        <f t="shared" si="21"/>
        <v>28.701969365426642</v>
      </c>
      <c r="M33" s="22"/>
      <c r="P33" s="30"/>
      <c r="Q33" s="30"/>
      <c r="R33" s="30"/>
    </row>
    <row r="34" spans="1:18" s="25" customFormat="1" ht="15.75" x14ac:dyDescent="0.25">
      <c r="A34" s="19"/>
      <c r="B34" s="24">
        <f>B4</f>
        <v>1</v>
      </c>
      <c r="C34" s="24">
        <f>C4</f>
        <v>53</v>
      </c>
      <c r="D34" s="24">
        <f t="shared" si="22"/>
        <v>7</v>
      </c>
      <c r="E34" s="24">
        <f t="shared" si="23"/>
        <v>5</v>
      </c>
      <c r="F34" s="20"/>
      <c r="G34" s="20" t="s">
        <v>47</v>
      </c>
      <c r="H34" s="24">
        <f t="shared" si="19"/>
        <v>3.047412673072027</v>
      </c>
      <c r="I34" s="24"/>
      <c r="J34" s="22">
        <f t="shared" si="18"/>
        <v>13.336598131606223</v>
      </c>
      <c r="K34" s="25">
        <f t="shared" si="20"/>
        <v>30.634573304157499</v>
      </c>
      <c r="L34" s="25">
        <f t="shared" si="21"/>
        <v>21.88183807439821</v>
      </c>
      <c r="M34" s="22"/>
      <c r="P34" s="30"/>
      <c r="Q34" s="30"/>
      <c r="R34" s="30"/>
    </row>
    <row r="35" spans="1:18" s="25" customFormat="1" ht="15.75" x14ac:dyDescent="0.25">
      <c r="A35" s="19"/>
      <c r="B35" s="24">
        <f>B11-B17+B11</f>
        <v>3.6188000000000002</v>
      </c>
      <c r="C35" s="24">
        <f>C17</f>
        <v>54.558399999999999</v>
      </c>
      <c r="D35" s="24">
        <f t="shared" si="22"/>
        <v>9.6188000000000002</v>
      </c>
      <c r="E35" s="24">
        <f t="shared" si="23"/>
        <v>6.5583999999999989</v>
      </c>
      <c r="F35" s="20"/>
      <c r="G35" s="20" t="s">
        <v>81</v>
      </c>
      <c r="H35" s="24">
        <f t="shared" si="19"/>
        <v>2.362007053334092</v>
      </c>
      <c r="I35" s="24"/>
      <c r="J35" s="22">
        <f t="shared" si="18"/>
        <v>10.337011174328612</v>
      </c>
      <c r="K35" s="25">
        <f t="shared" si="20"/>
        <v>42.095404814004304</v>
      </c>
      <c r="L35" s="25">
        <f t="shared" si="21"/>
        <v>28.701969365426642</v>
      </c>
      <c r="M35" s="22"/>
      <c r="P35" s="30"/>
      <c r="Q35" s="30"/>
      <c r="R35" s="30"/>
    </row>
    <row r="36" spans="1:18" s="25" customFormat="1" ht="15.75" x14ac:dyDescent="0.25">
      <c r="A36" s="19"/>
      <c r="B36" s="24">
        <f>B11-B16+B11</f>
        <v>4.7162000000000006</v>
      </c>
      <c r="C36" s="24">
        <f>C16</f>
        <v>52.466799999999999</v>
      </c>
      <c r="D36" s="24">
        <f t="shared" si="22"/>
        <v>10.716200000000001</v>
      </c>
      <c r="E36" s="24">
        <f t="shared" si="23"/>
        <v>4.4667999999999992</v>
      </c>
      <c r="F36" s="20"/>
      <c r="G36" s="20" t="s">
        <v>80</v>
      </c>
      <c r="H36" s="24">
        <f t="shared" si="19"/>
        <v>4.9105792988200507</v>
      </c>
      <c r="I36" s="24"/>
      <c r="J36" s="22">
        <f t="shared" si="18"/>
        <v>21.490500213654453</v>
      </c>
      <c r="K36" s="25">
        <f t="shared" si="20"/>
        <v>46.898030634573225</v>
      </c>
      <c r="L36" s="25">
        <f t="shared" si="21"/>
        <v>19.548358862144383</v>
      </c>
      <c r="M36" s="22"/>
      <c r="P36" s="30"/>
      <c r="Q36" s="30"/>
      <c r="R36" s="30"/>
    </row>
    <row r="37" spans="1:18" s="25" customFormat="1" ht="15.75" x14ac:dyDescent="0.25">
      <c r="A37" s="19"/>
      <c r="B37" s="24">
        <f>B11-B21+B11</f>
        <v>7.0015000000000001</v>
      </c>
      <c r="C37" s="24">
        <f>C21</f>
        <v>48.120399999999997</v>
      </c>
      <c r="D37" s="24">
        <f t="shared" si="22"/>
        <v>13.0015</v>
      </c>
      <c r="E37" s="24">
        <f t="shared" si="23"/>
        <v>0.12039999999999651</v>
      </c>
      <c r="F37" s="20"/>
      <c r="G37" s="20" t="s">
        <v>83</v>
      </c>
      <c r="H37" s="24"/>
      <c r="I37" s="24"/>
      <c r="J37" s="22"/>
      <c r="K37" s="25">
        <f t="shared" si="20"/>
        <v>56.899343544857672</v>
      </c>
      <c r="L37" s="25">
        <f t="shared" si="21"/>
        <v>0.52691466083149363</v>
      </c>
      <c r="M37" s="22"/>
      <c r="P37" s="30"/>
      <c r="Q37" s="30"/>
      <c r="R37" s="30"/>
    </row>
    <row r="38" spans="1:18" s="20" customFormat="1" ht="15.75" x14ac:dyDescent="0.25">
      <c r="A38" s="19"/>
      <c r="B38" s="24"/>
      <c r="C38" s="24"/>
      <c r="H38" s="24"/>
      <c r="I38" s="24"/>
      <c r="J38" s="22"/>
      <c r="K38" s="25"/>
      <c r="L38" s="25"/>
      <c r="M38" s="19"/>
      <c r="P38" s="29"/>
      <c r="Q38" s="29"/>
      <c r="R38" s="29"/>
    </row>
  </sheetData>
  <mergeCells count="2">
    <mergeCell ref="J1:L1"/>
    <mergeCell ref="P1:R1"/>
  </mergeCells>
  <pageMargins left="0.25" right="0.25" top="0" bottom="0" header="0.3" footer="0.3"/>
  <pageSetup scale="79" fitToHeight="0" orientation="landscape" r:id="rId1"/>
  <rowBreaks count="1" manualBreakCount="1">
    <brk id="3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zoomScaleNormal="100" workbookViewId="0">
      <selection activeCell="Y16" sqref="Y16"/>
    </sheetView>
  </sheetViews>
  <sheetFormatPr defaultRowHeight="15" x14ac:dyDescent="0.25"/>
  <cols>
    <col min="1" max="1" width="5.28515625" style="9" customWidth="1"/>
    <col min="2" max="2" width="7.7109375" style="12" customWidth="1"/>
    <col min="3" max="3" width="8.7109375" style="12" customWidth="1"/>
    <col min="4" max="5" width="7" customWidth="1"/>
    <col min="6" max="6" width="2" customWidth="1"/>
    <col min="7" max="7" width="18.42578125" customWidth="1"/>
    <col min="8" max="8" width="8.85546875" style="12" customWidth="1"/>
    <col min="9" max="9" width="6" style="12" customWidth="1"/>
    <col min="10" max="10" width="8.42578125" style="13" customWidth="1"/>
    <col min="11" max="11" width="6.28515625" style="18" customWidth="1"/>
    <col min="12" max="12" width="6.85546875" style="18" customWidth="1"/>
    <col min="13" max="13" width="28.140625" style="9" customWidth="1"/>
    <col min="14" max="14" width="8.140625" customWidth="1"/>
    <col min="15" max="15" width="6.140625" customWidth="1"/>
    <col min="16" max="16" width="6.28515625" style="31" customWidth="1"/>
    <col min="17" max="17" width="4.85546875" style="31" customWidth="1"/>
    <col min="18" max="18" width="6.7109375" style="31" customWidth="1"/>
  </cols>
  <sheetData>
    <row r="1" spans="1:19" s="15" customFormat="1" ht="63" customHeight="1" x14ac:dyDescent="0.25">
      <c r="A1" s="28" t="s">
        <v>53</v>
      </c>
      <c r="B1" s="16"/>
      <c r="C1" s="16"/>
      <c r="E1" s="27" t="s">
        <v>88</v>
      </c>
      <c r="I1" s="16"/>
      <c r="J1" s="66" t="s">
        <v>95</v>
      </c>
      <c r="K1" s="66"/>
      <c r="L1" s="66"/>
      <c r="M1" s="33" t="s">
        <v>103</v>
      </c>
      <c r="N1" s="72" t="s">
        <v>153</v>
      </c>
      <c r="O1" s="25"/>
      <c r="P1" s="67" t="s">
        <v>102</v>
      </c>
      <c r="Q1" s="67"/>
      <c r="R1" s="67"/>
    </row>
    <row r="2" spans="1:19" s="20" customFormat="1" ht="15.75" x14ac:dyDescent="0.25">
      <c r="A2" s="19"/>
      <c r="B2" s="21" t="s">
        <v>23</v>
      </c>
      <c r="C2" s="21" t="s">
        <v>24</v>
      </c>
      <c r="D2" s="19" t="s">
        <v>64</v>
      </c>
      <c r="E2" s="19" t="s">
        <v>65</v>
      </c>
      <c r="F2" s="19"/>
      <c r="G2" s="20" t="s">
        <v>55</v>
      </c>
      <c r="H2" s="21" t="s">
        <v>43</v>
      </c>
      <c r="I2" s="21"/>
      <c r="J2" s="22" t="s">
        <v>43</v>
      </c>
      <c r="K2" s="22" t="s">
        <v>23</v>
      </c>
      <c r="L2" s="22" t="s">
        <v>24</v>
      </c>
      <c r="M2" s="22" t="s">
        <v>86</v>
      </c>
      <c r="N2" s="22" t="s">
        <v>43</v>
      </c>
      <c r="O2" s="22" t="s">
        <v>89</v>
      </c>
      <c r="P2" s="29" t="s">
        <v>96</v>
      </c>
      <c r="Q2" s="29" t="s">
        <v>89</v>
      </c>
      <c r="R2" s="29" t="s">
        <v>97</v>
      </c>
      <c r="S2" s="19" t="s">
        <v>114</v>
      </c>
    </row>
    <row r="3" spans="1:19" s="20" customFormat="1" ht="15.75" x14ac:dyDescent="0.25">
      <c r="A3" s="23" t="s">
        <v>85</v>
      </c>
      <c r="B3" s="24"/>
      <c r="C3" s="24"/>
      <c r="H3" s="24"/>
      <c r="I3" s="24"/>
      <c r="J3" s="22"/>
      <c r="K3" s="25"/>
      <c r="L3" s="25"/>
      <c r="M3" s="19"/>
      <c r="P3" s="29"/>
      <c r="Q3" s="29"/>
      <c r="R3" s="29"/>
    </row>
    <row r="4" spans="1:19" s="20" customFormat="1" ht="15.75" x14ac:dyDescent="0.25">
      <c r="A4" s="19"/>
      <c r="B4" s="26">
        <v>1</v>
      </c>
      <c r="C4" s="26">
        <v>53</v>
      </c>
      <c r="D4" s="24">
        <f t="shared" ref="D4:D9" si="0">B4+$H$23</f>
        <v>7</v>
      </c>
      <c r="E4" s="24">
        <f t="shared" ref="E4:E9" si="1">C4+$H$24</f>
        <v>5</v>
      </c>
      <c r="G4" s="20" t="s">
        <v>47</v>
      </c>
      <c r="H4" s="24">
        <f>SQRT((B4-B5)^2+(C4-C5)^2)</f>
        <v>3.0930194697091711</v>
      </c>
      <c r="I4" s="24"/>
      <c r="J4" s="22">
        <f>H4*$H$25</f>
        <v>13.536190239427421</v>
      </c>
      <c r="K4" s="25">
        <f t="shared" ref="K4:L6" si="2">D4*$H$25</f>
        <v>30.634573304157499</v>
      </c>
      <c r="L4" s="25">
        <f t="shared" si="2"/>
        <v>21.88183807439821</v>
      </c>
      <c r="M4" s="19" t="s">
        <v>98</v>
      </c>
      <c r="N4" s="25">
        <f>J4</f>
        <v>13.536190239427421</v>
      </c>
      <c r="P4" s="29" t="s">
        <v>99</v>
      </c>
      <c r="Q4" s="29"/>
      <c r="R4" s="29" t="s">
        <v>99</v>
      </c>
      <c r="S4" s="25">
        <f>N4-1</f>
        <v>12.536190239427421</v>
      </c>
    </row>
    <row r="5" spans="1:19" s="20" customFormat="1" ht="15.75" x14ac:dyDescent="0.25">
      <c r="A5" s="19"/>
      <c r="B5" s="26">
        <v>-0.82120000000000004</v>
      </c>
      <c r="C5" s="26">
        <v>50.5</v>
      </c>
      <c r="D5" s="24">
        <f t="shared" si="0"/>
        <v>5.1787999999999998</v>
      </c>
      <c r="E5" s="24">
        <f t="shared" si="1"/>
        <v>2.5</v>
      </c>
      <c r="G5" s="20" t="s">
        <v>72</v>
      </c>
      <c r="H5" s="24">
        <f t="shared" ref="H5:H8" si="3">SQRT((B5-B6)^2+(C5-C6)^2)</f>
        <v>1.8885892724465001</v>
      </c>
      <c r="I5" s="24"/>
      <c r="J5" s="22">
        <f>H5*$H$25</f>
        <v>8.2651609297439688</v>
      </c>
      <c r="K5" s="25">
        <f t="shared" si="2"/>
        <v>22.664332603938693</v>
      </c>
      <c r="L5" s="25">
        <f t="shared" si="2"/>
        <v>10.940919037199105</v>
      </c>
      <c r="M5" s="19"/>
      <c r="P5" s="29"/>
      <c r="Q5" s="29"/>
      <c r="R5" s="29"/>
    </row>
    <row r="6" spans="1:19" s="20" customFormat="1" ht="15.75" x14ac:dyDescent="0.25">
      <c r="A6" s="19"/>
      <c r="B6" s="26">
        <v>1</v>
      </c>
      <c r="C6" s="26">
        <v>51</v>
      </c>
      <c r="D6" s="24">
        <f t="shared" si="0"/>
        <v>7</v>
      </c>
      <c r="E6" s="24">
        <f t="shared" si="1"/>
        <v>3</v>
      </c>
      <c r="G6" s="20" t="s">
        <v>44</v>
      </c>
      <c r="H6" s="24">
        <f t="shared" si="3"/>
        <v>1.8885892724465001</v>
      </c>
      <c r="I6" s="24"/>
      <c r="J6" s="22">
        <f>H6*$H$25</f>
        <v>8.2651609297439688</v>
      </c>
      <c r="K6" s="25">
        <f t="shared" si="2"/>
        <v>30.634573304157499</v>
      </c>
      <c r="L6" s="25">
        <f t="shared" si="2"/>
        <v>13.129102844638927</v>
      </c>
      <c r="M6" s="19" t="s">
        <v>100</v>
      </c>
      <c r="N6" s="25">
        <f>J6</f>
        <v>8.2651609297439688</v>
      </c>
      <c r="P6" s="29" t="s">
        <v>99</v>
      </c>
      <c r="Q6" s="29"/>
      <c r="R6" s="29" t="s">
        <v>92</v>
      </c>
      <c r="S6" s="25">
        <f>N6</f>
        <v>8.2651609297439688</v>
      </c>
    </row>
    <row r="7" spans="1:19" s="20" customFormat="1" ht="15.75" x14ac:dyDescent="0.25">
      <c r="A7" s="19"/>
      <c r="B7" s="24">
        <f>B6-B5+B6</f>
        <v>2.8212000000000002</v>
      </c>
      <c r="C7" s="24">
        <f>C5</f>
        <v>50.5</v>
      </c>
      <c r="D7" s="24">
        <f t="shared" si="0"/>
        <v>8.821200000000001</v>
      </c>
      <c r="E7" s="24">
        <f t="shared" si="1"/>
        <v>2.5</v>
      </c>
      <c r="G7" s="20" t="s">
        <v>73</v>
      </c>
      <c r="H7" s="24">
        <f t="shared" si="3"/>
        <v>3.0930194697091711</v>
      </c>
      <c r="I7" s="24"/>
      <c r="J7" s="22">
        <f t="shared" ref="J7:J8" si="4">H7*$H$25</f>
        <v>13.536190239427421</v>
      </c>
      <c r="K7" s="25">
        <f t="shared" ref="K7:L9" si="5">D7*$H$25</f>
        <v>38.604814004376308</v>
      </c>
      <c r="L7" s="25">
        <f t="shared" si="5"/>
        <v>10.940919037199105</v>
      </c>
      <c r="M7" s="19"/>
      <c r="P7" s="29"/>
      <c r="Q7" s="29"/>
      <c r="R7" s="29"/>
    </row>
    <row r="8" spans="1:19" s="20" customFormat="1" ht="15.75" x14ac:dyDescent="0.25">
      <c r="A8" s="19"/>
      <c r="B8" s="24">
        <f>B4</f>
        <v>1</v>
      </c>
      <c r="C8" s="24">
        <f>C4</f>
        <v>53</v>
      </c>
      <c r="D8" s="24">
        <f t="shared" si="0"/>
        <v>7</v>
      </c>
      <c r="E8" s="24">
        <f t="shared" si="1"/>
        <v>5</v>
      </c>
      <c r="G8" s="20" t="s">
        <v>47</v>
      </c>
      <c r="H8" s="24">
        <f t="shared" si="3"/>
        <v>2</v>
      </c>
      <c r="I8" s="24"/>
      <c r="J8" s="22">
        <f t="shared" si="4"/>
        <v>8.7527352297592849</v>
      </c>
      <c r="K8" s="25">
        <f t="shared" si="5"/>
        <v>30.634573304157499</v>
      </c>
      <c r="L8" s="25">
        <f t="shared" si="5"/>
        <v>21.88183807439821</v>
      </c>
      <c r="M8" s="19" t="s">
        <v>101</v>
      </c>
      <c r="N8" s="34">
        <f>J8</f>
        <v>8.7527352297592849</v>
      </c>
      <c r="P8" s="29" t="s">
        <v>99</v>
      </c>
      <c r="Q8" s="29"/>
      <c r="R8" s="29" t="s">
        <v>92</v>
      </c>
      <c r="S8" s="25">
        <f>N8</f>
        <v>8.7527352297592849</v>
      </c>
    </row>
    <row r="9" spans="1:19" s="20" customFormat="1" ht="15.75" x14ac:dyDescent="0.25">
      <c r="A9" s="19"/>
      <c r="B9" s="24">
        <f>B6</f>
        <v>1</v>
      </c>
      <c r="C9" s="24">
        <f>C6</f>
        <v>51</v>
      </c>
      <c r="D9" s="24">
        <f t="shared" si="0"/>
        <v>7</v>
      </c>
      <c r="E9" s="24">
        <f t="shared" si="1"/>
        <v>3</v>
      </c>
      <c r="G9" s="20" t="s">
        <v>44</v>
      </c>
      <c r="H9" s="24"/>
      <c r="I9" s="24"/>
      <c r="J9" s="22"/>
      <c r="K9" s="25">
        <f t="shared" si="5"/>
        <v>30.634573304157499</v>
      </c>
      <c r="L9" s="25">
        <f t="shared" si="5"/>
        <v>13.129102844638927</v>
      </c>
      <c r="M9" s="19"/>
      <c r="N9" s="25">
        <f>SUM(N4:N8)</f>
        <v>30.554086398930675</v>
      </c>
      <c r="O9" s="25"/>
      <c r="P9" s="29"/>
      <c r="Q9" s="29"/>
      <c r="R9" s="29"/>
    </row>
    <row r="10" spans="1:19" s="25" customFormat="1" ht="15.75" x14ac:dyDescent="0.25">
      <c r="A10" s="23" t="s">
        <v>77</v>
      </c>
      <c r="B10" s="24"/>
      <c r="C10" s="24"/>
      <c r="D10" s="20"/>
      <c r="E10" s="20"/>
      <c r="F10" s="20"/>
      <c r="G10" s="20"/>
      <c r="H10" s="24"/>
      <c r="I10" s="24"/>
      <c r="J10" s="22"/>
      <c r="M10" s="22"/>
      <c r="N10" s="35">
        <v>4</v>
      </c>
      <c r="O10" s="25" t="s">
        <v>112</v>
      </c>
      <c r="P10" s="30"/>
      <c r="Q10" s="30"/>
      <c r="R10" s="30"/>
    </row>
    <row r="11" spans="1:19" s="25" customFormat="1" ht="15.75" x14ac:dyDescent="0.25">
      <c r="A11" s="19"/>
      <c r="B11" s="24">
        <f>B6</f>
        <v>1</v>
      </c>
      <c r="C11" s="24">
        <f>C6</f>
        <v>51</v>
      </c>
      <c r="D11" s="24">
        <f t="shared" ref="D11" si="6">B11+$H$23</f>
        <v>7</v>
      </c>
      <c r="E11" s="24">
        <f t="shared" ref="E11" si="7">C11+$H$24</f>
        <v>3</v>
      </c>
      <c r="F11" s="20"/>
      <c r="G11" s="20" t="s">
        <v>44</v>
      </c>
      <c r="H11" s="24">
        <f>SQRT((B11-B12)^2+(C11-C12)^2)</f>
        <v>0.91400000000000148</v>
      </c>
      <c r="I11" s="24"/>
      <c r="J11" s="22">
        <f t="shared" ref="J11:J20" si="8">H11*$H$25</f>
        <v>3.9999999999999996</v>
      </c>
      <c r="K11" s="25">
        <f>D11*$H$25</f>
        <v>30.634573304157499</v>
      </c>
      <c r="L11" s="25">
        <f>E11*$H$25</f>
        <v>13.129102844638927</v>
      </c>
      <c r="M11" s="55" t="s">
        <v>149</v>
      </c>
    </row>
    <row r="12" spans="1:19" s="25" customFormat="1" ht="15.75" x14ac:dyDescent="0.25">
      <c r="A12" s="19"/>
      <c r="B12" s="26">
        <v>1</v>
      </c>
      <c r="C12" s="26">
        <v>51.914000000000001</v>
      </c>
      <c r="D12" s="24">
        <f>B12+$H$23</f>
        <v>7</v>
      </c>
      <c r="E12" s="24">
        <f>C12+$H$24</f>
        <v>3.9140000000000015</v>
      </c>
      <c r="F12" s="20"/>
      <c r="G12" s="20" t="s">
        <v>29</v>
      </c>
      <c r="H12" s="24">
        <f t="shared" ref="H12:H20" si="9">SQRT((B12-B13)^2+(C12-C13)^2)</f>
        <v>2.3559985611201033</v>
      </c>
      <c r="I12" s="24"/>
      <c r="J12" s="22">
        <f t="shared" si="8"/>
        <v>10.310715803589057</v>
      </c>
      <c r="K12" s="25">
        <f t="shared" ref="K12:L21" si="10">D12*$H$25</f>
        <v>30.634573304157499</v>
      </c>
      <c r="L12" s="25">
        <f t="shared" si="10"/>
        <v>17.129102844638926</v>
      </c>
      <c r="M12" s="55" t="s">
        <v>150</v>
      </c>
    </row>
    <row r="13" spans="1:19" s="25" customFormat="1" ht="15.75" x14ac:dyDescent="0.25">
      <c r="A13" s="19"/>
      <c r="B13" s="26">
        <v>-1.3329</v>
      </c>
      <c r="C13" s="26">
        <v>52.243099999999998</v>
      </c>
      <c r="D13" s="24">
        <f t="shared" ref="D13:D21" si="11">B13+$H$23</f>
        <v>4.6670999999999996</v>
      </c>
      <c r="E13" s="24">
        <f t="shared" ref="E13:E21" si="12">C13+$H$24</f>
        <v>4.2430999999999983</v>
      </c>
      <c r="F13" s="20"/>
      <c r="G13" s="20" t="s">
        <v>74</v>
      </c>
      <c r="H13" s="24">
        <f t="shared" si="9"/>
        <v>1.8166547553126309</v>
      </c>
      <c r="I13" s="24"/>
      <c r="J13" s="22">
        <f t="shared" si="8"/>
        <v>7.9503490385672988</v>
      </c>
      <c r="K13" s="25">
        <f t="shared" si="10"/>
        <v>20.424945295404779</v>
      </c>
      <c r="L13" s="25">
        <f t="shared" si="10"/>
        <v>18.569365426695803</v>
      </c>
      <c r="P13" s="30"/>
      <c r="Q13" s="30"/>
      <c r="R13" s="30"/>
    </row>
    <row r="14" spans="1:19" s="25" customFormat="1" ht="15.75" x14ac:dyDescent="0.25">
      <c r="A14" s="19"/>
      <c r="B14" s="32">
        <f>B5</f>
        <v>-0.82120000000000004</v>
      </c>
      <c r="C14" s="32">
        <f>C5</f>
        <v>50.5</v>
      </c>
      <c r="D14" s="24">
        <f t="shared" si="11"/>
        <v>5.1787999999999998</v>
      </c>
      <c r="E14" s="24">
        <f t="shared" si="12"/>
        <v>2.5</v>
      </c>
      <c r="F14" s="20"/>
      <c r="G14" s="20" t="s">
        <v>72</v>
      </c>
      <c r="H14" s="24">
        <f t="shared" si="9"/>
        <v>1.8166547553126309</v>
      </c>
      <c r="I14" s="24"/>
      <c r="J14" s="22">
        <f t="shared" si="8"/>
        <v>7.9503490385672988</v>
      </c>
      <c r="K14" s="25">
        <f t="shared" si="10"/>
        <v>22.664332603938693</v>
      </c>
      <c r="L14" s="25">
        <f t="shared" si="10"/>
        <v>10.940919037199105</v>
      </c>
      <c r="M14" s="22" t="s">
        <v>70</v>
      </c>
      <c r="N14" s="25">
        <f>J13</f>
        <v>7.9503490385672988</v>
      </c>
      <c r="P14" s="30" t="s">
        <v>90</v>
      </c>
      <c r="Q14" s="30" t="s">
        <v>91</v>
      </c>
      <c r="R14" s="30" t="s">
        <v>92</v>
      </c>
      <c r="S14" s="25">
        <f>N14+1</f>
        <v>8.9503490385672997</v>
      </c>
    </row>
    <row r="15" spans="1:19" s="25" customFormat="1" ht="15.75" x14ac:dyDescent="0.25">
      <c r="A15" s="19"/>
      <c r="B15" s="24">
        <f>B13</f>
        <v>-1.3329</v>
      </c>
      <c r="C15" s="24">
        <f>C13</f>
        <v>52.243099999999998</v>
      </c>
      <c r="D15" s="24">
        <f t="shared" si="11"/>
        <v>4.6670999999999996</v>
      </c>
      <c r="E15" s="24">
        <f t="shared" si="12"/>
        <v>4.2430999999999983</v>
      </c>
      <c r="F15" s="20"/>
      <c r="G15" s="20" t="s">
        <v>74</v>
      </c>
      <c r="H15" s="24">
        <f t="shared" si="9"/>
        <v>1.5749675203000222</v>
      </c>
      <c r="I15" s="24"/>
      <c r="J15" s="22">
        <f t="shared" si="8"/>
        <v>6.8926368503283131</v>
      </c>
      <c r="K15" s="25">
        <f t="shared" si="10"/>
        <v>20.424945295404779</v>
      </c>
      <c r="L15" s="25">
        <f t="shared" si="10"/>
        <v>18.569365426695803</v>
      </c>
      <c r="M15" s="22" t="s">
        <v>93</v>
      </c>
      <c r="N15" s="25">
        <f>J15+J12</f>
        <v>17.203352653917371</v>
      </c>
      <c r="O15" s="25">
        <f>J15</f>
        <v>6.8926368503283131</v>
      </c>
      <c r="P15" s="30" t="s">
        <v>90</v>
      </c>
      <c r="Q15" s="30" t="s">
        <v>90</v>
      </c>
      <c r="R15" s="30" t="s">
        <v>92</v>
      </c>
      <c r="S15" s="25">
        <f>N15+1</f>
        <v>18.203352653917371</v>
      </c>
    </row>
    <row r="16" spans="1:19" s="25" customFormat="1" ht="15.75" x14ac:dyDescent="0.25">
      <c r="A16" s="19"/>
      <c r="B16" s="26">
        <v>-2.8919000000000001</v>
      </c>
      <c r="C16" s="26">
        <v>52.466799999999999</v>
      </c>
      <c r="D16" s="24">
        <f t="shared" si="11"/>
        <v>3.1080999999999999</v>
      </c>
      <c r="E16" s="24">
        <f t="shared" si="12"/>
        <v>4.4667999999999992</v>
      </c>
      <c r="F16" s="20"/>
      <c r="G16" s="20" t="s">
        <v>75</v>
      </c>
      <c r="H16" s="24">
        <f t="shared" si="9"/>
        <v>2.6698306950067092</v>
      </c>
      <c r="I16" s="24"/>
      <c r="J16" s="22">
        <f t="shared" si="8"/>
        <v>11.684160590838971</v>
      </c>
      <c r="K16" s="25">
        <f t="shared" si="10"/>
        <v>13.602188183807415</v>
      </c>
      <c r="L16" s="25">
        <f t="shared" si="10"/>
        <v>19.548358862144383</v>
      </c>
      <c r="M16" s="22"/>
      <c r="P16" s="30"/>
      <c r="Q16" s="30"/>
      <c r="R16" s="30"/>
    </row>
    <row r="17" spans="1:19" s="25" customFormat="1" ht="15.75" x14ac:dyDescent="0.25">
      <c r="A17" s="19"/>
      <c r="B17" s="26">
        <v>-1.6332</v>
      </c>
      <c r="C17" s="26">
        <v>54.821300000000001</v>
      </c>
      <c r="D17" s="24">
        <f t="shared" si="11"/>
        <v>4.3667999999999996</v>
      </c>
      <c r="E17" s="24">
        <f t="shared" si="12"/>
        <v>6.8213000000000008</v>
      </c>
      <c r="F17" s="20"/>
      <c r="G17" s="20" t="s">
        <v>76</v>
      </c>
      <c r="H17" s="24">
        <f t="shared" si="9"/>
        <v>3.2016989130772435</v>
      </c>
      <c r="I17" s="24"/>
      <c r="J17" s="22">
        <f t="shared" si="8"/>
        <v>14.011811435786599</v>
      </c>
      <c r="K17" s="25">
        <f t="shared" si="10"/>
        <v>19.110722100656421</v>
      </c>
      <c r="L17" s="25">
        <f t="shared" si="10"/>
        <v>29.85251641137851</v>
      </c>
      <c r="M17" s="22" t="s">
        <v>69</v>
      </c>
      <c r="N17" s="25">
        <f>J17</f>
        <v>14.011811435786599</v>
      </c>
      <c r="P17" s="30" t="s">
        <v>90</v>
      </c>
      <c r="Q17" s="30" t="s">
        <v>91</v>
      </c>
      <c r="R17" s="30" t="s">
        <v>92</v>
      </c>
      <c r="S17" s="25">
        <f>N17+1</f>
        <v>15.011811435786599</v>
      </c>
    </row>
    <row r="18" spans="1:19" s="25" customFormat="1" ht="15.75" x14ac:dyDescent="0.25">
      <c r="A18" s="19"/>
      <c r="B18" s="24">
        <f>B4</f>
        <v>1</v>
      </c>
      <c r="C18" s="24">
        <f>C4</f>
        <v>53</v>
      </c>
      <c r="D18" s="24">
        <f t="shared" si="11"/>
        <v>7</v>
      </c>
      <c r="E18" s="24">
        <f t="shared" si="12"/>
        <v>5</v>
      </c>
      <c r="F18" s="20"/>
      <c r="G18" s="20" t="s">
        <v>47</v>
      </c>
      <c r="H18" s="24">
        <f t="shared" si="9"/>
        <v>3.2016989130772435</v>
      </c>
      <c r="I18" s="24"/>
      <c r="J18" s="22">
        <f t="shared" si="8"/>
        <v>14.011811435786599</v>
      </c>
      <c r="K18" s="25">
        <f t="shared" si="10"/>
        <v>30.634573304157499</v>
      </c>
      <c r="L18" s="25">
        <f t="shared" si="10"/>
        <v>21.88183807439821</v>
      </c>
      <c r="M18" s="22"/>
      <c r="P18" s="30"/>
      <c r="Q18" s="30"/>
      <c r="R18" s="30"/>
    </row>
    <row r="19" spans="1:19" s="25" customFormat="1" ht="15.75" x14ac:dyDescent="0.25">
      <c r="A19" s="19"/>
      <c r="B19" s="24">
        <f>B17</f>
        <v>-1.6332</v>
      </c>
      <c r="C19" s="24">
        <f>C17</f>
        <v>54.821300000000001</v>
      </c>
      <c r="D19" s="24">
        <f t="shared" si="11"/>
        <v>4.3667999999999996</v>
      </c>
      <c r="E19" s="24">
        <f t="shared" si="12"/>
        <v>6.8213000000000008</v>
      </c>
      <c r="F19" s="20"/>
      <c r="G19" s="20" t="s">
        <v>76</v>
      </c>
      <c r="H19" s="24">
        <f t="shared" si="9"/>
        <v>2.6698306950067092</v>
      </c>
      <c r="I19" s="24"/>
      <c r="J19" s="22">
        <f t="shared" si="8"/>
        <v>11.684160590838971</v>
      </c>
      <c r="K19" s="25">
        <f t="shared" si="10"/>
        <v>19.110722100656421</v>
      </c>
      <c r="L19" s="25">
        <f t="shared" si="10"/>
        <v>29.85251641137851</v>
      </c>
      <c r="M19" s="22" t="s">
        <v>87</v>
      </c>
      <c r="N19" s="34">
        <f>J19+J20</f>
        <v>33.023053774638583</v>
      </c>
      <c r="O19" s="25">
        <f>J19</f>
        <v>11.684160590838971</v>
      </c>
      <c r="P19" s="30" t="s">
        <v>90</v>
      </c>
      <c r="Q19" s="30" t="s">
        <v>90</v>
      </c>
      <c r="R19" s="30" t="s">
        <v>94</v>
      </c>
      <c r="S19" s="25">
        <f>N19+0.5</f>
        <v>33.523053774638583</v>
      </c>
    </row>
    <row r="20" spans="1:19" s="25" customFormat="1" ht="15.75" x14ac:dyDescent="0.25">
      <c r="A20" s="19"/>
      <c r="B20" s="24">
        <f>B16</f>
        <v>-2.8919000000000001</v>
      </c>
      <c r="C20" s="24">
        <f>C16</f>
        <v>52.466799999999999</v>
      </c>
      <c r="D20" s="24">
        <f t="shared" si="11"/>
        <v>3.1080999999999999</v>
      </c>
      <c r="E20" s="24">
        <f t="shared" si="12"/>
        <v>4.4667999999999992</v>
      </c>
      <c r="F20" s="20"/>
      <c r="G20" s="20" t="s">
        <v>75</v>
      </c>
      <c r="H20" s="24">
        <f t="shared" si="9"/>
        <v>4.8759370924982202</v>
      </c>
      <c r="I20" s="24"/>
      <c r="J20" s="22">
        <f t="shared" si="8"/>
        <v>21.338893183799613</v>
      </c>
      <c r="K20" s="25">
        <f t="shared" si="10"/>
        <v>13.602188183807415</v>
      </c>
      <c r="L20" s="25">
        <f t="shared" si="10"/>
        <v>19.548358862144383</v>
      </c>
      <c r="M20" s="22"/>
      <c r="N20" s="25">
        <f>SUM(N14:N19)</f>
        <v>72.188566902909855</v>
      </c>
      <c r="P20" s="30"/>
      <c r="Q20" s="30"/>
      <c r="R20" s="30"/>
    </row>
    <row r="21" spans="1:19" s="25" customFormat="1" ht="15.75" x14ac:dyDescent="0.25">
      <c r="A21" s="19"/>
      <c r="B21" s="26">
        <v>-5.1985999999999999</v>
      </c>
      <c r="C21" s="26">
        <v>48.170999999999999</v>
      </c>
      <c r="D21" s="24">
        <f t="shared" si="11"/>
        <v>0.80140000000000011</v>
      </c>
      <c r="E21" s="24">
        <f t="shared" si="12"/>
        <v>0.17099999999999937</v>
      </c>
      <c r="F21" s="20"/>
      <c r="G21" s="20" t="s">
        <v>82</v>
      </c>
      <c r="H21" s="24"/>
      <c r="I21" s="24"/>
      <c r="J21" s="22"/>
      <c r="K21" s="25">
        <f t="shared" si="10"/>
        <v>3.5072210065645457</v>
      </c>
      <c r="L21" s="25">
        <f t="shared" si="10"/>
        <v>0.74835886214441616</v>
      </c>
      <c r="M21" s="22"/>
      <c r="N21" s="35">
        <v>12</v>
      </c>
      <c r="O21" s="25" t="s">
        <v>111</v>
      </c>
      <c r="P21" s="30"/>
      <c r="Q21" s="30"/>
      <c r="R21" s="30"/>
    </row>
    <row r="22" spans="1:19" s="25" customFormat="1" ht="15.75" x14ac:dyDescent="0.25">
      <c r="A22" s="19"/>
      <c r="B22" s="24"/>
      <c r="C22" s="24"/>
      <c r="D22" s="20"/>
      <c r="E22" s="20"/>
      <c r="F22" s="20"/>
      <c r="G22" s="19" t="s">
        <v>58</v>
      </c>
      <c r="H22" s="24">
        <f>H16+H20</f>
        <v>7.5457677875049294</v>
      </c>
      <c r="I22" s="24"/>
      <c r="J22" s="22">
        <f>H22*H25</f>
        <v>33.023053774638583</v>
      </c>
      <c r="M22" s="22"/>
      <c r="P22" s="30"/>
      <c r="Q22" s="30"/>
      <c r="R22" s="30"/>
    </row>
    <row r="23" spans="1:19" s="20" customFormat="1" ht="15.75" x14ac:dyDescent="0.25">
      <c r="A23" s="19"/>
      <c r="B23" s="24"/>
      <c r="C23" s="24"/>
      <c r="G23" s="19" t="s">
        <v>61</v>
      </c>
      <c r="H23" s="24">
        <v>6</v>
      </c>
      <c r="I23" s="24"/>
      <c r="J23" s="22"/>
      <c r="K23" s="25"/>
      <c r="L23" s="25"/>
      <c r="M23" s="19"/>
      <c r="P23" s="29"/>
      <c r="Q23" s="29"/>
      <c r="R23" s="29"/>
    </row>
    <row r="24" spans="1:19" s="20" customFormat="1" ht="15.75" x14ac:dyDescent="0.25">
      <c r="A24" s="19"/>
      <c r="B24" s="24"/>
      <c r="C24" s="24"/>
      <c r="G24" s="19" t="s">
        <v>63</v>
      </c>
      <c r="H24" s="24">
        <v>-48</v>
      </c>
      <c r="I24" s="24"/>
      <c r="J24" s="22"/>
      <c r="K24" s="25"/>
      <c r="L24" s="25"/>
      <c r="M24" s="19"/>
      <c r="N24" s="20">
        <f>N9*N10+N20*N21</f>
        <v>988.47914843064098</v>
      </c>
      <c r="O24" s="20" t="s">
        <v>104</v>
      </c>
      <c r="P24" s="29"/>
      <c r="Q24" s="29"/>
      <c r="R24" s="29"/>
    </row>
    <row r="25" spans="1:19" s="20" customFormat="1" ht="15.75" x14ac:dyDescent="0.25">
      <c r="A25" s="19"/>
      <c r="B25" s="24"/>
      <c r="C25" s="24"/>
      <c r="G25" s="19" t="s">
        <v>62</v>
      </c>
      <c r="H25" s="25">
        <f>4/H11</f>
        <v>4.3763676148796424</v>
      </c>
      <c r="I25" s="25"/>
      <c r="J25" s="22"/>
      <c r="K25" s="25"/>
      <c r="L25" s="25"/>
      <c r="M25" s="19"/>
      <c r="N25" s="20">
        <f>N24/12</f>
        <v>82.373262369220086</v>
      </c>
      <c r="O25" s="20" t="s">
        <v>105</v>
      </c>
      <c r="P25" s="29"/>
      <c r="Q25" s="29"/>
      <c r="R25" s="29"/>
    </row>
    <row r="26" spans="1:19" s="25" customFormat="1" ht="15.75" x14ac:dyDescent="0.25">
      <c r="A26" s="23" t="s">
        <v>78</v>
      </c>
      <c r="B26" s="24"/>
      <c r="C26" s="24"/>
      <c r="D26" s="20"/>
      <c r="E26" s="20"/>
      <c r="F26" s="20"/>
      <c r="G26" s="20"/>
      <c r="H26" s="24"/>
      <c r="I26" s="24"/>
      <c r="J26" s="22"/>
      <c r="M26" s="22"/>
      <c r="P26" s="30"/>
      <c r="Q26" s="30"/>
      <c r="R26" s="30"/>
    </row>
    <row r="27" spans="1:19" s="25" customFormat="1" ht="15.75" x14ac:dyDescent="0.25">
      <c r="A27" s="19"/>
      <c r="B27" s="24">
        <f>B6</f>
        <v>1</v>
      </c>
      <c r="C27" s="24">
        <f>C6</f>
        <v>51</v>
      </c>
      <c r="D27" s="24">
        <f t="shared" ref="D27" si="13">B27+$H$23</f>
        <v>7</v>
      </c>
      <c r="E27" s="24">
        <f t="shared" ref="E27" si="14">C27+$H$24</f>
        <v>3</v>
      </c>
      <c r="F27" s="20"/>
      <c r="G27" s="20" t="s">
        <v>44</v>
      </c>
      <c r="H27" s="24">
        <f>SQRT((B27-B28)^2+(C27-C28)^2)</f>
        <v>0.91400000000000148</v>
      </c>
      <c r="I27" s="24"/>
      <c r="J27" s="22">
        <f t="shared" ref="J27:J36" si="15">H27*$H$25</f>
        <v>3.9999999999999996</v>
      </c>
      <c r="K27" s="25">
        <f>D27*$H$25</f>
        <v>30.634573304157499</v>
      </c>
      <c r="L27" s="25">
        <f>E27*$H$25</f>
        <v>13.129102844638927</v>
      </c>
      <c r="M27" s="22" t="s">
        <v>106</v>
      </c>
      <c r="N27" s="25" t="s">
        <v>107</v>
      </c>
      <c r="O27" s="25" t="s">
        <v>108</v>
      </c>
      <c r="P27" s="30"/>
      <c r="Q27" s="30"/>
      <c r="R27" s="30"/>
    </row>
    <row r="28" spans="1:19" s="25" customFormat="1" ht="15.75" x14ac:dyDescent="0.25">
      <c r="A28" s="19"/>
      <c r="B28" s="24">
        <f>B12</f>
        <v>1</v>
      </c>
      <c r="C28" s="24">
        <f>C12</f>
        <v>51.914000000000001</v>
      </c>
      <c r="D28" s="24">
        <f>B28+$H$23</f>
        <v>7</v>
      </c>
      <c r="E28" s="24">
        <f>C28+$H$24</f>
        <v>3.9140000000000015</v>
      </c>
      <c r="F28" s="20"/>
      <c r="G28" s="20" t="s">
        <v>29</v>
      </c>
      <c r="H28" s="24">
        <f t="shared" ref="H28:H36" si="16">SQRT((B28-B29)^2+(C28-C29)^2)</f>
        <v>2.3559985611201033</v>
      </c>
      <c r="I28" s="24"/>
      <c r="J28" s="22">
        <f t="shared" si="15"/>
        <v>10.310715803589057</v>
      </c>
      <c r="K28" s="25">
        <f t="shared" ref="K28:L37" si="17">D28*$H$25</f>
        <v>30.634573304157499</v>
      </c>
      <c r="L28" s="25">
        <f t="shared" si="17"/>
        <v>17.129102844638926</v>
      </c>
      <c r="M28" s="22"/>
      <c r="N28" s="25">
        <f>10-K4</f>
        <v>-20.634573304157499</v>
      </c>
      <c r="O28" s="25">
        <f>14-L4</f>
        <v>-7.8818380743982104</v>
      </c>
      <c r="P28" s="30"/>
      <c r="Q28" s="30"/>
      <c r="R28" s="30"/>
    </row>
    <row r="29" spans="1:19" s="25" customFormat="1" ht="15.75" x14ac:dyDescent="0.25">
      <c r="A29" s="19"/>
      <c r="B29" s="24">
        <f>(B12-B13)+B12</f>
        <v>3.3329</v>
      </c>
      <c r="C29" s="24">
        <f>C13</f>
        <v>52.243099999999998</v>
      </c>
      <c r="D29" s="24">
        <f t="shared" ref="D29:D37" si="18">B29+$H$23</f>
        <v>9.3329000000000004</v>
      </c>
      <c r="E29" s="24">
        <f t="shared" ref="E29:E37" si="19">C29+$H$24</f>
        <v>4.2430999999999983</v>
      </c>
      <c r="F29" s="20"/>
      <c r="G29" s="20" t="s">
        <v>79</v>
      </c>
      <c r="H29" s="24">
        <f t="shared" si="16"/>
        <v>1.8166547553126307</v>
      </c>
      <c r="I29" s="24"/>
      <c r="J29" s="22">
        <f t="shared" si="15"/>
        <v>7.9503490385672979</v>
      </c>
      <c r="K29" s="25">
        <f t="shared" si="17"/>
        <v>40.844201312910215</v>
      </c>
      <c r="L29" s="25">
        <f t="shared" si="17"/>
        <v>18.569365426695803</v>
      </c>
      <c r="M29" s="22" t="s">
        <v>47</v>
      </c>
      <c r="N29" s="36">
        <f>K4+N28</f>
        <v>10</v>
      </c>
      <c r="O29" s="36">
        <f>L4+O28</f>
        <v>14</v>
      </c>
      <c r="P29" s="30"/>
      <c r="Q29" s="30"/>
      <c r="R29" s="30"/>
    </row>
    <row r="30" spans="1:19" s="25" customFormat="1" ht="15.75" x14ac:dyDescent="0.25">
      <c r="A30" s="19"/>
      <c r="B30" s="24">
        <f>B11-B14+B11</f>
        <v>2.8212000000000002</v>
      </c>
      <c r="C30" s="24">
        <f>C14</f>
        <v>50.5</v>
      </c>
      <c r="D30" s="24">
        <f t="shared" si="18"/>
        <v>8.821200000000001</v>
      </c>
      <c r="E30" s="24">
        <f t="shared" si="19"/>
        <v>2.5</v>
      </c>
      <c r="F30" s="20"/>
      <c r="G30" s="20" t="s">
        <v>73</v>
      </c>
      <c r="H30" s="24">
        <f t="shared" si="16"/>
        <v>1.8166547553126307</v>
      </c>
      <c r="I30" s="24"/>
      <c r="J30" s="22">
        <f t="shared" si="15"/>
        <v>7.9503490385672979</v>
      </c>
      <c r="K30" s="25">
        <f t="shared" si="17"/>
        <v>38.604814004376308</v>
      </c>
      <c r="L30" s="25">
        <f t="shared" si="17"/>
        <v>10.940919037199105</v>
      </c>
      <c r="M30" s="22" t="s">
        <v>44</v>
      </c>
      <c r="N30" s="36">
        <f>K6+N28</f>
        <v>10</v>
      </c>
      <c r="O30" s="36">
        <f>L6+O28</f>
        <v>5.2472647702407169</v>
      </c>
      <c r="P30" s="30"/>
      <c r="Q30" s="30"/>
      <c r="R30" s="30"/>
    </row>
    <row r="31" spans="1:19" s="25" customFormat="1" ht="15.75" x14ac:dyDescent="0.25">
      <c r="A31" s="19"/>
      <c r="B31" s="24">
        <f>B11-B13+B11</f>
        <v>3.3329</v>
      </c>
      <c r="C31" s="24">
        <f>C13</f>
        <v>52.243099999999998</v>
      </c>
      <c r="D31" s="24">
        <f t="shared" si="18"/>
        <v>9.3329000000000004</v>
      </c>
      <c r="E31" s="24">
        <f t="shared" si="19"/>
        <v>4.2430999999999983</v>
      </c>
      <c r="F31" s="20"/>
      <c r="G31" s="20" t="s">
        <v>79</v>
      </c>
      <c r="H31" s="24">
        <f t="shared" si="16"/>
        <v>1.5749675203000217</v>
      </c>
      <c r="I31" s="24"/>
      <c r="J31" s="22">
        <f t="shared" si="15"/>
        <v>6.8926368503283113</v>
      </c>
      <c r="K31" s="25">
        <f t="shared" si="17"/>
        <v>40.844201312910215</v>
      </c>
      <c r="L31" s="25">
        <f t="shared" si="17"/>
        <v>18.569365426695803</v>
      </c>
      <c r="M31" s="22" t="s">
        <v>109</v>
      </c>
      <c r="N31" s="36">
        <f>K5+N28</f>
        <v>2.029759299781194</v>
      </c>
      <c r="O31" s="36">
        <f>L5+O28</f>
        <v>3.0590809628008948</v>
      </c>
      <c r="P31" s="30"/>
      <c r="Q31" s="30"/>
      <c r="R31" s="30"/>
    </row>
    <row r="32" spans="1:19" s="25" customFormat="1" ht="15.75" x14ac:dyDescent="0.25">
      <c r="A32" s="19"/>
      <c r="B32" s="24">
        <f>B11-B16+B11</f>
        <v>4.8918999999999997</v>
      </c>
      <c r="C32" s="24">
        <f>C16</f>
        <v>52.466799999999999</v>
      </c>
      <c r="D32" s="24">
        <f t="shared" si="18"/>
        <v>10.8919</v>
      </c>
      <c r="E32" s="24">
        <f t="shared" si="19"/>
        <v>4.4667999999999992</v>
      </c>
      <c r="F32" s="20"/>
      <c r="G32" s="20" t="s">
        <v>84</v>
      </c>
      <c r="H32" s="24">
        <f t="shared" si="16"/>
        <v>2.6698306950067092</v>
      </c>
      <c r="I32" s="24"/>
      <c r="J32" s="22">
        <f t="shared" si="15"/>
        <v>11.684160590838971</v>
      </c>
      <c r="K32" s="25">
        <f t="shared" si="17"/>
        <v>47.666958424507577</v>
      </c>
      <c r="L32" s="25">
        <f t="shared" si="17"/>
        <v>19.548358862144383</v>
      </c>
      <c r="M32" s="22" t="s">
        <v>110</v>
      </c>
      <c r="N32" s="36">
        <f>K7+N28</f>
        <v>17.97024070021881</v>
      </c>
      <c r="O32" s="36">
        <f>L7+O28</f>
        <v>3.0590809628008948</v>
      </c>
      <c r="P32" s="30"/>
      <c r="Q32" s="30"/>
      <c r="R32" s="30"/>
    </row>
    <row r="33" spans="1:18" s="25" customFormat="1" ht="15.75" x14ac:dyDescent="0.25">
      <c r="A33" s="19"/>
      <c r="B33" s="24">
        <f>B11-B17+B11</f>
        <v>3.6332</v>
      </c>
      <c r="C33" s="24">
        <f>C17</f>
        <v>54.821300000000001</v>
      </c>
      <c r="D33" s="24">
        <f t="shared" si="18"/>
        <v>9.6332000000000004</v>
      </c>
      <c r="E33" s="24">
        <f t="shared" si="19"/>
        <v>6.8213000000000008</v>
      </c>
      <c r="F33" s="20"/>
      <c r="G33" s="20" t="s">
        <v>81</v>
      </c>
      <c r="H33" s="24">
        <f t="shared" si="16"/>
        <v>3.2016989130772435</v>
      </c>
      <c r="I33" s="24"/>
      <c r="J33" s="22">
        <f t="shared" si="15"/>
        <v>14.011811435786599</v>
      </c>
      <c r="K33" s="25">
        <f t="shared" si="17"/>
        <v>42.158424507658573</v>
      </c>
      <c r="L33" s="25">
        <f t="shared" si="17"/>
        <v>29.85251641137851</v>
      </c>
      <c r="M33" s="22" t="s">
        <v>115</v>
      </c>
      <c r="N33" s="36">
        <v>0</v>
      </c>
      <c r="O33" s="36">
        <v>0</v>
      </c>
      <c r="P33" s="30"/>
      <c r="Q33" s="30"/>
      <c r="R33" s="30"/>
    </row>
    <row r="34" spans="1:18" s="25" customFormat="1" ht="15.75" x14ac:dyDescent="0.25">
      <c r="A34" s="19"/>
      <c r="B34" s="24">
        <f>B4</f>
        <v>1</v>
      </c>
      <c r="C34" s="24">
        <f>C4</f>
        <v>53</v>
      </c>
      <c r="D34" s="24">
        <f t="shared" si="18"/>
        <v>7</v>
      </c>
      <c r="E34" s="24">
        <f t="shared" si="19"/>
        <v>5</v>
      </c>
      <c r="F34" s="20"/>
      <c r="G34" s="20" t="s">
        <v>47</v>
      </c>
      <c r="H34" s="24">
        <f t="shared" si="16"/>
        <v>3.2016989130772435</v>
      </c>
      <c r="I34" s="24"/>
      <c r="J34" s="22">
        <f t="shared" si="15"/>
        <v>14.011811435786599</v>
      </c>
      <c r="K34" s="25">
        <f t="shared" si="17"/>
        <v>30.634573304157499</v>
      </c>
      <c r="L34" s="25">
        <f t="shared" si="17"/>
        <v>21.88183807439821</v>
      </c>
      <c r="M34" s="22" t="s">
        <v>115</v>
      </c>
      <c r="N34" s="36">
        <v>20</v>
      </c>
      <c r="O34" s="36">
        <v>0</v>
      </c>
      <c r="P34" s="30"/>
      <c r="Q34" s="30"/>
      <c r="R34" s="30"/>
    </row>
    <row r="35" spans="1:18" s="25" customFormat="1" ht="15.75" x14ac:dyDescent="0.25">
      <c r="A35" s="19"/>
      <c r="B35" s="24">
        <f>B11-B17+B11</f>
        <v>3.6332</v>
      </c>
      <c r="C35" s="24">
        <f>C17</f>
        <v>54.821300000000001</v>
      </c>
      <c r="D35" s="24">
        <f t="shared" si="18"/>
        <v>9.6332000000000004</v>
      </c>
      <c r="E35" s="24">
        <f t="shared" si="19"/>
        <v>6.8213000000000008</v>
      </c>
      <c r="F35" s="20"/>
      <c r="G35" s="20" t="s">
        <v>81</v>
      </c>
      <c r="H35" s="24">
        <f t="shared" si="16"/>
        <v>2.6698306950067092</v>
      </c>
      <c r="I35" s="24"/>
      <c r="J35" s="22">
        <f t="shared" si="15"/>
        <v>11.684160590838971</v>
      </c>
      <c r="K35" s="25">
        <f t="shared" si="17"/>
        <v>42.158424507658573</v>
      </c>
      <c r="L35" s="25">
        <f t="shared" si="17"/>
        <v>29.85251641137851</v>
      </c>
      <c r="M35" s="22" t="s">
        <v>113</v>
      </c>
      <c r="N35" s="25">
        <f>K7-K5</f>
        <v>15.940481400437616</v>
      </c>
      <c r="P35" s="30"/>
      <c r="Q35" s="30"/>
      <c r="R35" s="30"/>
    </row>
    <row r="36" spans="1:18" s="25" customFormat="1" ht="15.75" x14ac:dyDescent="0.25">
      <c r="A36" s="19"/>
      <c r="B36" s="24">
        <f>B11-B16+B11</f>
        <v>4.8918999999999997</v>
      </c>
      <c r="C36" s="24">
        <f>C16</f>
        <v>52.466799999999999</v>
      </c>
      <c r="D36" s="24">
        <f t="shared" si="18"/>
        <v>10.8919</v>
      </c>
      <c r="E36" s="24">
        <f t="shared" si="19"/>
        <v>4.4667999999999992</v>
      </c>
      <c r="F36" s="20"/>
      <c r="G36" s="20" t="s">
        <v>80</v>
      </c>
      <c r="H36" s="24">
        <f t="shared" si="16"/>
        <v>4.8759370924982202</v>
      </c>
      <c r="I36" s="24"/>
      <c r="J36" s="22">
        <f t="shared" si="15"/>
        <v>21.338893183799613</v>
      </c>
      <c r="K36" s="25">
        <f t="shared" si="17"/>
        <v>47.666958424507577</v>
      </c>
      <c r="L36" s="25">
        <f t="shared" si="17"/>
        <v>19.548358862144383</v>
      </c>
      <c r="M36" s="22"/>
      <c r="P36" s="30"/>
      <c r="Q36" s="30"/>
      <c r="R36" s="30"/>
    </row>
    <row r="37" spans="1:18" s="25" customFormat="1" ht="15.75" x14ac:dyDescent="0.25">
      <c r="A37" s="19"/>
      <c r="B37" s="24">
        <f>B11-B21+B11</f>
        <v>7.1985999999999999</v>
      </c>
      <c r="C37" s="24">
        <f>C21</f>
        <v>48.170999999999999</v>
      </c>
      <c r="D37" s="24">
        <f t="shared" si="18"/>
        <v>13.198599999999999</v>
      </c>
      <c r="E37" s="24">
        <f t="shared" si="19"/>
        <v>0.17099999999999937</v>
      </c>
      <c r="F37" s="20"/>
      <c r="G37" s="20" t="s">
        <v>83</v>
      </c>
      <c r="H37" s="24"/>
      <c r="I37" s="24"/>
      <c r="J37" s="22"/>
      <c r="K37" s="25">
        <f t="shared" si="17"/>
        <v>57.761925601750441</v>
      </c>
      <c r="L37" s="25">
        <f t="shared" si="17"/>
        <v>0.74835886214441616</v>
      </c>
      <c r="M37" s="22"/>
      <c r="P37" s="30"/>
      <c r="Q37" s="30"/>
      <c r="R37" s="30"/>
    </row>
    <row r="38" spans="1:18" s="20" customFormat="1" ht="15.75" x14ac:dyDescent="0.25">
      <c r="A38" s="19"/>
      <c r="B38" s="24"/>
      <c r="C38" s="24"/>
      <c r="H38" s="24"/>
      <c r="I38" s="24"/>
      <c r="J38" s="22"/>
      <c r="K38" s="25"/>
      <c r="L38" s="25"/>
      <c r="M38" s="19"/>
      <c r="P38" s="29"/>
      <c r="Q38" s="29"/>
      <c r="R38" s="29"/>
    </row>
  </sheetData>
  <mergeCells count="2">
    <mergeCell ref="J1:L1"/>
    <mergeCell ref="P1:R1"/>
  </mergeCells>
  <pageMargins left="0.25" right="0.25" top="0" bottom="0" header="0.3" footer="0.3"/>
  <pageSetup fitToHeight="0" orientation="landscape" r:id="rId1"/>
  <rowBreaks count="1" manualBreakCount="1">
    <brk id="3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P32" sqref="P32"/>
    </sheetView>
  </sheetViews>
  <sheetFormatPr defaultRowHeight="15" x14ac:dyDescent="0.25"/>
  <cols>
    <col min="4" max="4" width="9.140625" style="18"/>
    <col min="6" max="6" width="9.140625" style="40"/>
    <col min="7" max="7" width="9.140625" style="18"/>
    <col min="9" max="9" width="9.140625" style="42"/>
    <col min="10" max="10" width="9.140625" style="18"/>
    <col min="11" max="11" width="9.140625" style="42"/>
    <col min="12" max="13" width="9.140625" style="18"/>
    <col min="14" max="14" width="7.5703125" style="43" customWidth="1"/>
    <col min="15" max="15" width="20" style="43" customWidth="1"/>
    <col min="17" max="18" width="9.140625" style="9"/>
  </cols>
  <sheetData>
    <row r="1" spans="1:19" x14ac:dyDescent="0.25">
      <c r="B1" s="69" t="s">
        <v>128</v>
      </c>
      <c r="C1" s="70"/>
      <c r="D1" s="71"/>
      <c r="E1" s="69" t="s">
        <v>126</v>
      </c>
      <c r="F1" s="70"/>
      <c r="G1" s="71"/>
      <c r="H1" s="69" t="s">
        <v>127</v>
      </c>
      <c r="I1" s="70"/>
      <c r="J1" s="71"/>
      <c r="N1" s="43" t="s">
        <v>138</v>
      </c>
    </row>
    <row r="2" spans="1:19" s="9" customFormat="1" x14ac:dyDescent="0.25">
      <c r="A2" s="9" t="s">
        <v>119</v>
      </c>
      <c r="B2" s="9" t="s">
        <v>116</v>
      </c>
      <c r="C2" s="39" t="s">
        <v>117</v>
      </c>
      <c r="D2" s="13" t="s">
        <v>118</v>
      </c>
      <c r="E2" s="9" t="s">
        <v>116</v>
      </c>
      <c r="F2" s="39" t="s">
        <v>117</v>
      </c>
      <c r="G2" s="13" t="s">
        <v>118</v>
      </c>
      <c r="H2" s="9" t="s">
        <v>116</v>
      </c>
      <c r="I2" s="41" t="s">
        <v>117</v>
      </c>
      <c r="J2" s="13" t="s">
        <v>118</v>
      </c>
      <c r="K2" s="68" t="s">
        <v>120</v>
      </c>
      <c r="L2" s="68"/>
      <c r="M2" s="9" t="s">
        <v>121</v>
      </c>
      <c r="N2" s="31"/>
      <c r="O2" s="31"/>
      <c r="P2" s="9" t="s">
        <v>122</v>
      </c>
      <c r="Q2" s="9" t="s">
        <v>123</v>
      </c>
      <c r="R2" s="9" t="s">
        <v>131</v>
      </c>
    </row>
    <row r="3" spans="1:19" s="9" customFormat="1" x14ac:dyDescent="0.25">
      <c r="A3" s="9">
        <v>10</v>
      </c>
      <c r="D3" s="13">
        <v>4.4999999999999998E-2</v>
      </c>
      <c r="E3" s="9">
        <v>127</v>
      </c>
      <c r="F3" s="39">
        <f>E3/13.887</f>
        <v>9.145243753150428</v>
      </c>
      <c r="G3" s="13"/>
      <c r="H3" s="9">
        <v>368</v>
      </c>
      <c r="I3" s="41">
        <f>H3/13.887</f>
        <v>26.499603946136673</v>
      </c>
      <c r="J3" s="13">
        <v>0.5</v>
      </c>
      <c r="K3" s="41">
        <v>6</v>
      </c>
      <c r="L3" s="13">
        <f>K3/25.4</f>
        <v>0.23622047244094491</v>
      </c>
      <c r="M3" s="13">
        <v>0.28000000000000003</v>
      </c>
      <c r="N3" s="43"/>
      <c r="O3" s="43"/>
      <c r="P3" s="38">
        <v>25</v>
      </c>
      <c r="Q3" s="9" t="s">
        <v>124</v>
      </c>
      <c r="S3" s="10" t="s">
        <v>125</v>
      </c>
    </row>
    <row r="4" spans="1:19" x14ac:dyDescent="0.25">
      <c r="A4">
        <v>10</v>
      </c>
      <c r="D4" s="18">
        <v>9.5000000000000001E-2</v>
      </c>
      <c r="H4">
        <v>368</v>
      </c>
      <c r="I4" s="41">
        <f>H4/13.887</f>
        <v>26.499603946136673</v>
      </c>
      <c r="J4" s="18">
        <v>0.5</v>
      </c>
      <c r="K4" s="42">
        <v>6</v>
      </c>
      <c r="L4" s="13">
        <f>K4/25.4</f>
        <v>0.23622047244094491</v>
      </c>
      <c r="M4" s="13">
        <f>4.5/16</f>
        <v>0.28125</v>
      </c>
      <c r="P4" s="37">
        <v>25</v>
      </c>
      <c r="Q4" s="9" t="s">
        <v>124</v>
      </c>
      <c r="S4" t="s">
        <v>129</v>
      </c>
    </row>
    <row r="5" spans="1:19" x14ac:dyDescent="0.25">
      <c r="A5">
        <v>10</v>
      </c>
      <c r="D5" s="18">
        <v>0.08</v>
      </c>
      <c r="H5">
        <v>750</v>
      </c>
      <c r="I5" s="41">
        <f>H5/13.887</f>
        <v>54.007344998919848</v>
      </c>
      <c r="J5" s="18">
        <v>1</v>
      </c>
      <c r="K5" s="42">
        <v>6</v>
      </c>
      <c r="L5" s="13">
        <f>K5/25.4</f>
        <v>0.23622047244094491</v>
      </c>
      <c r="M5" s="18">
        <v>0.5</v>
      </c>
      <c r="P5" s="37">
        <v>35</v>
      </c>
      <c r="Q5" s="9" t="s">
        <v>124</v>
      </c>
      <c r="S5" t="s">
        <v>130</v>
      </c>
    </row>
    <row r="6" spans="1:19" s="44" customFormat="1" x14ac:dyDescent="0.25">
      <c r="A6" s="44">
        <v>10</v>
      </c>
      <c r="D6" s="45">
        <v>0.45</v>
      </c>
      <c r="F6" s="46">
        <v>120</v>
      </c>
      <c r="G6" s="45"/>
      <c r="I6" s="46"/>
      <c r="J6" s="45"/>
      <c r="K6" s="46"/>
      <c r="L6" s="47">
        <f t="shared" ref="L6:L9" si="0">K6/25.4</f>
        <v>0</v>
      </c>
      <c r="M6" s="45"/>
      <c r="N6" s="48" t="s">
        <v>139</v>
      </c>
      <c r="O6" s="49" t="s">
        <v>145</v>
      </c>
      <c r="P6" s="50">
        <v>60</v>
      </c>
      <c r="Q6" s="51" t="s">
        <v>133</v>
      </c>
      <c r="R6" s="51" t="s">
        <v>132</v>
      </c>
      <c r="S6" s="52" t="s">
        <v>134</v>
      </c>
    </row>
    <row r="7" spans="1:19" s="56" customFormat="1" x14ac:dyDescent="0.25">
      <c r="A7" s="56">
        <v>10</v>
      </c>
      <c r="B7" s="57"/>
      <c r="C7" s="57"/>
      <c r="D7" s="58">
        <v>0.38</v>
      </c>
      <c r="F7" s="59">
        <v>130</v>
      </c>
      <c r="G7" s="58">
        <v>1.68</v>
      </c>
      <c r="I7" s="59">
        <v>332</v>
      </c>
      <c r="J7" s="58">
        <v>5.9</v>
      </c>
      <c r="K7" s="59">
        <v>10</v>
      </c>
      <c r="L7" s="60">
        <f>K7/25.4</f>
        <v>0.39370078740157483</v>
      </c>
      <c r="M7" s="58">
        <f>1.2/2.2</f>
        <v>0.54545454545454541</v>
      </c>
      <c r="N7" s="61" t="s">
        <v>139</v>
      </c>
      <c r="O7" s="64" t="s">
        <v>142</v>
      </c>
      <c r="P7" s="62">
        <v>60</v>
      </c>
      <c r="Q7" s="63" t="s">
        <v>133</v>
      </c>
      <c r="R7" s="63" t="s">
        <v>146</v>
      </c>
      <c r="S7" s="56" t="s">
        <v>143</v>
      </c>
    </row>
    <row r="8" spans="1:19" s="44" customFormat="1" x14ac:dyDescent="0.25">
      <c r="A8" s="44">
        <v>9</v>
      </c>
      <c r="B8" s="53"/>
      <c r="C8" s="53"/>
      <c r="D8" s="45">
        <v>0.6</v>
      </c>
      <c r="F8" s="46">
        <v>130</v>
      </c>
      <c r="G8" s="45"/>
      <c r="I8" s="46"/>
      <c r="J8" s="45"/>
      <c r="K8" s="46"/>
      <c r="L8" s="47"/>
      <c r="M8" s="45">
        <f>1.2/2.2</f>
        <v>0.54545454545454541</v>
      </c>
      <c r="N8" s="48"/>
      <c r="O8" s="49" t="s">
        <v>142</v>
      </c>
      <c r="P8" s="50">
        <v>60</v>
      </c>
      <c r="Q8" s="51" t="s">
        <v>133</v>
      </c>
      <c r="R8" s="51" t="s">
        <v>146</v>
      </c>
      <c r="S8" s="52" t="s">
        <v>144</v>
      </c>
    </row>
    <row r="9" spans="1:19" x14ac:dyDescent="0.25">
      <c r="A9">
        <v>10</v>
      </c>
      <c r="D9" s="18">
        <v>0.15</v>
      </c>
      <c r="F9" s="40">
        <v>20.9</v>
      </c>
      <c r="K9" s="42">
        <v>6</v>
      </c>
      <c r="L9" s="13">
        <f t="shared" si="0"/>
        <v>0.23622047244094491</v>
      </c>
      <c r="M9" s="18">
        <f>352/28.3/16</f>
        <v>0.77738515901060068</v>
      </c>
      <c r="P9" s="37">
        <v>26</v>
      </c>
      <c r="Q9" s="9" t="s">
        <v>135</v>
      </c>
      <c r="R9" s="9" t="s">
        <v>136</v>
      </c>
      <c r="S9" t="s">
        <v>137</v>
      </c>
    </row>
    <row r="10" spans="1:19" x14ac:dyDescent="0.25">
      <c r="A10">
        <v>12</v>
      </c>
      <c r="H10">
        <f>40*16</f>
        <v>640</v>
      </c>
      <c r="J10" s="18">
        <v>1.3</v>
      </c>
      <c r="K10" s="42">
        <f>L10*25.4</f>
        <v>7.9375</v>
      </c>
      <c r="L10" s="18">
        <f>5/16</f>
        <v>0.3125</v>
      </c>
      <c r="P10" s="37">
        <v>56</v>
      </c>
      <c r="Q10" s="9" t="s">
        <v>133</v>
      </c>
      <c r="S10" t="s">
        <v>140</v>
      </c>
    </row>
    <row r="11" spans="1:19" x14ac:dyDescent="0.25">
      <c r="A11">
        <v>8.8000000000000007</v>
      </c>
      <c r="H11">
        <f>41*16</f>
        <v>656</v>
      </c>
      <c r="J11" s="18">
        <v>1</v>
      </c>
      <c r="S11" t="s">
        <v>141</v>
      </c>
    </row>
    <row r="14" spans="1:19" x14ac:dyDescent="0.25">
      <c r="A14" t="s">
        <v>147</v>
      </c>
      <c r="D14" s="18" t="s">
        <v>148</v>
      </c>
    </row>
    <row r="15" spans="1:19" x14ac:dyDescent="0.25">
      <c r="A15" t="s">
        <v>151</v>
      </c>
      <c r="D15" s="18" t="s">
        <v>152</v>
      </c>
    </row>
  </sheetData>
  <mergeCells count="4">
    <mergeCell ref="K2:L2"/>
    <mergeCell ref="B1:D1"/>
    <mergeCell ref="E1:G1"/>
    <mergeCell ref="H1:J1"/>
  </mergeCells>
  <hyperlinks>
    <hyperlink ref="S6" r:id="rId1"/>
    <hyperlink ref="S8" r:id="rId2"/>
  </hyperlinks>
  <pageMargins left="0.25" right="0.25" top="0.75" bottom="0.75" header="0.3" footer="0.3"/>
  <pageSetup orientation="landscape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 linkages</vt:lpstr>
      <vt:lpstr>point positions (1)</vt:lpstr>
      <vt:lpstr>point positions (2)</vt:lpstr>
      <vt:lpstr>point positions (3)</vt:lpstr>
      <vt:lpstr>point positions (4)</vt:lpstr>
      <vt:lpstr>point positions (5), final</vt:lpstr>
      <vt:lpstr>motors, etc.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2016-06-28T17:57:54Z</cp:lastPrinted>
  <dcterms:created xsi:type="dcterms:W3CDTF">2016-05-28T23:36:07Z</dcterms:created>
  <dcterms:modified xsi:type="dcterms:W3CDTF">2017-03-05T05:28:43Z</dcterms:modified>
</cp:coreProperties>
</file>