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gl\Documents\"/>
    </mc:Choice>
  </mc:AlternateContent>
  <xr:revisionPtr revIDLastSave="0" documentId="13_ncr:1_{671AC757-1BC1-4CE8-8E72-3AB51A56AE51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Imposition Location Meublée" sheetId="7" r:id="rId1"/>
    <sheet name="Feuil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7" l="1"/>
  <c r="P21" i="7"/>
  <c r="P15" i="7"/>
  <c r="P16" i="7"/>
  <c r="P25" i="7"/>
  <c r="C23" i="7"/>
  <c r="K11" i="7"/>
  <c r="K10" i="7"/>
  <c r="C8" i="7"/>
  <c r="C11" i="7" s="1"/>
  <c r="G19" i="7"/>
  <c r="P14" i="7"/>
  <c r="P11" i="7"/>
  <c r="C14" i="7" s="1"/>
  <c r="K7" i="8"/>
  <c r="K8" i="8"/>
  <c r="K9" i="8"/>
  <c r="K10" i="8"/>
  <c r="K11" i="8"/>
  <c r="K12" i="8"/>
  <c r="K13" i="8"/>
  <c r="K14" i="8"/>
  <c r="K15" i="8"/>
  <c r="K16" i="8"/>
  <c r="K17" i="8"/>
  <c r="K18" i="8"/>
  <c r="K6" i="8"/>
  <c r="I4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4" i="8"/>
  <c r="H5" i="8"/>
  <c r="F18" i="8"/>
  <c r="C16" i="8"/>
  <c r="C17" i="8"/>
  <c r="C18" i="8"/>
  <c r="F16" i="8"/>
  <c r="F17" i="8"/>
  <c r="F11" i="8"/>
  <c r="F12" i="8"/>
  <c r="F13" i="8"/>
  <c r="F14" i="8"/>
  <c r="F15" i="8"/>
  <c r="C11" i="8"/>
  <c r="C12" i="8"/>
  <c r="C13" i="8"/>
  <c r="C14" i="8"/>
  <c r="C15" i="8"/>
  <c r="F5" i="8"/>
  <c r="F6" i="8"/>
  <c r="G7" i="8" s="1"/>
  <c r="I7" i="8" s="1"/>
  <c r="F7" i="8"/>
  <c r="G8" i="8" s="1"/>
  <c r="I8" i="8" s="1"/>
  <c r="F8" i="8"/>
  <c r="F9" i="8"/>
  <c r="G9" i="8" s="1"/>
  <c r="F10" i="8"/>
  <c r="F4" i="8"/>
  <c r="C6" i="8"/>
  <c r="C7" i="8"/>
  <c r="C8" i="8"/>
  <c r="C9" i="8"/>
  <c r="C10" i="8"/>
  <c r="C5" i="8"/>
  <c r="C22" i="7"/>
  <c r="P22" i="7" l="1"/>
  <c r="P23" i="7" s="1"/>
  <c r="K13" i="7" s="1"/>
  <c r="P17" i="7"/>
  <c r="C16" i="7"/>
  <c r="P18" i="7" s="1"/>
  <c r="K14" i="7"/>
  <c r="P13" i="7"/>
  <c r="G6" i="8"/>
  <c r="I6" i="8" s="1"/>
  <c r="G10" i="8"/>
  <c r="I10" i="8" s="1"/>
  <c r="I9" i="8"/>
  <c r="G5" i="8"/>
  <c r="I5" i="8" s="1"/>
  <c r="K15" i="7" l="1"/>
  <c r="K20" i="7"/>
  <c r="K18" i="7"/>
  <c r="K21" i="7"/>
  <c r="K19" i="7"/>
  <c r="K26" i="7"/>
  <c r="G11" i="8"/>
  <c r="I11" i="8" l="1"/>
  <c r="G12" i="8"/>
  <c r="I12" i="8" l="1"/>
  <c r="G13" i="8"/>
  <c r="I13" i="8" l="1"/>
  <c r="G14" i="8"/>
  <c r="K22" i="7" l="1"/>
  <c r="K23" i="7" s="1"/>
  <c r="K27" i="7" s="1"/>
  <c r="P19" i="7" s="1"/>
  <c r="P20" i="7" s="1"/>
  <c r="P24" i="7" s="1"/>
  <c r="I14" i="8"/>
  <c r="G15" i="8"/>
  <c r="I15" i="8" l="1"/>
  <c r="G16" i="8"/>
  <c r="G17" i="8" l="1"/>
  <c r="I16" i="8"/>
  <c r="I17" i="8" l="1"/>
  <c r="G18" i="8"/>
  <c r="I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tc={52FF15CE-357B-4E7D-812A-086B6D94CCA2}</author>
  </authors>
  <commentList>
    <comment ref="F7" authorId="0" shapeId="0" xr:uid="{52FF15CE-357B-4E7D-812A-086B6D94CCA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pouvoir avoir une liste déroulante (chambre, logement entier)</t>
      </text>
    </comment>
  </commentList>
</comments>
</file>

<file path=xl/sharedStrings.xml><?xml version="1.0" encoding="utf-8"?>
<sst xmlns="http://schemas.openxmlformats.org/spreadsheetml/2006/main" count="129" uniqueCount="84">
  <si>
    <t>Tableur rentabilité - Imposition location meublée</t>
  </si>
  <si>
    <t>CAS 4</t>
  </si>
  <si>
    <t>Projet</t>
  </si>
  <si>
    <t>Loyers prévisionnels HC</t>
  </si>
  <si>
    <t>Impôts</t>
  </si>
  <si>
    <t>Prix d'achat</t>
  </si>
  <si>
    <t>€</t>
  </si>
  <si>
    <t>Chambre 1</t>
  </si>
  <si>
    <t>Temps d'amortissement murs</t>
  </si>
  <si>
    <t>ans</t>
  </si>
  <si>
    <t>Notaire</t>
  </si>
  <si>
    <t>Chambre 2</t>
  </si>
  <si>
    <t>Temps d'amortissement travaux</t>
  </si>
  <si>
    <t xml:space="preserve">Travaux </t>
  </si>
  <si>
    <t>Chambre 3</t>
  </si>
  <si>
    <t>Temps d'amortissement meubles</t>
  </si>
  <si>
    <t>Amortissement des meubles</t>
  </si>
  <si>
    <t>Total</t>
  </si>
  <si>
    <t xml:space="preserve">Amortissement des murs </t>
  </si>
  <si>
    <t>Honoraires Chasseur TTC</t>
  </si>
  <si>
    <t>Amortissement des travaux (10ans)</t>
  </si>
  <si>
    <t>Meuble</t>
  </si>
  <si>
    <t>Financement</t>
  </si>
  <si>
    <t>Amortissement des intêrets (29%)</t>
  </si>
  <si>
    <t xml:space="preserve">Apport personnel </t>
  </si>
  <si>
    <t>Total emprunt</t>
  </si>
  <si>
    <t>Base d'imposition au Réel</t>
  </si>
  <si>
    <t>TAEG (assurance comprise)</t>
  </si>
  <si>
    <t>%</t>
  </si>
  <si>
    <t>Duree du crédit</t>
  </si>
  <si>
    <t>Impot 30%</t>
  </si>
  <si>
    <t>Tx Per/mois</t>
  </si>
  <si>
    <t>Mensualité</t>
  </si>
  <si>
    <t xml:space="preserve">Durée </t>
  </si>
  <si>
    <t>mois</t>
  </si>
  <si>
    <t>Prelèvement sociaux</t>
  </si>
  <si>
    <t>Amortissement K mensuel</t>
  </si>
  <si>
    <t>Charges annuel</t>
  </si>
  <si>
    <t>CSG  9,9</t>
  </si>
  <si>
    <t>Intérêt mensuel</t>
  </si>
  <si>
    <t>Charges de copropriétés</t>
  </si>
  <si>
    <t>TOTAL LOYERS</t>
  </si>
  <si>
    <t>CRDS 0,50%</t>
  </si>
  <si>
    <t>Bénéfice mensuel net</t>
  </si>
  <si>
    <t>Taxe foncière</t>
  </si>
  <si>
    <t>prelev social (4,5%)</t>
  </si>
  <si>
    <t>Bénéfice annuel net</t>
  </si>
  <si>
    <t>Assurance</t>
  </si>
  <si>
    <t>contrib additionnelle (0,3%)</t>
  </si>
  <si>
    <t>Rentabilité brute annuelle</t>
  </si>
  <si>
    <t>Frais divers</t>
  </si>
  <si>
    <t>prelev solidarité (2%)</t>
  </si>
  <si>
    <t>Intérêts totaux</t>
  </si>
  <si>
    <t>Total mensuel</t>
  </si>
  <si>
    <t>LOCATION EN MEUBLÉ</t>
  </si>
  <si>
    <t>Total impot sociaux</t>
  </si>
  <si>
    <t>TRI</t>
  </si>
  <si>
    <t>Cashflow</t>
  </si>
  <si>
    <t>Loyer annuel</t>
  </si>
  <si>
    <t>Cashflow brut</t>
  </si>
  <si>
    <t>Cashflow net net</t>
  </si>
  <si>
    <t>Prévisonnel</t>
  </si>
  <si>
    <t>Année</t>
  </si>
  <si>
    <t>Nombre de bien</t>
  </si>
  <si>
    <t>Cashflow estimatif/ biens</t>
  </si>
  <si>
    <t>Bénéfice</t>
  </si>
  <si>
    <t>Bénéfice cumulé</t>
  </si>
  <si>
    <t>Valorisation du patrimoine</t>
  </si>
  <si>
    <t>Variation annuelle</t>
  </si>
  <si>
    <t>n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</si>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</sst>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14"/>
      <color theme="3" tint="0.79998168889431442"/>
      <name val="Calibri"/>
      <family val="2"/>
      <scheme val="minor"/>
    </font>
    <font>
      <b/>
      <sz val="12"/>
      <color theme="3" tint="0.79998168889431442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sz val="16"/>
      <color theme="3" tint="0.79998168889431442"/>
      <name val="Calibri"/>
      <family val="2"/>
      <scheme val="minor"/>
    </font>
    <font>
      <sz val="32"/>
      <color theme="3" tint="0.79998168889431442"/>
      <name val="Calibri"/>
      <family val="2"/>
      <scheme val="minor"/>
    </font>
    <font>
      <sz val="32"/>
      <color theme="3" tint="0.79998168889431442"/>
      <name val="Times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1" applyFont="1"/>
    <xf numFmtId="0" fontId="3" fillId="2" borderId="0" xfId="0" applyFont="1" applyFill="1"/>
    <xf numFmtId="0" fontId="3" fillId="0" borderId="0" xfId="0" applyFont="1"/>
    <xf numFmtId="0" fontId="3" fillId="2" borderId="7" xfId="0" applyFont="1" applyFill="1" applyBorder="1"/>
    <xf numFmtId="0" fontId="4" fillId="2" borderId="0" xfId="0" applyFont="1" applyFill="1" applyAlignment="1">
      <alignment horizontal="center"/>
    </xf>
    <xf numFmtId="0" fontId="3" fillId="2" borderId="8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9" xfId="0" applyFont="1" applyFill="1" applyBorder="1"/>
    <xf numFmtId="1" fontId="3" fillId="2" borderId="0" xfId="0" applyNumberFormat="1" applyFont="1" applyFill="1"/>
    <xf numFmtId="10" fontId="3" fillId="2" borderId="19" xfId="0" applyNumberFormat="1" applyFont="1" applyFill="1" applyBorder="1"/>
    <xf numFmtId="2" fontId="3" fillId="2" borderId="10" xfId="0" applyNumberFormat="1" applyFont="1" applyFill="1" applyBorder="1"/>
    <xf numFmtId="2" fontId="3" fillId="2" borderId="19" xfId="0" applyNumberFormat="1" applyFont="1" applyFill="1" applyBorder="1"/>
    <xf numFmtId="2" fontId="3" fillId="2" borderId="0" xfId="0" applyNumberFormat="1" applyFont="1" applyFill="1"/>
    <xf numFmtId="1" fontId="6" fillId="2" borderId="19" xfId="0" applyNumberFormat="1" applyFont="1" applyFill="1" applyBorder="1"/>
    <xf numFmtId="1" fontId="3" fillId="2" borderId="19" xfId="0" applyNumberFormat="1" applyFont="1" applyFill="1" applyBorder="1"/>
    <xf numFmtId="0" fontId="3" fillId="2" borderId="18" xfId="0" applyFont="1" applyFill="1" applyBorder="1"/>
    <xf numFmtId="2" fontId="3" fillId="2" borderId="19" xfId="1" applyNumberFormat="1" applyFont="1" applyFill="1" applyBorder="1"/>
    <xf numFmtId="0" fontId="3" fillId="2" borderId="0" xfId="0" applyFont="1" applyFill="1" applyAlignment="1">
      <alignment horizontal="center"/>
    </xf>
    <xf numFmtId="1" fontId="3" fillId="2" borderId="10" xfId="0" applyNumberFormat="1" applyFont="1" applyFill="1" applyBorder="1"/>
    <xf numFmtId="43" fontId="3" fillId="2" borderId="0" xfId="2" applyFont="1" applyFill="1"/>
    <xf numFmtId="0" fontId="8" fillId="2" borderId="0" xfId="0" applyFont="1" applyFill="1" applyAlignment="1">
      <alignment horizontal="left" vertical="center" indent="3" readingOrder="1"/>
    </xf>
    <xf numFmtId="0" fontId="3" fillId="2" borderId="0" xfId="0" quotePrefix="1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top"/>
    </xf>
    <xf numFmtId="0" fontId="9" fillId="2" borderId="0" xfId="0" applyFont="1" applyFill="1"/>
    <xf numFmtId="0" fontId="3" fillId="3" borderId="7" xfId="0" applyFont="1" applyFill="1" applyBorder="1"/>
    <xf numFmtId="0" fontId="3" fillId="3" borderId="0" xfId="0" applyFont="1" applyFill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9" xfId="0" applyFont="1" applyFill="1" applyBorder="1" applyAlignment="1">
      <alignment horizontal="left" vertical="top" wrapText="1"/>
    </xf>
    <xf numFmtId="1" fontId="3" fillId="3" borderId="10" xfId="0" applyNumberFormat="1" applyFont="1" applyFill="1" applyBorder="1"/>
    <xf numFmtId="0" fontId="3" fillId="3" borderId="19" xfId="0" applyFont="1" applyFill="1" applyBorder="1"/>
    <xf numFmtId="10" fontId="3" fillId="3" borderId="19" xfId="0" applyNumberFormat="1" applyFont="1" applyFill="1" applyBorder="1"/>
    <xf numFmtId="0" fontId="3" fillId="4" borderId="8" xfId="0" applyFont="1" applyFill="1" applyBorder="1"/>
    <xf numFmtId="0" fontId="3" fillId="4" borderId="11" xfId="0" applyFont="1" applyFill="1" applyBorder="1"/>
    <xf numFmtId="0" fontId="3" fillId="4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5" borderId="8" xfId="0" applyFont="1" applyFill="1" applyBorder="1"/>
    <xf numFmtId="0" fontId="3" fillId="5" borderId="14" xfId="0" applyFont="1" applyFill="1" applyBorder="1"/>
    <xf numFmtId="0" fontId="3" fillId="5" borderId="11" xfId="0" applyFont="1" applyFill="1" applyBorder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190860</xdr:colOff>
      <xdr:row>30</xdr:row>
      <xdr:rowOff>99227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EBA75-B1E9-41E5-BA58-623F1D2B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000860" cy="19089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ine Chauvel" id="{942631BA-BB65-4D9B-9FBD-C9AE91D0098E}" userId="91fb643bda85e00d" providerId="Windows Live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5-04-15T17:08:02.66" personId="{942631BA-BB65-4D9B-9FBD-C9AE91D0098E}" id="{52FF15CE-357B-4E7D-812A-086B6D94CCA2}">
    <text>pouvoir avoir une liste déroulante (chambre, logement entier)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168"/>
  <sheetViews>
    <sheetView showGridLines="0" tabSelected="1" topLeftCell="A3" zoomScaleNormal="100" workbookViewId="0">
      <selection activeCell="J47" sqref="J47"/>
    </sheetView>
  </sheetViews>
  <sheetFormatPr baseColWidth="10" defaultColWidth="11.42578125" defaultRowHeight="15" x14ac:dyDescent="0.25"/>
  <cols>
    <col min="1" max="1" width="3.42578125" style="2" customWidth="1"/>
    <col min="2" max="2" width="24" style="2" bestFit="1" customWidth="1"/>
    <col min="3" max="3" width="12" style="2" customWidth="1"/>
    <col min="4" max="4" width="4" style="2" customWidth="1"/>
    <col min="5" max="5" width="4.7109375" style="2" customWidth="1"/>
    <col min="6" max="6" width="16" style="2" customWidth="1"/>
    <col min="7" max="7" width="5.5703125" style="2" customWidth="1"/>
    <col min="8" max="8" width="2.42578125" style="2" customWidth="1"/>
    <col min="9" max="9" width="4.28515625" style="2" customWidth="1"/>
    <col min="10" max="10" width="33.7109375" style="2" customWidth="1"/>
    <col min="11" max="11" width="9.5703125" style="2" customWidth="1"/>
    <col min="12" max="12" width="4.5703125" style="2" customWidth="1"/>
    <col min="13" max="13" width="11.42578125" style="2"/>
    <col min="14" max="14" width="12" style="2" bestFit="1" customWidth="1"/>
    <col min="15" max="15" width="16.140625" style="2" customWidth="1"/>
    <col min="16" max="16" width="14.140625" style="2" bestFit="1" customWidth="1"/>
    <col min="17" max="46" width="11.42578125" style="2"/>
    <col min="47" max="16384" width="11.42578125" style="3"/>
  </cols>
  <sheetData>
    <row r="2" spans="2:17" ht="18.75" x14ac:dyDescent="0.3">
      <c r="B2" s="53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4" spans="2:17" ht="18.75" x14ac:dyDescent="0.3">
      <c r="B4" s="56" t="s">
        <v>1</v>
      </c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2:17" ht="19.5" thickBot="1" x14ac:dyDescent="0.35">
      <c r="B5" s="4"/>
      <c r="C5" s="5"/>
      <c r="D5" s="5"/>
      <c r="E5" s="5"/>
      <c r="F5" s="5"/>
      <c r="G5" s="5"/>
      <c r="H5" s="5"/>
      <c r="I5" s="5"/>
      <c r="J5" s="5"/>
      <c r="L5" s="6"/>
    </row>
    <row r="6" spans="2:17" ht="16.5" thickBot="1" x14ac:dyDescent="0.3">
      <c r="B6" s="59" t="s">
        <v>2</v>
      </c>
      <c r="C6" s="60"/>
      <c r="D6" s="61"/>
      <c r="F6" s="59" t="s">
        <v>3</v>
      </c>
      <c r="G6" s="60"/>
      <c r="H6" s="61"/>
      <c r="J6" s="59" t="s">
        <v>4</v>
      </c>
      <c r="K6" s="60"/>
      <c r="L6" s="61"/>
    </row>
    <row r="7" spans="2:17" x14ac:dyDescent="0.25">
      <c r="B7" s="30" t="s">
        <v>5</v>
      </c>
      <c r="C7" s="31">
        <v>58000</v>
      </c>
      <c r="D7" s="74" t="s">
        <v>6</v>
      </c>
      <c r="F7" s="30" t="s">
        <v>7</v>
      </c>
      <c r="G7" s="31">
        <v>350</v>
      </c>
      <c r="H7" s="74" t="s">
        <v>6</v>
      </c>
      <c r="J7" s="4" t="s">
        <v>8</v>
      </c>
      <c r="K7" s="2">
        <v>20</v>
      </c>
      <c r="L7" s="74" t="s">
        <v>9</v>
      </c>
    </row>
    <row r="8" spans="2:17" x14ac:dyDescent="0.25">
      <c r="B8" s="4" t="s">
        <v>10</v>
      </c>
      <c r="C8" s="2">
        <f>0.08*C7</f>
        <v>4640</v>
      </c>
      <c r="D8" s="74" t="s">
        <v>6</v>
      </c>
      <c r="F8" s="30" t="s">
        <v>11</v>
      </c>
      <c r="G8" s="31">
        <v>350</v>
      </c>
      <c r="H8" s="74" t="s">
        <v>6</v>
      </c>
      <c r="J8" s="4" t="s">
        <v>12</v>
      </c>
      <c r="K8" s="2">
        <v>10</v>
      </c>
      <c r="L8" s="74" t="s">
        <v>9</v>
      </c>
    </row>
    <row r="9" spans="2:17" ht="15.75" thickBot="1" x14ac:dyDescent="0.3">
      <c r="B9" s="30" t="s">
        <v>13</v>
      </c>
      <c r="C9" s="31">
        <v>35000</v>
      </c>
      <c r="D9" s="74" t="s">
        <v>6</v>
      </c>
      <c r="F9" s="30" t="s">
        <v>14</v>
      </c>
      <c r="G9" s="31">
        <v>350</v>
      </c>
      <c r="H9" s="74" t="s">
        <v>6</v>
      </c>
      <c r="J9" s="4" t="s">
        <v>15</v>
      </c>
      <c r="K9" s="2">
        <v>5</v>
      </c>
      <c r="L9" s="74" t="s">
        <v>9</v>
      </c>
    </row>
    <row r="10" spans="2:17" x14ac:dyDescent="0.25">
      <c r="B10" s="7"/>
      <c r="C10" s="8"/>
      <c r="D10" s="75"/>
      <c r="F10" s="30"/>
      <c r="G10" s="31"/>
      <c r="H10" s="32"/>
      <c r="J10" s="4" t="s">
        <v>16</v>
      </c>
      <c r="K10" s="2">
        <f>P12/K9/12</f>
        <v>116.66666666666667</v>
      </c>
      <c r="L10" s="74" t="s">
        <v>9</v>
      </c>
    </row>
    <row r="11" spans="2:17" ht="15.75" thickBot="1" x14ac:dyDescent="0.3">
      <c r="B11" s="9" t="s">
        <v>17</v>
      </c>
      <c r="C11" s="10">
        <f>C9+C8+C7</f>
        <v>97640</v>
      </c>
      <c r="D11" s="76" t="s">
        <v>6</v>
      </c>
      <c r="F11" s="30"/>
      <c r="G11" s="31"/>
      <c r="H11" s="32"/>
      <c r="J11" s="4" t="s">
        <v>18</v>
      </c>
      <c r="K11" s="2">
        <f>C7*0.8/K7/12</f>
        <v>193.33333333333334</v>
      </c>
      <c r="L11" s="74" t="s">
        <v>6</v>
      </c>
      <c r="N11" s="42" t="s">
        <v>19</v>
      </c>
      <c r="O11" s="42"/>
      <c r="P11" s="37">
        <f>C7*0.075</f>
        <v>4350</v>
      </c>
      <c r="Q11" s="41" t="s">
        <v>6</v>
      </c>
    </row>
    <row r="12" spans="2:17" x14ac:dyDescent="0.25">
      <c r="B12" s="4"/>
      <c r="F12" s="30"/>
      <c r="G12" s="31"/>
      <c r="H12" s="32"/>
      <c r="J12" s="4" t="s">
        <v>20</v>
      </c>
      <c r="K12" s="13">
        <f>C11/K8/12</f>
        <v>813.66666666666663</v>
      </c>
      <c r="L12" s="74" t="s">
        <v>6</v>
      </c>
      <c r="N12" s="42" t="s">
        <v>21</v>
      </c>
      <c r="O12" s="42"/>
      <c r="P12" s="37">
        <v>7000</v>
      </c>
      <c r="Q12" s="41" t="s">
        <v>6</v>
      </c>
    </row>
    <row r="13" spans="2:17" ht="15.75" x14ac:dyDescent="0.25">
      <c r="B13" s="59" t="s">
        <v>22</v>
      </c>
      <c r="C13" s="60"/>
      <c r="D13" s="61"/>
      <c r="F13" s="30"/>
      <c r="G13" s="31"/>
      <c r="H13" s="32"/>
      <c r="J13" s="4" t="s">
        <v>23</v>
      </c>
      <c r="K13" s="13">
        <f>0.29*P23</f>
        <v>-55.630699999999997</v>
      </c>
      <c r="L13" s="39" t="s">
        <v>6</v>
      </c>
      <c r="N13" s="42" t="s">
        <v>24</v>
      </c>
      <c r="O13" s="42"/>
      <c r="P13" s="37">
        <f>C14/0.9*0.1</f>
        <v>10899</v>
      </c>
      <c r="Q13" s="41" t="s">
        <v>6</v>
      </c>
    </row>
    <row r="14" spans="2:17" x14ac:dyDescent="0.25">
      <c r="B14" s="4" t="s">
        <v>25</v>
      </c>
      <c r="C14" s="2">
        <f>(SUM(C7:C9)+P12+P11)*0.9</f>
        <v>98091</v>
      </c>
      <c r="D14" s="39" t="s">
        <v>6</v>
      </c>
      <c r="F14" s="30"/>
      <c r="G14" s="31"/>
      <c r="H14" s="32"/>
      <c r="J14" s="4" t="s">
        <v>26</v>
      </c>
      <c r="K14" s="13">
        <f>G19-(C23+K11+K13+K12)</f>
        <v>-123.86930000000007</v>
      </c>
      <c r="L14" s="39" t="s">
        <v>6</v>
      </c>
      <c r="N14" s="42" t="s">
        <v>27</v>
      </c>
      <c r="O14" s="42"/>
      <c r="P14" s="38">
        <f>0.035</f>
        <v>3.5000000000000003E-2</v>
      </c>
      <c r="Q14" s="41" t="s">
        <v>28</v>
      </c>
    </row>
    <row r="15" spans="2:17" x14ac:dyDescent="0.25">
      <c r="B15" s="4" t="s">
        <v>29</v>
      </c>
      <c r="C15" s="31">
        <v>25</v>
      </c>
      <c r="D15" s="39" t="s">
        <v>9</v>
      </c>
      <c r="F15" s="30"/>
      <c r="G15" s="31"/>
      <c r="H15" s="32"/>
      <c r="J15" s="35" t="s">
        <v>30</v>
      </c>
      <c r="K15" s="36">
        <f>K14*0.3</f>
        <v>-37.16079000000002</v>
      </c>
      <c r="L15" s="40" t="s">
        <v>6</v>
      </c>
      <c r="N15" s="42" t="s">
        <v>31</v>
      </c>
      <c r="O15" s="42"/>
      <c r="P15" s="14">
        <f>P14/12</f>
        <v>2.9166666666666668E-3</v>
      </c>
      <c r="Q15" s="41" t="s">
        <v>28</v>
      </c>
    </row>
    <row r="16" spans="2:17" x14ac:dyDescent="0.25">
      <c r="B16" s="9" t="s">
        <v>32</v>
      </c>
      <c r="C16" s="15">
        <f>(C14*P14/12)/(1-(1+P14/12)^(-12*C15))</f>
        <v>491.0666663032398</v>
      </c>
      <c r="D16" s="40" t="s">
        <v>6</v>
      </c>
      <c r="F16" s="30"/>
      <c r="G16" s="31"/>
      <c r="H16" s="32"/>
      <c r="K16" s="13"/>
      <c r="L16" s="6"/>
      <c r="N16" s="42" t="s">
        <v>33</v>
      </c>
      <c r="O16" s="42"/>
      <c r="P16" s="12">
        <f>C15*12</f>
        <v>300</v>
      </c>
      <c r="Q16" s="41" t="s">
        <v>34</v>
      </c>
    </row>
    <row r="17" spans="2:19" ht="15.75" x14ac:dyDescent="0.25">
      <c r="B17" s="4"/>
      <c r="F17" s="30"/>
      <c r="G17" s="31"/>
      <c r="H17" s="32"/>
      <c r="J17" s="59" t="s">
        <v>35</v>
      </c>
      <c r="K17" s="60"/>
      <c r="L17" s="61"/>
      <c r="N17" s="42" t="s">
        <v>36</v>
      </c>
      <c r="O17" s="42"/>
      <c r="P17" s="16">
        <f>C14/P16</f>
        <v>326.97000000000003</v>
      </c>
      <c r="Q17" s="41" t="s">
        <v>6</v>
      </c>
    </row>
    <row r="18" spans="2:19" ht="15.75" x14ac:dyDescent="0.25">
      <c r="B18" s="71" t="s">
        <v>37</v>
      </c>
      <c r="C18" s="72"/>
      <c r="D18" s="73"/>
      <c r="F18" s="30"/>
      <c r="G18" s="31"/>
      <c r="H18" s="32"/>
      <c r="J18" s="4" t="s">
        <v>38</v>
      </c>
      <c r="K18" s="17">
        <f>0.099*K14</f>
        <v>-12.263060700000008</v>
      </c>
      <c r="L18" s="39" t="s">
        <v>6</v>
      </c>
      <c r="N18" s="42" t="s">
        <v>39</v>
      </c>
      <c r="O18" s="42"/>
      <c r="P18" s="16">
        <f>C16-P17</f>
        <v>164.09666630323977</v>
      </c>
      <c r="Q18" s="41" t="s">
        <v>6</v>
      </c>
    </row>
    <row r="19" spans="2:19" ht="15.75" thickBot="1" x14ac:dyDescent="0.3">
      <c r="B19" s="4" t="s">
        <v>40</v>
      </c>
      <c r="C19" s="31">
        <v>1300</v>
      </c>
      <c r="D19" s="39" t="s">
        <v>6</v>
      </c>
      <c r="F19" s="33" t="s">
        <v>41</v>
      </c>
      <c r="G19" s="34">
        <f>SUM(G7:G17)</f>
        <v>1050</v>
      </c>
      <c r="H19" s="76" t="s">
        <v>6</v>
      </c>
      <c r="J19" s="4" t="s">
        <v>42</v>
      </c>
      <c r="K19" s="17">
        <f>0.005*K14</f>
        <v>-0.61934650000000036</v>
      </c>
      <c r="L19" s="39" t="s">
        <v>6</v>
      </c>
      <c r="N19" s="42" t="s">
        <v>43</v>
      </c>
      <c r="O19" s="42"/>
      <c r="P19" s="18">
        <f>K27+P17</f>
        <v>721.86964329676027</v>
      </c>
      <c r="Q19" s="41" t="s">
        <v>6</v>
      </c>
    </row>
    <row r="20" spans="2:19" x14ac:dyDescent="0.25">
      <c r="B20" s="4" t="s">
        <v>44</v>
      </c>
      <c r="C20" s="31">
        <v>1000</v>
      </c>
      <c r="D20" s="39" t="s">
        <v>6</v>
      </c>
      <c r="J20" s="4" t="s">
        <v>45</v>
      </c>
      <c r="K20" s="17">
        <f>0.045*K14</f>
        <v>-5.5741185000000026</v>
      </c>
      <c r="L20" s="39" t="s">
        <v>6</v>
      </c>
      <c r="N20" s="42" t="s">
        <v>46</v>
      </c>
      <c r="O20" s="42"/>
      <c r="P20" s="19">
        <f>P19*12</f>
        <v>8662.4357195611228</v>
      </c>
      <c r="Q20" s="41" t="s">
        <v>6</v>
      </c>
    </row>
    <row r="21" spans="2:19" x14ac:dyDescent="0.25">
      <c r="B21" s="4" t="s">
        <v>47</v>
      </c>
      <c r="C21" s="31">
        <v>80</v>
      </c>
      <c r="D21" s="39" t="s">
        <v>6</v>
      </c>
      <c r="J21" s="4" t="s">
        <v>48</v>
      </c>
      <c r="K21" s="17">
        <f>0.003*K14</f>
        <v>-0.37160790000000021</v>
      </c>
      <c r="L21" s="39" t="s">
        <v>6</v>
      </c>
      <c r="N21" s="42" t="s">
        <v>49</v>
      </c>
      <c r="O21" s="42"/>
      <c r="P21" s="16">
        <f>G19*12/(C14)*100</f>
        <v>12.845215157353888</v>
      </c>
      <c r="Q21" s="41" t="s">
        <v>28</v>
      </c>
    </row>
    <row r="22" spans="2:19" ht="15.75" thickBot="1" x14ac:dyDescent="0.3">
      <c r="B22" s="20" t="s">
        <v>50</v>
      </c>
      <c r="C22" s="31">
        <f>C7/200</f>
        <v>290</v>
      </c>
      <c r="D22" s="39" t="s">
        <v>6</v>
      </c>
      <c r="J22" s="4" t="s">
        <v>51</v>
      </c>
      <c r="K22" s="17">
        <f>0.02*K14</f>
        <v>-2.4773860000000014</v>
      </c>
      <c r="L22" s="39" t="s">
        <v>6</v>
      </c>
      <c r="N22" s="42" t="s">
        <v>52</v>
      </c>
      <c r="O22" s="42"/>
      <c r="P22" s="12">
        <f>C14-(C7+C11)</f>
        <v>-57549</v>
      </c>
      <c r="Q22" s="41" t="s">
        <v>6</v>
      </c>
    </row>
    <row r="23" spans="2:19" ht="15.75" thickBot="1" x14ac:dyDescent="0.3">
      <c r="B23" s="9" t="s">
        <v>53</v>
      </c>
      <c r="C23" s="15">
        <f>SUM(C19:C22)/12</f>
        <v>222.5</v>
      </c>
      <c r="D23" s="40" t="s">
        <v>6</v>
      </c>
      <c r="F23" s="62" t="s">
        <v>54</v>
      </c>
      <c r="G23" s="63"/>
      <c r="H23" s="64"/>
      <c r="J23" s="9" t="s">
        <v>55</v>
      </c>
      <c r="K23" s="15">
        <f>SUM(K18:K22)</f>
        <v>-21.305519600000014</v>
      </c>
      <c r="L23" s="40" t="s">
        <v>6</v>
      </c>
      <c r="N23" s="42" t="s">
        <v>39</v>
      </c>
      <c r="O23" s="42"/>
      <c r="P23" s="19">
        <f>P22/P16</f>
        <v>-191.83</v>
      </c>
      <c r="Q23" s="41" t="s">
        <v>6</v>
      </c>
    </row>
    <row r="24" spans="2:19" ht="15.75" thickBot="1" x14ac:dyDescent="0.3">
      <c r="B24" s="4"/>
      <c r="F24" s="65"/>
      <c r="G24" s="66"/>
      <c r="H24" s="67"/>
      <c r="K24" s="13"/>
      <c r="L24" s="6"/>
      <c r="N24" s="42" t="s">
        <v>56</v>
      </c>
      <c r="O24" s="42"/>
      <c r="P24" s="21">
        <f>P20/C14*0.11*10^4</f>
        <v>97.141218781715295</v>
      </c>
      <c r="Q24" s="41" t="s">
        <v>28</v>
      </c>
    </row>
    <row r="25" spans="2:19" ht="16.5" thickBot="1" x14ac:dyDescent="0.3">
      <c r="B25" s="4"/>
      <c r="F25" s="65"/>
      <c r="G25" s="66"/>
      <c r="H25" s="67"/>
      <c r="J25" s="59" t="s">
        <v>57</v>
      </c>
      <c r="K25" s="60"/>
      <c r="L25" s="61"/>
      <c r="N25" s="42" t="s">
        <v>58</v>
      </c>
      <c r="O25" s="42"/>
      <c r="P25" s="12">
        <f>(G7*12)</f>
        <v>4200</v>
      </c>
      <c r="Q25" s="41" t="s">
        <v>6</v>
      </c>
    </row>
    <row r="26" spans="2:19" s="2" customFormat="1" ht="15.75" thickBot="1" x14ac:dyDescent="0.3">
      <c r="B26" s="4"/>
      <c r="F26" s="68"/>
      <c r="G26" s="69"/>
      <c r="H26" s="70"/>
      <c r="J26" s="4" t="s">
        <v>59</v>
      </c>
      <c r="K26" s="13">
        <f>G19-C16</f>
        <v>558.9333336967602</v>
      </c>
      <c r="L26" s="39" t="s">
        <v>6</v>
      </c>
      <c r="N26" s="43"/>
      <c r="O26" s="43"/>
      <c r="P26" s="13"/>
      <c r="Q26" s="22"/>
    </row>
    <row r="27" spans="2:19" s="2" customFormat="1" ht="15.75" thickBot="1" x14ac:dyDescent="0.3">
      <c r="B27" s="4"/>
      <c r="J27" s="9" t="s">
        <v>60</v>
      </c>
      <c r="K27" s="23">
        <f>K26-C23-K15-K23</f>
        <v>394.89964329676025</v>
      </c>
      <c r="L27" s="40" t="s">
        <v>6</v>
      </c>
      <c r="P27" s="24"/>
    </row>
    <row r="28" spans="2:19" s="2" customFormat="1" ht="15.75" thickBot="1" x14ac:dyDescent="0.3">
      <c r="B28" s="4"/>
      <c r="L28" s="6"/>
    </row>
    <row r="29" spans="2:19" s="2" customFormat="1" ht="15" customHeight="1" x14ac:dyDescent="0.25">
      <c r="B29" s="4"/>
      <c r="C29" s="44"/>
      <c r="D29" s="45"/>
      <c r="E29" s="45"/>
      <c r="F29" s="45"/>
      <c r="G29" s="45"/>
      <c r="H29" s="45"/>
      <c r="I29" s="45"/>
      <c r="J29" s="46"/>
      <c r="K29" s="17"/>
      <c r="L29" s="6"/>
      <c r="O29" s="25"/>
      <c r="P29" s="26"/>
      <c r="S29" s="27"/>
    </row>
    <row r="30" spans="2:19" s="2" customFormat="1" ht="40.5" x14ac:dyDescent="0.55000000000000004">
      <c r="B30" s="4"/>
      <c r="C30" s="47"/>
      <c r="D30" s="48"/>
      <c r="E30" s="48"/>
      <c r="F30" s="48"/>
      <c r="G30" s="48"/>
      <c r="H30" s="48"/>
      <c r="I30" s="48"/>
      <c r="J30" s="49"/>
      <c r="K30" s="28"/>
      <c r="L30" s="6"/>
      <c r="O30" s="29"/>
    </row>
    <row r="31" spans="2:19" s="2" customFormat="1" x14ac:dyDescent="0.25">
      <c r="B31" s="4"/>
      <c r="C31" s="47"/>
      <c r="D31" s="48"/>
      <c r="E31" s="48"/>
      <c r="F31" s="48"/>
      <c r="G31" s="48"/>
      <c r="H31" s="48"/>
      <c r="I31" s="48"/>
      <c r="J31" s="49"/>
      <c r="L31" s="6"/>
    </row>
    <row r="32" spans="2:19" s="2" customFormat="1" x14ac:dyDescent="0.25">
      <c r="B32" s="4"/>
      <c r="C32" s="47"/>
      <c r="D32" s="48"/>
      <c r="E32" s="48"/>
      <c r="F32" s="48"/>
      <c r="G32" s="48"/>
      <c r="H32" s="48"/>
      <c r="I32" s="48"/>
      <c r="J32" s="49"/>
      <c r="L32" s="6"/>
    </row>
    <row r="33" spans="2:12" s="2" customFormat="1" x14ac:dyDescent="0.25">
      <c r="B33" s="4"/>
      <c r="C33" s="47"/>
      <c r="D33" s="48"/>
      <c r="E33" s="48"/>
      <c r="F33" s="48"/>
      <c r="G33" s="48"/>
      <c r="H33" s="48"/>
      <c r="I33" s="48"/>
      <c r="J33" s="49"/>
      <c r="L33" s="6"/>
    </row>
    <row r="34" spans="2:12" s="2" customFormat="1" ht="15.75" thickBot="1" x14ac:dyDescent="0.3">
      <c r="B34" s="9"/>
      <c r="C34" s="50"/>
      <c r="D34" s="51"/>
      <c r="E34" s="51"/>
      <c r="F34" s="51"/>
      <c r="G34" s="51"/>
      <c r="H34" s="51"/>
      <c r="I34" s="51"/>
      <c r="J34" s="52"/>
      <c r="K34" s="10"/>
      <c r="L34" s="11"/>
    </row>
    <row r="35" spans="2:12" s="2" customFormat="1" x14ac:dyDescent="0.25"/>
    <row r="36" spans="2:12" s="2" customFormat="1" x14ac:dyDescent="0.25"/>
    <row r="37" spans="2:12" s="2" customFormat="1" x14ac:dyDescent="0.25"/>
    <row r="38" spans="2:12" s="2" customFormat="1" x14ac:dyDescent="0.25"/>
    <row r="39" spans="2:12" s="2" customFormat="1" x14ac:dyDescent="0.25"/>
    <row r="40" spans="2:12" s="2" customFormat="1" x14ac:dyDescent="0.25"/>
    <row r="41" spans="2:12" s="2" customFormat="1" x14ac:dyDescent="0.25"/>
    <row r="42" spans="2:12" s="2" customFormat="1" x14ac:dyDescent="0.25"/>
    <row r="43" spans="2:12" s="2" customFormat="1" x14ac:dyDescent="0.25"/>
    <row r="44" spans="2:12" s="2" customFormat="1" x14ac:dyDescent="0.25"/>
    <row r="45" spans="2:12" s="2" customFormat="1" x14ac:dyDescent="0.25"/>
    <row r="46" spans="2:12" s="2" customFormat="1" x14ac:dyDescent="0.25"/>
    <row r="47" spans="2:12" s="2" customFormat="1" x14ac:dyDescent="0.25"/>
    <row r="48" spans="2:12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</sheetData>
  <mergeCells count="27">
    <mergeCell ref="C29:J34"/>
    <mergeCell ref="B2:L2"/>
    <mergeCell ref="B4:L4"/>
    <mergeCell ref="J25:L25"/>
    <mergeCell ref="F23:H26"/>
    <mergeCell ref="B6:D6"/>
    <mergeCell ref="F6:H6"/>
    <mergeCell ref="J6:L6"/>
    <mergeCell ref="B13:D13"/>
    <mergeCell ref="J17:L17"/>
    <mergeCell ref="B18:D18"/>
    <mergeCell ref="N11:O11"/>
    <mergeCell ref="N12:O12"/>
    <mergeCell ref="N13:O13"/>
    <mergeCell ref="N15:O15"/>
    <mergeCell ref="N16:O16"/>
    <mergeCell ref="N14:O14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431B-DC15-4974-A116-1DC3B119C4D9}">
  <dimension ref="A1:K18"/>
  <sheetViews>
    <sheetView topLeftCell="A14" workbookViewId="0">
      <selection activeCell="D24" sqref="D24"/>
    </sheetView>
  </sheetViews>
  <sheetFormatPr baseColWidth="10" defaultColWidth="11.42578125" defaultRowHeight="15" x14ac:dyDescent="0.25"/>
  <sheetData>
    <row r="1" spans="1:11" x14ac:dyDescent="0.25">
      <c r="A1" t="s">
        <v>61</v>
      </c>
    </row>
    <row r="3" spans="1:11" x14ac:dyDescent="0.25">
      <c r="A3" t="s">
        <v>62</v>
      </c>
      <c r="B3" t="s">
        <v>63</v>
      </c>
      <c r="D3" t="s">
        <v>64</v>
      </c>
      <c r="F3" t="s">
        <v>65</v>
      </c>
      <c r="G3" t="s">
        <v>66</v>
      </c>
      <c r="I3" t="s">
        <v>67</v>
      </c>
      <c r="K3" t="s">
        <v>68</v>
      </c>
    </row>
    <row r="4" spans="1:11" x14ac:dyDescent="0.25">
      <c r="A4" t="s">
        <v>69</v>
      </c>
      <c r="B4">
        <v>0</v>
      </c>
      <c r="D4">
        <v>1100</v>
      </c>
      <c r="F4">
        <f>D4*C4</f>
        <v>0</v>
      </c>
      <c r="G4">
        <v>0</v>
      </c>
      <c r="H4">
        <f>4000*C4</f>
        <v>0</v>
      </c>
      <c r="I4">
        <f>H4+G4</f>
        <v>0</v>
      </c>
      <c r="K4" s="1"/>
    </row>
    <row r="5" spans="1:11" x14ac:dyDescent="0.25">
      <c r="A5" t="s">
        <v>70</v>
      </c>
      <c r="B5">
        <v>3</v>
      </c>
      <c r="C5">
        <f>B4+B5</f>
        <v>3</v>
      </c>
      <c r="D5">
        <v>1100</v>
      </c>
      <c r="F5">
        <f>D5*C5</f>
        <v>3300</v>
      </c>
      <c r="G5">
        <f>F4+F5</f>
        <v>3300</v>
      </c>
      <c r="H5">
        <f>2750*C5</f>
        <v>8250</v>
      </c>
      <c r="I5">
        <f t="shared" ref="I5:I18" si="0">H5+G5</f>
        <v>11550</v>
      </c>
      <c r="K5" s="1"/>
    </row>
    <row r="6" spans="1:11" x14ac:dyDescent="0.25">
      <c r="A6" t="s">
        <v>71</v>
      </c>
      <c r="B6">
        <v>6</v>
      </c>
      <c r="C6">
        <f t="shared" ref="C6:C18" si="1">B5+B6</f>
        <v>9</v>
      </c>
      <c r="D6">
        <v>1100</v>
      </c>
      <c r="F6">
        <f t="shared" ref="F6:F17" si="2">D6*C6</f>
        <v>9900</v>
      </c>
      <c r="G6">
        <f>F5+F6+F4</f>
        <v>13200</v>
      </c>
      <c r="H6">
        <f t="shared" ref="H6:H18" si="3">2750*C6</f>
        <v>24750</v>
      </c>
      <c r="I6">
        <f t="shared" si="0"/>
        <v>37950</v>
      </c>
      <c r="K6" s="1">
        <f>((I6/I5)-1)</f>
        <v>2.2857142857142856</v>
      </c>
    </row>
    <row r="7" spans="1:11" x14ac:dyDescent="0.25">
      <c r="A7" t="s">
        <v>72</v>
      </c>
      <c r="B7">
        <v>10</v>
      </c>
      <c r="C7">
        <f t="shared" si="1"/>
        <v>16</v>
      </c>
      <c r="D7">
        <v>1100</v>
      </c>
      <c r="F7">
        <f t="shared" si="2"/>
        <v>17600</v>
      </c>
      <c r="G7">
        <f>F6+F7+F5</f>
        <v>30800</v>
      </c>
      <c r="H7">
        <f t="shared" si="3"/>
        <v>44000</v>
      </c>
      <c r="I7">
        <f t="shared" si="0"/>
        <v>74800</v>
      </c>
      <c r="K7" s="1">
        <f t="shared" ref="K7:K18" si="4">((I7/I6)-1)</f>
        <v>0.97101449275362328</v>
      </c>
    </row>
    <row r="8" spans="1:11" x14ac:dyDescent="0.25">
      <c r="A8" t="s">
        <v>73</v>
      </c>
      <c r="B8">
        <v>14</v>
      </c>
      <c r="C8">
        <f t="shared" si="1"/>
        <v>24</v>
      </c>
      <c r="D8">
        <v>1100</v>
      </c>
      <c r="F8">
        <f t="shared" si="2"/>
        <v>26400</v>
      </c>
      <c r="G8">
        <f>F7+F8+F6+F5</f>
        <v>57200</v>
      </c>
      <c r="H8">
        <f t="shared" si="3"/>
        <v>66000</v>
      </c>
      <c r="I8">
        <f t="shared" si="0"/>
        <v>123200</v>
      </c>
      <c r="K8" s="1">
        <f t="shared" si="4"/>
        <v>0.64705882352941169</v>
      </c>
    </row>
    <row r="9" spans="1:11" x14ac:dyDescent="0.25">
      <c r="A9" t="s">
        <v>74</v>
      </c>
      <c r="B9">
        <v>19</v>
      </c>
      <c r="C9">
        <f t="shared" si="1"/>
        <v>33</v>
      </c>
      <c r="D9">
        <v>1100</v>
      </c>
      <c r="F9">
        <f t="shared" si="2"/>
        <v>36300</v>
      </c>
      <c r="G9">
        <f>F8+F9+F7+F6+F5</f>
        <v>93500</v>
      </c>
      <c r="H9">
        <f t="shared" si="3"/>
        <v>90750</v>
      </c>
      <c r="I9">
        <f t="shared" si="0"/>
        <v>184250</v>
      </c>
      <c r="K9" s="1">
        <f t="shared" si="4"/>
        <v>0.49553571428571419</v>
      </c>
    </row>
    <row r="10" spans="1:11" x14ac:dyDescent="0.25">
      <c r="A10" t="s">
        <v>75</v>
      </c>
      <c r="B10">
        <v>25</v>
      </c>
      <c r="C10">
        <f t="shared" si="1"/>
        <v>44</v>
      </c>
      <c r="D10">
        <v>1100</v>
      </c>
      <c r="F10">
        <f t="shared" si="2"/>
        <v>48400</v>
      </c>
      <c r="G10">
        <f>G9+F10</f>
        <v>141900</v>
      </c>
      <c r="H10">
        <f t="shared" si="3"/>
        <v>121000</v>
      </c>
      <c r="I10">
        <f t="shared" si="0"/>
        <v>262900</v>
      </c>
      <c r="K10" s="1">
        <f t="shared" si="4"/>
        <v>0.42686567164179112</v>
      </c>
    </row>
    <row r="11" spans="1:11" x14ac:dyDescent="0.25">
      <c r="A11" t="s">
        <v>76</v>
      </c>
      <c r="B11">
        <v>31</v>
      </c>
      <c r="C11">
        <f>B10+B11</f>
        <v>56</v>
      </c>
      <c r="D11">
        <v>1100</v>
      </c>
      <c r="F11">
        <f>D11*C11</f>
        <v>61600</v>
      </c>
      <c r="G11">
        <f>F11+G10</f>
        <v>203500</v>
      </c>
      <c r="H11">
        <f t="shared" si="3"/>
        <v>154000</v>
      </c>
      <c r="I11">
        <f t="shared" si="0"/>
        <v>357500</v>
      </c>
      <c r="K11" s="1">
        <f t="shared" si="4"/>
        <v>0.35983263598326354</v>
      </c>
    </row>
    <row r="12" spans="1:11" x14ac:dyDescent="0.25">
      <c r="A12" t="s">
        <v>77</v>
      </c>
      <c r="B12">
        <v>37</v>
      </c>
      <c r="C12">
        <f t="shared" si="1"/>
        <v>68</v>
      </c>
      <c r="D12">
        <v>1100</v>
      </c>
      <c r="F12">
        <f t="shared" si="2"/>
        <v>74800</v>
      </c>
      <c r="G12">
        <f t="shared" ref="G12" si="5">G11+F12</f>
        <v>278300</v>
      </c>
      <c r="H12">
        <f t="shared" si="3"/>
        <v>187000</v>
      </c>
      <c r="I12">
        <f t="shared" si="0"/>
        <v>465300</v>
      </c>
      <c r="K12" s="1">
        <f t="shared" si="4"/>
        <v>0.30153846153846153</v>
      </c>
    </row>
    <row r="13" spans="1:11" x14ac:dyDescent="0.25">
      <c r="A13" t="s">
        <v>78</v>
      </c>
      <c r="B13">
        <v>43</v>
      </c>
      <c r="C13">
        <f t="shared" si="1"/>
        <v>80</v>
      </c>
      <c r="D13">
        <v>1100</v>
      </c>
      <c r="F13">
        <f t="shared" si="2"/>
        <v>88000</v>
      </c>
      <c r="G13">
        <f t="shared" ref="G13" si="6">F13+G12</f>
        <v>366300</v>
      </c>
      <c r="H13">
        <f t="shared" si="3"/>
        <v>220000</v>
      </c>
      <c r="I13">
        <f t="shared" si="0"/>
        <v>586300</v>
      </c>
      <c r="K13" s="1">
        <f t="shared" si="4"/>
        <v>0.260047281323877</v>
      </c>
    </row>
    <row r="14" spans="1:11" x14ac:dyDescent="0.25">
      <c r="A14" t="s">
        <v>79</v>
      </c>
      <c r="B14">
        <v>50</v>
      </c>
      <c r="C14">
        <f t="shared" si="1"/>
        <v>93</v>
      </c>
      <c r="D14">
        <v>1100</v>
      </c>
      <c r="F14">
        <f t="shared" si="2"/>
        <v>102300</v>
      </c>
      <c r="G14">
        <f t="shared" ref="G14:G17" si="7">G13+F14</f>
        <v>468600</v>
      </c>
      <c r="H14">
        <f t="shared" si="3"/>
        <v>255750</v>
      </c>
      <c r="I14">
        <f t="shared" si="0"/>
        <v>724350</v>
      </c>
      <c r="K14" s="1">
        <f t="shared" si="4"/>
        <v>0.23545966228893067</v>
      </c>
    </row>
    <row r="15" spans="1:11" x14ac:dyDescent="0.25">
      <c r="A15" t="s">
        <v>80</v>
      </c>
      <c r="B15">
        <v>57</v>
      </c>
      <c r="C15">
        <f t="shared" si="1"/>
        <v>107</v>
      </c>
      <c r="D15">
        <v>1100</v>
      </c>
      <c r="F15">
        <f t="shared" si="2"/>
        <v>117700</v>
      </c>
      <c r="G15">
        <f t="shared" si="7"/>
        <v>586300</v>
      </c>
      <c r="H15">
        <f t="shared" si="3"/>
        <v>294250</v>
      </c>
      <c r="I15">
        <f t="shared" si="0"/>
        <v>880550</v>
      </c>
      <c r="K15" s="1">
        <f t="shared" si="4"/>
        <v>0.21564160971905855</v>
      </c>
    </row>
    <row r="16" spans="1:11" x14ac:dyDescent="0.25">
      <c r="A16" t="s">
        <v>81</v>
      </c>
      <c r="B16">
        <v>64</v>
      </c>
      <c r="C16">
        <f t="shared" si="1"/>
        <v>121</v>
      </c>
      <c r="D16">
        <v>1100</v>
      </c>
      <c r="F16">
        <f t="shared" si="2"/>
        <v>133100</v>
      </c>
      <c r="G16">
        <f t="shared" si="7"/>
        <v>719400</v>
      </c>
      <c r="H16">
        <f t="shared" si="3"/>
        <v>332750</v>
      </c>
      <c r="I16">
        <f t="shared" si="0"/>
        <v>1052150</v>
      </c>
      <c r="K16" s="1">
        <f t="shared" si="4"/>
        <v>0.19487820112429732</v>
      </c>
    </row>
    <row r="17" spans="1:11" x14ac:dyDescent="0.25">
      <c r="A17" t="s">
        <v>82</v>
      </c>
      <c r="B17">
        <v>71</v>
      </c>
      <c r="C17">
        <f t="shared" si="1"/>
        <v>135</v>
      </c>
      <c r="D17">
        <v>1100</v>
      </c>
      <c r="F17">
        <f t="shared" si="2"/>
        <v>148500</v>
      </c>
      <c r="G17">
        <f t="shared" si="7"/>
        <v>867900</v>
      </c>
      <c r="H17">
        <f t="shared" si="3"/>
        <v>371250</v>
      </c>
      <c r="I17">
        <f t="shared" si="0"/>
        <v>1239150</v>
      </c>
      <c r="K17" s="1">
        <f t="shared" si="4"/>
        <v>0.17773131207527437</v>
      </c>
    </row>
    <row r="18" spans="1:11" x14ac:dyDescent="0.25">
      <c r="A18" t="s">
        <v>83</v>
      </c>
      <c r="B18">
        <v>78</v>
      </c>
      <c r="C18">
        <f t="shared" si="1"/>
        <v>149</v>
      </c>
      <c r="D18">
        <v>1100</v>
      </c>
      <c r="F18">
        <f>D18*C18</f>
        <v>163900</v>
      </c>
      <c r="G18">
        <f>G17+F18</f>
        <v>1031800</v>
      </c>
      <c r="H18">
        <f t="shared" si="3"/>
        <v>409750</v>
      </c>
      <c r="I18">
        <f t="shared" si="0"/>
        <v>1441550</v>
      </c>
      <c r="K18" s="1">
        <f t="shared" si="4"/>
        <v>0.16333777185974263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Imposition Location Meublée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</dc:creator>
  <cp:keywords/>
  <dc:description/>
  <cp:lastModifiedBy>Jérémy Lenglet</cp:lastModifiedBy>
  <cp:revision/>
  <dcterms:created xsi:type="dcterms:W3CDTF">2019-01-11T11:05:17Z</dcterms:created>
  <dcterms:modified xsi:type="dcterms:W3CDTF">2025-04-18T19:15:45Z</dcterms:modified>
  <cp:category/>
  <cp:contentStatus/>
</cp:coreProperties>
</file>