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e49f42741b7ca/Documents/"/>
    </mc:Choice>
  </mc:AlternateContent>
  <xr:revisionPtr revIDLastSave="0" documentId="8_{486E763D-0CC1-4D53-8DE0-A550882E468C}" xr6:coauthVersionLast="46" xr6:coauthVersionMax="46" xr10:uidLastSave="{00000000-0000-0000-0000-000000000000}"/>
  <bookViews>
    <workbookView xWindow="-90" yWindow="-90" windowWidth="19380" windowHeight="10380" firstSheet="6" activeTab="6" xr2:uid="{F17102DE-9F0B-4D3C-AB45-83DD1C64577D}"/>
  </bookViews>
  <sheets>
    <sheet name="IdentificaciónInteresados" sheetId="1" r:id="rId1"/>
    <sheet name="InvolucramientoInteresados" sheetId="2" r:id="rId2"/>
    <sheet name="GestionInvolucramientoInteresad" sheetId="3" r:id="rId3"/>
    <sheet name="EDT" sheetId="4" r:id="rId4"/>
    <sheet name="GestionTiempo1" sheetId="5" r:id="rId5"/>
    <sheet name="GestionTiempo2" sheetId="6" r:id="rId6"/>
    <sheet name="RutaCritica" sheetId="13" r:id="rId7"/>
    <sheet name="GestionRecursos" sheetId="7" r:id="rId8"/>
    <sheet name="Adquisiciones" sheetId="8" r:id="rId9"/>
    <sheet name="EstimacionCostos" sheetId="9" r:id="rId10"/>
    <sheet name="GestionCalidad" sheetId="10" r:id="rId11"/>
    <sheet name="DesgloseRiesgos" sheetId="11" r:id="rId12"/>
    <sheet name="Comunicaciones" sheetId="12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3" l="1"/>
  <c r="F5" i="13"/>
  <c r="G5" i="13" s="1"/>
  <c r="F7" i="13" s="1"/>
  <c r="G7" i="13" s="1"/>
  <c r="F8" i="13" s="1"/>
  <c r="G8" i="13" s="1"/>
  <c r="F9" i="13" s="1"/>
  <c r="G9" i="13" s="1"/>
  <c r="F10" i="13" s="1"/>
  <c r="G10" i="13" s="1"/>
  <c r="F11" i="13" s="1"/>
  <c r="G11" i="13" s="1"/>
  <c r="G2" i="13"/>
  <c r="Y72" i="9"/>
  <c r="Y71" i="9"/>
  <c r="Y70" i="9"/>
  <c r="Y73" i="9"/>
  <c r="B111" i="4"/>
  <c r="G55" i="10"/>
  <c r="E56" i="10"/>
  <c r="F56" i="10" s="1"/>
  <c r="E57" i="10" s="1"/>
  <c r="F57" i="10" s="1"/>
  <c r="B103" i="4"/>
  <c r="B95" i="4"/>
  <c r="B87" i="4"/>
  <c r="B79" i="4"/>
  <c r="B71" i="4"/>
  <c r="B63" i="4"/>
  <c r="B55" i="4"/>
  <c r="B47" i="4"/>
  <c r="B39" i="4"/>
  <c r="B30" i="4"/>
  <c r="B22" i="4"/>
  <c r="B14" i="4"/>
  <c r="B6" i="4"/>
  <c r="E2" i="4"/>
  <c r="B110" i="4"/>
  <c r="B102" i="4"/>
  <c r="B94" i="4"/>
  <c r="B86" i="4"/>
  <c r="B78" i="4"/>
  <c r="B70" i="4"/>
  <c r="B62" i="4"/>
  <c r="B54" i="4"/>
  <c r="B46" i="4"/>
  <c r="B38" i="4"/>
  <c r="B29" i="4"/>
  <c r="B21" i="4"/>
  <c r="B13" i="4"/>
  <c r="B5" i="4"/>
  <c r="Z67" i="9"/>
  <c r="Z64" i="9"/>
  <c r="Z66" i="9"/>
  <c r="Z65" i="9"/>
  <c r="O65" i="9"/>
  <c r="M66" i="9"/>
  <c r="M65" i="9"/>
  <c r="K65" i="9"/>
  <c r="J65" i="9"/>
  <c r="I66" i="9"/>
  <c r="I65" i="9"/>
  <c r="I33" i="9"/>
  <c r="I15" i="9"/>
  <c r="I14" i="9"/>
  <c r="G65" i="9"/>
  <c r="H65" i="9" s="1"/>
  <c r="G66" i="9" s="1"/>
  <c r="H66" i="9" s="1"/>
  <c r="R60" i="7" a="1"/>
  <c r="R60" i="7" s="1"/>
  <c r="Q60" i="7" a="1"/>
  <c r="Q60" i="7" s="1"/>
  <c r="P60" i="7" a="1"/>
  <c r="P60" i="7" s="1"/>
  <c r="O60" i="7"/>
  <c r="L60" i="7" a="1"/>
  <c r="L60" i="7" s="1"/>
  <c r="M60" i="7" a="1"/>
  <c r="M60" i="7" s="1"/>
  <c r="N60" i="7" a="1"/>
  <c r="N60" i="7" s="1"/>
  <c r="K60" i="7" a="1"/>
  <c r="K60" i="7" s="1"/>
  <c r="C63" i="7" s="1"/>
  <c r="J60" i="7"/>
  <c r="I60" i="7" a="1"/>
  <c r="I60" i="7" s="1"/>
  <c r="H60" i="7" a="1"/>
  <c r="H60" i="7" s="1"/>
  <c r="G60" i="7" a="1"/>
  <c r="G60" i="7" s="1"/>
  <c r="F60" i="7" a="1"/>
  <c r="F60" i="7" s="1"/>
  <c r="E60" i="7" a="1"/>
  <c r="E60" i="7" s="1"/>
  <c r="D60" i="7" a="1"/>
  <c r="D60" i="7" s="1"/>
  <c r="C60" i="7" a="1"/>
  <c r="C60" i="7" s="1"/>
  <c r="P57" i="6"/>
  <c r="O57" i="6"/>
  <c r="P56" i="6"/>
  <c r="O56" i="6"/>
  <c r="Q59" i="9"/>
  <c r="Q56" i="9"/>
  <c r="Q54" i="9"/>
  <c r="Q49" i="9"/>
  <c r="Q42" i="9"/>
  <c r="Q39" i="9"/>
  <c r="Q25" i="9"/>
  <c r="Q24" i="9"/>
  <c r="Q20" i="9"/>
  <c r="T25" i="9"/>
  <c r="T26" i="9"/>
  <c r="T24" i="9"/>
  <c r="C7" i="9"/>
  <c r="S25" i="9"/>
  <c r="S26" i="9"/>
  <c r="S24" i="9"/>
  <c r="C6" i="9"/>
  <c r="R25" i="9"/>
  <c r="R26" i="9"/>
  <c r="R24" i="9"/>
  <c r="C5" i="9"/>
  <c r="Y16" i="11"/>
  <c r="Y15" i="11"/>
  <c r="Y14" i="11"/>
  <c r="Y13" i="11"/>
  <c r="Y12" i="11"/>
  <c r="G52" i="10"/>
  <c r="G48" i="10"/>
  <c r="G45" i="10"/>
  <c r="G46" i="10"/>
  <c r="G41" i="10"/>
  <c r="G38" i="10"/>
  <c r="G34" i="10"/>
  <c r="G31" i="10"/>
  <c r="G27" i="10"/>
  <c r="G22" i="10"/>
  <c r="G12" i="10"/>
  <c r="G4" i="10"/>
  <c r="G2" i="10"/>
  <c r="E7" i="10"/>
  <c r="F7" i="10" s="1"/>
  <c r="E8" i="10" s="1"/>
  <c r="F8" i="10" s="1"/>
  <c r="E9" i="10" s="1"/>
  <c r="F9" i="10" s="1"/>
  <c r="E10" i="10" s="1"/>
  <c r="F10" i="10" s="1"/>
  <c r="E11" i="10" s="1"/>
  <c r="F11" i="10" s="1"/>
  <c r="F6" i="10"/>
  <c r="F5" i="10"/>
  <c r="E5" i="10"/>
  <c r="F2" i="10"/>
  <c r="O63" i="9"/>
  <c r="O62" i="9"/>
  <c r="M63" i="9"/>
  <c r="M62" i="9"/>
  <c r="M60" i="9"/>
  <c r="M59" i="9"/>
  <c r="U59" i="9" s="1" a="1"/>
  <c r="U59" i="9" s="1"/>
  <c r="M58" i="9"/>
  <c r="P58" i="9" s="1" a="1"/>
  <c r="P58" i="9" s="1"/>
  <c r="M56" i="9"/>
  <c r="P56" i="9" s="1" a="1"/>
  <c r="P56" i="9" s="1"/>
  <c r="M54" i="9"/>
  <c r="P54" i="9" s="1" a="1"/>
  <c r="P54" i="9" s="1"/>
  <c r="M52" i="9"/>
  <c r="P52" i="9" s="1" a="1"/>
  <c r="P52" i="9" s="1"/>
  <c r="M51" i="9"/>
  <c r="M49" i="9"/>
  <c r="U49" i="9" s="1" a="1"/>
  <c r="U49" i="9" s="1"/>
  <c r="M48" i="9"/>
  <c r="P48" i="9" s="1" a="1"/>
  <c r="P48" i="9" s="1"/>
  <c r="M46" i="9"/>
  <c r="P46" i="9" s="1" a="1"/>
  <c r="P46" i="9" s="1"/>
  <c r="M45" i="9"/>
  <c r="M44" i="9"/>
  <c r="L44" i="9"/>
  <c r="M42" i="9"/>
  <c r="P42" i="9" s="1" a="1"/>
  <c r="P42" i="9" s="1"/>
  <c r="M41" i="9"/>
  <c r="L41" i="9"/>
  <c r="M39" i="9"/>
  <c r="L38" i="9"/>
  <c r="P38" i="9" s="1" a="1"/>
  <c r="P38" i="9" s="1"/>
  <c r="M38" i="9"/>
  <c r="M37" i="9"/>
  <c r="K37" i="9"/>
  <c r="P37" i="9" s="1" a="1"/>
  <c r="P37" i="9" s="1"/>
  <c r="K35" i="9"/>
  <c r="K34" i="9"/>
  <c r="J35" i="9"/>
  <c r="U35" i="9" s="1" a="1"/>
  <c r="U35" i="9" s="1"/>
  <c r="J34" i="9"/>
  <c r="J33" i="9"/>
  <c r="K33" i="9"/>
  <c r="K32" i="9"/>
  <c r="J32" i="9"/>
  <c r="I32" i="9"/>
  <c r="K30" i="9"/>
  <c r="J30" i="9"/>
  <c r="I30" i="9"/>
  <c r="K29" i="9"/>
  <c r="J29" i="9"/>
  <c r="J28" i="9"/>
  <c r="I28" i="9"/>
  <c r="J27" i="9"/>
  <c r="I27" i="9"/>
  <c r="O26" i="9"/>
  <c r="P26" i="9" s="1" a="1"/>
  <c r="P26" i="9" s="1"/>
  <c r="O25" i="9"/>
  <c r="N25" i="9"/>
  <c r="J25" i="9"/>
  <c r="K25" i="9"/>
  <c r="N24" i="9"/>
  <c r="K24" i="9"/>
  <c r="J23" i="9"/>
  <c r="P23" i="9" s="1" a="1"/>
  <c r="P23" i="9" s="1"/>
  <c r="I22" i="9"/>
  <c r="U22" i="9" s="1" a="1"/>
  <c r="U22" i="9" s="1"/>
  <c r="L20" i="9"/>
  <c r="K20" i="9"/>
  <c r="Z20" i="9" s="1"/>
  <c r="K19" i="9"/>
  <c r="Z19" i="9" s="1"/>
  <c r="L19" i="9"/>
  <c r="J18" i="9"/>
  <c r="Z18" i="9" s="1"/>
  <c r="O17" i="9"/>
  <c r="Z17" i="9" s="1"/>
  <c r="J17" i="9"/>
  <c r="O16" i="9"/>
  <c r="M16" i="9"/>
  <c r="L16" i="9"/>
  <c r="O15" i="9"/>
  <c r="N15" i="9"/>
  <c r="K15" i="9"/>
  <c r="J15" i="9"/>
  <c r="K14" i="9"/>
  <c r="Z14" i="9" s="1"/>
  <c r="J14" i="9"/>
  <c r="P60" i="9" a="1"/>
  <c r="P60" i="9" s="1"/>
  <c r="O44" i="9"/>
  <c r="P62" i="9" a="1"/>
  <c r="P62" i="9" s="1"/>
  <c r="P51" i="9" a="1"/>
  <c r="P51" i="9" s="1"/>
  <c r="P39" i="9" a="1"/>
  <c r="P39" i="9" s="1"/>
  <c r="P34" i="9" a="1"/>
  <c r="P34" i="9" s="1"/>
  <c r="P31" i="9" a="1"/>
  <c r="P31" i="9" s="1"/>
  <c r="P22" i="9"/>
  <c r="U26" i="9" a="1"/>
  <c r="U26" i="9" s="1"/>
  <c r="O24" i="9"/>
  <c r="H15" i="9"/>
  <c r="H11" i="9"/>
  <c r="G14" i="9" s="1"/>
  <c r="H14" i="9" s="1"/>
  <c r="G16" i="9" s="1"/>
  <c r="H16" i="9" s="1"/>
  <c r="G17" i="9" s="1"/>
  <c r="H17" i="9" s="1"/>
  <c r="G18" i="9" s="1"/>
  <c r="H18" i="9" s="1"/>
  <c r="G19" i="9" s="1"/>
  <c r="H19" i="9" s="1"/>
  <c r="G20" i="9" s="1"/>
  <c r="H20" i="9" s="1"/>
  <c r="Z10" i="9"/>
  <c r="U62" i="9" a="1"/>
  <c r="U62" i="9" s="1"/>
  <c r="U61" i="9" a="1"/>
  <c r="U61" i="9" s="1"/>
  <c r="U57" i="9" a="1"/>
  <c r="U57" i="9" s="1"/>
  <c r="U56" i="9" a="1"/>
  <c r="U56" i="9" s="1"/>
  <c r="U55" i="9" a="1"/>
  <c r="U55" i="9" s="1"/>
  <c r="U54" i="9" a="1"/>
  <c r="U54" i="9" s="1"/>
  <c r="U53" i="9" a="1"/>
  <c r="U53" i="9" s="1"/>
  <c r="U52" i="9" a="1"/>
  <c r="U52" i="9" s="1"/>
  <c r="U51" i="9" a="1"/>
  <c r="U51" i="9" s="1"/>
  <c r="U50" i="9" a="1"/>
  <c r="U50" i="9" s="1"/>
  <c r="U47" i="9" a="1"/>
  <c r="U47" i="9" s="1"/>
  <c r="U45" i="9" a="1"/>
  <c r="U45" i="9" s="1"/>
  <c r="U43" i="9" a="1"/>
  <c r="U43" i="9" s="1"/>
  <c r="U40" i="9" a="1"/>
  <c r="U40" i="9" s="1"/>
  <c r="U39" i="9" a="1"/>
  <c r="U39" i="9" s="1"/>
  <c r="U36" i="9" a="1"/>
  <c r="U36" i="9" s="1"/>
  <c r="U34" i="9" a="1"/>
  <c r="U34" i="9" s="1"/>
  <c r="U31" i="9" a="1"/>
  <c r="U31" i="9" s="1"/>
  <c r="U30" i="9" a="1"/>
  <c r="U30" i="9" s="1"/>
  <c r="D9" i="8"/>
  <c r="D8" i="8"/>
  <c r="D7" i="8"/>
  <c r="D6" i="8"/>
  <c r="D5" i="8"/>
  <c r="D3" i="8"/>
  <c r="O16" i="7" a="1"/>
  <c r="O16" i="7" s="1"/>
  <c r="O17" i="7" a="1"/>
  <c r="O17" i="7" s="1"/>
  <c r="O18" i="7" a="1"/>
  <c r="O18" i="7" s="1"/>
  <c r="O19" i="7" a="1"/>
  <c r="O19" i="7" s="1"/>
  <c r="O20" i="7" a="1"/>
  <c r="O20" i="7" s="1"/>
  <c r="O21" i="7" a="1"/>
  <c r="O21" i="7"/>
  <c r="O22" i="7" a="1"/>
  <c r="O22" i="7" s="1"/>
  <c r="O23" i="7" a="1"/>
  <c r="O23" i="7" s="1"/>
  <c r="O24" i="7" a="1"/>
  <c r="O24" i="7" s="1"/>
  <c r="O25" i="7" a="1"/>
  <c r="O25" i="7" s="1"/>
  <c r="O26" i="7" a="1"/>
  <c r="O26" i="7" s="1"/>
  <c r="O27" i="7" a="1"/>
  <c r="O27" i="7"/>
  <c r="O28" i="7" a="1"/>
  <c r="O28" i="7" s="1"/>
  <c r="O29" i="7" a="1"/>
  <c r="O29" i="7" s="1"/>
  <c r="O30" i="7" a="1"/>
  <c r="O30" i="7" s="1"/>
  <c r="O31" i="7" a="1"/>
  <c r="O31" i="7" s="1"/>
  <c r="O32" i="7" a="1"/>
  <c r="O32" i="7" s="1"/>
  <c r="O33" i="7" a="1"/>
  <c r="O33" i="7"/>
  <c r="O34" i="7" a="1"/>
  <c r="O34" i="7" s="1"/>
  <c r="O35" i="7" a="1"/>
  <c r="O35" i="7" s="1"/>
  <c r="O36" i="7" a="1"/>
  <c r="O36" i="7" s="1"/>
  <c r="O37" i="7" a="1"/>
  <c r="O37" i="7" s="1"/>
  <c r="O38" i="7" a="1"/>
  <c r="O38" i="7" s="1"/>
  <c r="O39" i="7" a="1"/>
  <c r="O39" i="7"/>
  <c r="O40" i="7" a="1"/>
  <c r="O40" i="7" s="1"/>
  <c r="O41" i="7" a="1"/>
  <c r="O41" i="7" s="1"/>
  <c r="O42" i="7" a="1"/>
  <c r="O42" i="7" s="1"/>
  <c r="O43" i="7" a="1"/>
  <c r="O43" i="7" s="1"/>
  <c r="O44" i="7" a="1"/>
  <c r="O44" i="7" s="1"/>
  <c r="O45" i="7" a="1"/>
  <c r="O45" i="7"/>
  <c r="O46" i="7" a="1"/>
  <c r="O46" i="7" s="1"/>
  <c r="O47" i="7" a="1"/>
  <c r="O47" i="7" s="1"/>
  <c r="O48" i="7" a="1"/>
  <c r="O48" i="7" s="1"/>
  <c r="O49" i="7" a="1"/>
  <c r="O49" i="7" s="1"/>
  <c r="O50" i="7" a="1"/>
  <c r="O50" i="7" s="1"/>
  <c r="O51" i="7" a="1"/>
  <c r="O51" i="7" s="1"/>
  <c r="O52" i="7" a="1"/>
  <c r="O52" i="7" s="1"/>
  <c r="O53" i="7" a="1"/>
  <c r="O53" i="7" s="1"/>
  <c r="O54" i="7" a="1"/>
  <c r="O54" i="7" s="1"/>
  <c r="O55" i="7" a="1"/>
  <c r="O55" i="7" s="1"/>
  <c r="O56" i="7" a="1"/>
  <c r="O56" i="7" s="1"/>
  <c r="O15" i="7" a="1"/>
  <c r="O15" i="7" s="1"/>
  <c r="J24" i="7" a="1"/>
  <c r="J24" i="7"/>
  <c r="J25" i="7" a="1"/>
  <c r="J25" i="7" s="1"/>
  <c r="J26" i="7" a="1"/>
  <c r="J26" i="7" s="1"/>
  <c r="J27" i="7" a="1"/>
  <c r="J27" i="7" s="1"/>
  <c r="J28" i="7" a="1"/>
  <c r="J28" i="7" s="1"/>
  <c r="J29" i="7" a="1"/>
  <c r="J29" i="7"/>
  <c r="J30" i="7" a="1"/>
  <c r="J30" i="7" s="1"/>
  <c r="J31" i="7" a="1"/>
  <c r="J31" i="7" s="1"/>
  <c r="J32" i="7" a="1"/>
  <c r="J32" i="7" s="1"/>
  <c r="J33" i="7" a="1"/>
  <c r="J33" i="7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41" i="7" a="1"/>
  <c r="J41" i="7"/>
  <c r="J42" i="7" a="1"/>
  <c r="J42" i="7" s="1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/>
  <c r="J54" i="7" a="1"/>
  <c r="J54" i="7" s="1"/>
  <c r="J55" i="7" a="1"/>
  <c r="J55" i="7" s="1"/>
  <c r="J56" i="7" a="1"/>
  <c r="J56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/>
  <c r="J22" i="7" a="1"/>
  <c r="J22" i="7" s="1"/>
  <c r="J23" i="7" a="1"/>
  <c r="J23" i="7" s="1"/>
  <c r="J15" i="7" a="1"/>
  <c r="J15" i="7" s="1"/>
  <c r="O54" i="6"/>
  <c r="P54" i="6" s="1"/>
  <c r="O53" i="6"/>
  <c r="P53" i="6" s="1"/>
  <c r="O51" i="6"/>
  <c r="P51" i="6" s="1"/>
  <c r="O50" i="6"/>
  <c r="P50" i="6" s="1"/>
  <c r="O49" i="6"/>
  <c r="P49" i="6" s="1"/>
  <c r="P47" i="6"/>
  <c r="P45" i="6"/>
  <c r="O47" i="6" s="1"/>
  <c r="O45" i="6"/>
  <c r="O43" i="6"/>
  <c r="P43" i="6" s="1"/>
  <c r="O42" i="6"/>
  <c r="P42" i="6" s="1"/>
  <c r="O40" i="6"/>
  <c r="P40" i="6" s="1"/>
  <c r="O39" i="6"/>
  <c r="O37" i="6"/>
  <c r="O36" i="6"/>
  <c r="P36" i="6" s="1"/>
  <c r="O35" i="6"/>
  <c r="P35" i="6" s="1"/>
  <c r="O33" i="6"/>
  <c r="P33" i="6" s="1"/>
  <c r="O32" i="6"/>
  <c r="P32" i="6" s="1"/>
  <c r="O30" i="6"/>
  <c r="O29" i="6"/>
  <c r="P28" i="6"/>
  <c r="P29" i="6" s="1"/>
  <c r="P30" i="6" s="1"/>
  <c r="P37" i="6"/>
  <c r="P39" i="6"/>
  <c r="O28" i="6"/>
  <c r="P26" i="6"/>
  <c r="O26" i="6"/>
  <c r="P25" i="6"/>
  <c r="O25" i="6"/>
  <c r="P24" i="6"/>
  <c r="O24" i="6"/>
  <c r="P23" i="6"/>
  <c r="O23" i="6"/>
  <c r="P21" i="6"/>
  <c r="O21" i="6"/>
  <c r="P20" i="6"/>
  <c r="O20" i="6"/>
  <c r="P19" i="6"/>
  <c r="O19" i="6"/>
  <c r="P18" i="6"/>
  <c r="O18" i="6"/>
  <c r="P17" i="6"/>
  <c r="O17" i="6"/>
  <c r="P16" i="6"/>
  <c r="O16" i="6"/>
  <c r="P15" i="6"/>
  <c r="O15" i="6"/>
  <c r="P14" i="6"/>
  <c r="O14" i="6"/>
  <c r="P13" i="6"/>
  <c r="O13" i="6"/>
  <c r="P11" i="6"/>
  <c r="O11" i="6"/>
  <c r="P10" i="6"/>
  <c r="O10" i="6"/>
  <c r="P9" i="6"/>
  <c r="O9" i="6"/>
  <c r="P8" i="6"/>
  <c r="O8" i="6"/>
  <c r="P7" i="6"/>
  <c r="O7" i="6"/>
  <c r="P6" i="6"/>
  <c r="P5" i="6"/>
  <c r="O5" i="6"/>
  <c r="P2" i="6"/>
  <c r="F15" i="13" l="1"/>
  <c r="G15" i="13" s="1"/>
  <c r="F16" i="13" s="1"/>
  <c r="G16" i="13" s="1"/>
  <c r="F17" i="13" s="1"/>
  <c r="G17" i="13" s="1"/>
  <c r="F20" i="13" s="1"/>
  <c r="G20" i="13" s="1"/>
  <c r="F21" i="13" s="1"/>
  <c r="G21" i="13" s="1"/>
  <c r="F25" i="13" s="1"/>
  <c r="G25" i="13" s="1"/>
  <c r="F26" i="13" s="1"/>
  <c r="G26" i="13" s="1"/>
  <c r="F13" i="13"/>
  <c r="G13" i="13" s="1"/>
  <c r="F14" i="13" s="1"/>
  <c r="G14" i="13" s="1"/>
  <c r="C65" i="7"/>
  <c r="C64" i="7"/>
  <c r="C62" i="7"/>
  <c r="S60" i="7"/>
  <c r="P32" i="9" a="1"/>
  <c r="P32" i="9" s="1"/>
  <c r="U41" i="9" a="1"/>
  <c r="U41" i="9" s="1"/>
  <c r="Z16" i="9"/>
  <c r="P30" i="9" a="1"/>
  <c r="P30" i="9" s="1"/>
  <c r="Z30" i="9" s="1"/>
  <c r="U58" i="9" a="1"/>
  <c r="U58" i="9" s="1"/>
  <c r="Z58" i="9" s="1"/>
  <c r="Z54" i="9"/>
  <c r="Z53" i="9" s="1"/>
  <c r="Z22" i="9"/>
  <c r="U63" i="9" a="1"/>
  <c r="U63" i="9" s="1"/>
  <c r="Z62" i="9"/>
  <c r="U27" i="9" a="1"/>
  <c r="U27" i="9" s="1"/>
  <c r="P28" i="9" a="1"/>
  <c r="P28" i="9" s="1"/>
  <c r="P35" i="9" a="1"/>
  <c r="P35" i="9" s="1"/>
  <c r="Z35" i="9" s="1"/>
  <c r="E13" i="10"/>
  <c r="F13" i="10" s="1"/>
  <c r="E14" i="10" s="1"/>
  <c r="F14" i="10" s="1"/>
  <c r="E15" i="10"/>
  <c r="F15" i="10" s="1"/>
  <c r="E16" i="10" s="1"/>
  <c r="F16" i="10" s="1"/>
  <c r="E17" i="10" s="1"/>
  <c r="F17" i="10" s="1"/>
  <c r="E20" i="10" s="1"/>
  <c r="F20" i="10" s="1"/>
  <c r="E21" i="10" s="1"/>
  <c r="F21" i="10" s="1"/>
  <c r="E25" i="10" s="1"/>
  <c r="F25" i="10" s="1"/>
  <c r="E26" i="10" s="1"/>
  <c r="F26" i="10" s="1"/>
  <c r="U28" i="9" a="1"/>
  <c r="U28" i="9" s="1"/>
  <c r="U23" i="9" a="1"/>
  <c r="U23" i="9" s="1"/>
  <c r="Z23" i="9" s="1"/>
  <c r="U29" i="9" a="1"/>
  <c r="U29" i="9" s="1"/>
  <c r="Z56" i="9"/>
  <c r="Z55" i="9" s="1"/>
  <c r="Z26" i="9"/>
  <c r="U33" i="9" a="1"/>
  <c r="U33" i="9" s="1"/>
  <c r="Z34" i="9"/>
  <c r="P44" i="9" a="1"/>
  <c r="P44" i="9" s="1"/>
  <c r="Z39" i="9"/>
  <c r="Z51" i="9"/>
  <c r="P59" i="9" a="1"/>
  <c r="P59" i="9" s="1"/>
  <c r="Z59" i="9" s="1"/>
  <c r="Z52" i="9"/>
  <c r="P49" i="9" a="1"/>
  <c r="P49" i="9" s="1"/>
  <c r="Z49" i="9" s="1"/>
  <c r="U48" i="9" a="1"/>
  <c r="U48" i="9" s="1"/>
  <c r="Z48" i="9" s="1"/>
  <c r="U46" i="9" a="1"/>
  <c r="U46" i="9" s="1"/>
  <c r="Z46" i="9" s="1"/>
  <c r="P45" i="9" a="1"/>
  <c r="P45" i="9" s="1"/>
  <c r="Z45" i="9" s="1"/>
  <c r="U44" i="9" a="1"/>
  <c r="U44" i="9" s="1"/>
  <c r="P41" i="9" a="1"/>
  <c r="P41" i="9" s="1"/>
  <c r="U32" i="9" a="1"/>
  <c r="U32" i="9" s="1"/>
  <c r="Z32" i="9" s="1"/>
  <c r="P29" i="9" a="1"/>
  <c r="P29" i="9" s="1"/>
  <c r="Z29" i="9" s="1"/>
  <c r="P27" i="9" a="1"/>
  <c r="P27" i="9" s="1"/>
  <c r="Z27" i="9" s="1"/>
  <c r="P25" i="9" a="1"/>
  <c r="P25" i="9" s="1"/>
  <c r="U25" i="9" a="1"/>
  <c r="U25" i="9" s="1"/>
  <c r="P24" i="9" a="1"/>
  <c r="P24" i="9" s="1"/>
  <c r="U24" i="9" a="1"/>
  <c r="U24" i="9" s="1"/>
  <c r="Z15" i="9"/>
  <c r="P63" i="9" a="1"/>
  <c r="P63" i="9" s="1"/>
  <c r="U60" i="9" a="1"/>
  <c r="U60" i="9" s="1"/>
  <c r="Z60" i="9" s="1"/>
  <c r="U42" i="9" a="1"/>
  <c r="U42" i="9" s="1"/>
  <c r="Z42" i="9" s="1"/>
  <c r="U38" i="9" a="1"/>
  <c r="U38" i="9" s="1"/>
  <c r="Z38" i="9" s="1"/>
  <c r="U37" i="9" a="1"/>
  <c r="U37" i="9" s="1"/>
  <c r="Z37" i="9" s="1"/>
  <c r="P33" i="9" a="1"/>
  <c r="P33" i="9" s="1"/>
  <c r="Z33" i="9" s="1"/>
  <c r="Z31" i="9" s="1"/>
  <c r="G22" i="9"/>
  <c r="H22" i="9" s="1"/>
  <c r="G23" i="9" s="1"/>
  <c r="H23" i="9" s="1"/>
  <c r="G24" i="9"/>
  <c r="H24" i="9" s="1"/>
  <c r="G25" i="9" s="1"/>
  <c r="H25" i="9" s="1"/>
  <c r="G26" i="9" s="1"/>
  <c r="H26" i="9" s="1"/>
  <c r="G29" i="9" s="1"/>
  <c r="H29" i="9" s="1"/>
  <c r="G30" i="9" s="1"/>
  <c r="H30" i="9" s="1"/>
  <c r="G34" i="9" s="1"/>
  <c r="H34" i="9" s="1"/>
  <c r="G35" i="9" s="1"/>
  <c r="H35" i="9" s="1"/>
  <c r="F28" i="13" l="1"/>
  <c r="G28" i="13" s="1"/>
  <c r="F29" i="13" s="1"/>
  <c r="G29" i="13" s="1"/>
  <c r="F30" i="13" s="1"/>
  <c r="G30" i="13" s="1"/>
  <c r="F32" i="13" s="1"/>
  <c r="G32" i="13" s="1"/>
  <c r="F33" i="13" s="1"/>
  <c r="G33" i="13" s="1"/>
  <c r="F35" i="13"/>
  <c r="G35" i="13" s="1"/>
  <c r="F36" i="13" s="1"/>
  <c r="G36" i="13" s="1"/>
  <c r="F37" i="13" s="1"/>
  <c r="G37" i="13" s="1"/>
  <c r="F39" i="13" s="1"/>
  <c r="G39" i="13" s="1"/>
  <c r="F40" i="13" s="1"/>
  <c r="G40" i="13" s="1"/>
  <c r="F42" i="13" s="1"/>
  <c r="G42" i="13" s="1"/>
  <c r="F43" i="13" s="1"/>
  <c r="G43" i="13" s="1"/>
  <c r="F18" i="13"/>
  <c r="G18" i="13" s="1"/>
  <c r="F23" i="13" s="1"/>
  <c r="G23" i="13" s="1"/>
  <c r="F19" i="13"/>
  <c r="G19" i="13" s="1"/>
  <c r="F24" i="13" s="1"/>
  <c r="G24" i="13" s="1"/>
  <c r="Z41" i="9"/>
  <c r="Z40" i="9" s="1"/>
  <c r="Z63" i="9"/>
  <c r="Z61" i="9"/>
  <c r="Z13" i="9"/>
  <c r="Z28" i="9"/>
  <c r="Z44" i="9"/>
  <c r="Z43" i="9" s="1"/>
  <c r="Z47" i="9"/>
  <c r="Z57" i="9"/>
  <c r="Z50" i="9"/>
  <c r="E35" i="10"/>
  <c r="F35" i="10" s="1"/>
  <c r="E36" i="10" s="1"/>
  <c r="F36" i="10" s="1"/>
  <c r="E37" i="10" s="1"/>
  <c r="F37" i="10" s="1"/>
  <c r="E39" i="10" s="1"/>
  <c r="F39" i="10" s="1"/>
  <c r="E40" i="10" s="1"/>
  <c r="F40" i="10" s="1"/>
  <c r="E42" i="10" s="1"/>
  <c r="F42" i="10" s="1"/>
  <c r="E43" i="10" s="1"/>
  <c r="F43" i="10" s="1"/>
  <c r="E28" i="10"/>
  <c r="F28" i="10" s="1"/>
  <c r="E29" i="10" s="1"/>
  <c r="F29" i="10" s="1"/>
  <c r="E30" i="10" s="1"/>
  <c r="F30" i="10" s="1"/>
  <c r="E32" i="10" s="1"/>
  <c r="F32" i="10" s="1"/>
  <c r="E33" i="10" s="1"/>
  <c r="F33" i="10" s="1"/>
  <c r="E19" i="10"/>
  <c r="F19" i="10" s="1"/>
  <c r="E24" i="10" s="1"/>
  <c r="F24" i="10" s="1"/>
  <c r="E18" i="10"/>
  <c r="F18" i="10" s="1"/>
  <c r="E23" i="10" s="1"/>
  <c r="F23" i="10" s="1"/>
  <c r="Z24" i="9"/>
  <c r="Z25" i="9"/>
  <c r="Z36" i="9"/>
  <c r="G28" i="9"/>
  <c r="H28" i="9" s="1"/>
  <c r="G33" i="9" s="1"/>
  <c r="H33" i="9" s="1"/>
  <c r="G27" i="9"/>
  <c r="H27" i="9" s="1"/>
  <c r="G32" i="9" s="1"/>
  <c r="H32" i="9" s="1"/>
  <c r="G37" i="9"/>
  <c r="H37" i="9" s="1"/>
  <c r="G38" i="9" s="1"/>
  <c r="H38" i="9" s="1"/>
  <c r="G39" i="9" s="1"/>
  <c r="H39" i="9" s="1"/>
  <c r="G41" i="9" s="1"/>
  <c r="H41" i="9" s="1"/>
  <c r="G42" i="9" s="1"/>
  <c r="H42" i="9" s="1"/>
  <c r="G44" i="9"/>
  <c r="H44" i="9" s="1"/>
  <c r="G45" i="9" s="1"/>
  <c r="H45" i="9" s="1"/>
  <c r="G46" i="9" s="1"/>
  <c r="H46" i="9" s="1"/>
  <c r="G48" i="9" s="1"/>
  <c r="H48" i="9" s="1"/>
  <c r="G49" i="9" s="1"/>
  <c r="H49" i="9" s="1"/>
  <c r="G51" i="9" s="1"/>
  <c r="H51" i="9" s="1"/>
  <c r="G52" i="9" s="1"/>
  <c r="H52" i="9" s="1"/>
  <c r="F45" i="13" l="1"/>
  <c r="G45" i="13" s="1"/>
  <c r="F47" i="13" s="1"/>
  <c r="G47" i="13" s="1"/>
  <c r="F49" i="13"/>
  <c r="G49" i="13" s="1"/>
  <c r="F50" i="13" s="1"/>
  <c r="G50" i="13" s="1"/>
  <c r="F51" i="13" s="1"/>
  <c r="G51" i="13" s="1"/>
  <c r="F53" i="13" s="1"/>
  <c r="G53" i="13" s="1"/>
  <c r="F54" i="13" s="1"/>
  <c r="G54" i="13" s="1"/>
  <c r="F56" i="13" s="1"/>
  <c r="G56" i="13" s="1"/>
  <c r="F57" i="13" s="1"/>
  <c r="G57" i="13" s="1"/>
  <c r="E49" i="10"/>
  <c r="F49" i="10" s="1"/>
  <c r="E50" i="10" s="1"/>
  <c r="F50" i="10" s="1"/>
  <c r="E51" i="10" s="1"/>
  <c r="F51" i="10" s="1"/>
  <c r="E53" i="10" s="1"/>
  <c r="F53" i="10" s="1"/>
  <c r="E54" i="10" s="1"/>
  <c r="F54" i="10" s="1"/>
  <c r="E45" i="10"/>
  <c r="F45" i="10" s="1"/>
  <c r="E47" i="10" s="1"/>
  <c r="F47" i="10" s="1"/>
  <c r="Z21" i="9"/>
  <c r="G54" i="9"/>
  <c r="H54" i="9" s="1"/>
  <c r="G56" i="9" s="1"/>
  <c r="H56" i="9" s="1"/>
  <c r="G58" i="9"/>
  <c r="H58" i="9" s="1"/>
  <c r="G59" i="9" s="1"/>
  <c r="H59" i="9" s="1"/>
  <c r="G60" i="9" s="1"/>
  <c r="H60" i="9" s="1"/>
  <c r="G62" i="9" s="1"/>
  <c r="H62" i="9" s="1"/>
  <c r="G63" i="9" s="1"/>
  <c r="H63" i="9" s="1"/>
  <c r="Z73" i="9" l="1"/>
  <c r="AA73" i="9" s="1"/>
  <c r="AA74" i="9" l="1"/>
  <c r="AA7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<sst xmlns="http://schemas.openxmlformats.org/spreadsheetml/2006/main" count="2177" uniqueCount="511">
  <si>
    <t>Identificación</t>
  </si>
  <si>
    <t>Clasificación</t>
  </si>
  <si>
    <t>Id.</t>
  </si>
  <si>
    <t>Nombre</t>
  </si>
  <si>
    <t>Puesto</t>
  </si>
  <si>
    <t>Rol</t>
  </si>
  <si>
    <t>Influencia</t>
  </si>
  <si>
    <t>Fase Interés</t>
  </si>
  <si>
    <t>Pertenencia</t>
  </si>
  <si>
    <t>Id001</t>
  </si>
  <si>
    <t>Silvana Arévalo</t>
  </si>
  <si>
    <t>Director de Proyecto</t>
  </si>
  <si>
    <t>Ejecutivo</t>
  </si>
  <si>
    <t>Alto</t>
  </si>
  <si>
    <t>Implementación</t>
  </si>
  <si>
    <t>Interno</t>
  </si>
  <si>
    <t>Neutral</t>
  </si>
  <si>
    <t>Id002</t>
  </si>
  <si>
    <t>Lenin Falconí</t>
  </si>
  <si>
    <t>Gerente General</t>
  </si>
  <si>
    <t>Análisis de Requerimientos y Necesidades del Proyecto</t>
  </si>
  <si>
    <t>Id003</t>
  </si>
  <si>
    <t>Juan Hidrovo</t>
  </si>
  <si>
    <t>Jefe Financiero</t>
  </si>
  <si>
    <t>Resiste</t>
  </si>
  <si>
    <t>Id004</t>
  </si>
  <si>
    <t>Alejandro Ayala</t>
  </si>
  <si>
    <t>Jefe de Ventas</t>
  </si>
  <si>
    <t>Apoya</t>
  </si>
  <si>
    <t>Id005</t>
  </si>
  <si>
    <t>Diego Romero</t>
  </si>
  <si>
    <t>Jefe de Adquisiciones</t>
  </si>
  <si>
    <t>Bajo</t>
  </si>
  <si>
    <t>Análisis de Requerimientos</t>
  </si>
  <si>
    <t>Id006</t>
  </si>
  <si>
    <t>Andres B.</t>
  </si>
  <si>
    <t>Jefe de Ingeniería</t>
  </si>
  <si>
    <t>Técnico</t>
  </si>
  <si>
    <t>Id007</t>
  </si>
  <si>
    <t>Edith C.</t>
  </si>
  <si>
    <t>Patrocinador</t>
  </si>
  <si>
    <t>Medio</t>
  </si>
  <si>
    <t>Inicio del Proyecto</t>
  </si>
  <si>
    <t>Id008</t>
  </si>
  <si>
    <t>John Doe</t>
  </si>
  <si>
    <t>Desarrollador de App</t>
  </si>
  <si>
    <t>Externo</t>
  </si>
  <si>
    <t>Id</t>
  </si>
  <si>
    <t>Desconoce</t>
  </si>
  <si>
    <t>Resistencia</t>
  </si>
  <si>
    <t>Líder</t>
  </si>
  <si>
    <t>Poder</t>
  </si>
  <si>
    <t>Interés</t>
  </si>
  <si>
    <t>Estrategia</t>
  </si>
  <si>
    <t>X</t>
  </si>
  <si>
    <t>A</t>
  </si>
  <si>
    <t>Integración en Equipo. Socialización periódica de los hitos del proyecto</t>
  </si>
  <si>
    <t>M</t>
  </si>
  <si>
    <t>Integración en Equipo. Campaña de Comunicación enfocada a las ganancias y réditos obtenidos con la nueva APP</t>
  </si>
  <si>
    <t>B</t>
  </si>
  <si>
    <t>Integración en Equipo. Campaña de Comunicación enfocada a las ganancias y réditos obtenidos con la nueva APP. Mantener Satisfecho</t>
  </si>
  <si>
    <t>Integración en Equipo en reuniones de hitos</t>
  </si>
  <si>
    <t>Métodos de Comunicación</t>
  </si>
  <si>
    <t>Habilidades</t>
  </si>
  <si>
    <t>Responsable</t>
  </si>
  <si>
    <t>Reunión de Socialización y toma de decisiones. Correo Electrónico</t>
  </si>
  <si>
    <t xml:space="preserve">Escucha Efectiva. </t>
  </si>
  <si>
    <t>Dpto. Proyectos</t>
  </si>
  <si>
    <t>Reunión de Socialización y toma de decisiones. Correo Electrónico. Llamada</t>
  </si>
  <si>
    <t>Escucha Efectiva. Negociación. Involucrar en Toma de Decisiones</t>
  </si>
  <si>
    <t>Dpto. Proyectos y Jefe Desarrollo App</t>
  </si>
  <si>
    <t>Taller de Proyecciones de Ganancias.                               Llamada. Correo</t>
  </si>
  <si>
    <t>Resolución de Conflictos. Escucha Efectiva. Negociación. Involucrar en toma de decisiones</t>
  </si>
  <si>
    <t>Dpto. Proyectos. Responsable de Comunicación</t>
  </si>
  <si>
    <t>Taller de Proyecciones de Ganancias                           Taller de Simulaciones de App.                               Llamada, Correo Electrónico</t>
  </si>
  <si>
    <t>Dpto. Proyectos. Responsable de Comunicación. Representante de desarrollo App</t>
  </si>
  <si>
    <t>Reunión de Socialización de Avances</t>
  </si>
  <si>
    <t>Escucha Efectiva</t>
  </si>
  <si>
    <t xml:space="preserve">Involucrar en toma de decisiones. </t>
  </si>
  <si>
    <t>Dpto. Proyectos y Responsable Comunicación</t>
  </si>
  <si>
    <t>Reuniones períodicas de estrategia y tomas de decisiones</t>
  </si>
  <si>
    <t>Escucha Efectiva. Resolución de Conflictos. Confrontación. Negociación</t>
  </si>
  <si>
    <t>Dpto. Proyectos y Representante Ventas</t>
  </si>
  <si>
    <t>1.1</t>
  </si>
  <si>
    <t>Diseño de solución Full Stack</t>
  </si>
  <si>
    <t>Descripción de Trabajo</t>
  </si>
  <si>
    <t>Reunión de presentación de la solución de App de Ofertas para Ventas contemplando aspectos de Back end y Front End</t>
  </si>
  <si>
    <t>Supuestos y Restricciones</t>
  </si>
  <si>
    <t>Reunión con los interesados: Gerente General, un representante de accionistas, director de proyecto, director financiero y jefe de ventas</t>
  </si>
  <si>
    <t>Lider de TI</t>
  </si>
  <si>
    <t>Costo</t>
  </si>
  <si>
    <t>Fecha</t>
  </si>
  <si>
    <t>Recursos Necesarios</t>
  </si>
  <si>
    <t>Acta de constitución del proyecto</t>
  </si>
  <si>
    <t>1.2</t>
  </si>
  <si>
    <t>Determinación de Tecnologías y Frameworks</t>
  </si>
  <si>
    <t>Análisis Comparativo de Beneficios y Recursos de diferentes tecnologías para el desarrollo de la aplicación y su implementación</t>
  </si>
  <si>
    <t>Departamento de TI, equipo de implementación, y director financiero. El reporte de gastos se pasa al Gerente y Accionista</t>
  </si>
  <si>
    <t>Equipo de Trabajo</t>
  </si>
  <si>
    <t>Disponibilidad del equipo técnico</t>
  </si>
  <si>
    <t>1.3</t>
  </si>
  <si>
    <t xml:space="preserve">Implementación </t>
  </si>
  <si>
    <t>Desarrollo de la APP y la migración tecnológica de servicios de TI a la nube</t>
  </si>
  <si>
    <t>Departamento de TI, equipo de implementación</t>
  </si>
  <si>
    <t>1.4</t>
  </si>
  <si>
    <t>Prueba de Concepto</t>
  </si>
  <si>
    <t>Presentación de la APP funcional sobre la plataforma de Google Cloud</t>
  </si>
  <si>
    <t>Lider TI, Director de Proyecto, Gerente General</t>
  </si>
  <si>
    <t>Lider TI</t>
  </si>
  <si>
    <t>Sala de Reuniones</t>
  </si>
  <si>
    <t>2.1</t>
  </si>
  <si>
    <t>Desarrollo de IA - Recopilación de Datos</t>
  </si>
  <si>
    <t>Desarrollo de la base de datos para recopilación de datos de oferta y venta</t>
  </si>
  <si>
    <t>Departamento de TI, Director Proyecto</t>
  </si>
  <si>
    <t>Centro de Computo para procesamiento de datos</t>
  </si>
  <si>
    <t>2.2</t>
  </si>
  <si>
    <t>Desarrollo de IA - Procesamiento de Datos</t>
  </si>
  <si>
    <t>Desarrollo de Scripts para procesamiento y depuración de datos de venta capturados</t>
  </si>
  <si>
    <t>Lider TI, Gerente General, Director de Proyectos</t>
  </si>
  <si>
    <t>Lider TI, Dierector Proyecto</t>
  </si>
  <si>
    <t>2.3</t>
  </si>
  <si>
    <t>Desarrollo de IA - Diseño de Modelo de IA</t>
  </si>
  <si>
    <t>Modelamiento de la IA para recomendaciones de ofertas</t>
  </si>
  <si>
    <t>Equipo de Trabajo de TI</t>
  </si>
  <si>
    <t>Líder TI</t>
  </si>
  <si>
    <t>2.4</t>
  </si>
  <si>
    <t>Desarrollo de IA - Implementación de IA</t>
  </si>
  <si>
    <t>Desarrollo y entrenamiento del modelo de IA para predicciones</t>
  </si>
  <si>
    <t>Director Proyecto</t>
  </si>
  <si>
    <t>2.5</t>
  </si>
  <si>
    <t>Desarrollo de IA - Pruebas</t>
  </si>
  <si>
    <t>Socialización de Pruebas</t>
  </si>
  <si>
    <t>3.1</t>
  </si>
  <si>
    <t>Perfeccionamiento de IA - Recopilación de Datos</t>
  </si>
  <si>
    <t>Ejecución de recopilación de datos de ventas</t>
  </si>
  <si>
    <t>3.2</t>
  </si>
  <si>
    <t>Perfeccionameinto de IA - Procesamiento de Datos</t>
  </si>
  <si>
    <t>Ejecución de Procesamiento de datos</t>
  </si>
  <si>
    <t>3.3</t>
  </si>
  <si>
    <t>Perfeccionamiento  de IA - Diseño de Modelo de IA</t>
  </si>
  <si>
    <t>Entrenamiento de Modelo de IA</t>
  </si>
  <si>
    <t>Pruebas Finales</t>
  </si>
  <si>
    <t>Integración del motor de recomendación en la App</t>
  </si>
  <si>
    <t>Integrar el programa de inteligencia artificial en la aplicacción movil</t>
  </si>
  <si>
    <t>1.1.1</t>
  </si>
  <si>
    <t>Reunión de inicio de proyecto</t>
  </si>
  <si>
    <t>2.1.1</t>
  </si>
  <si>
    <t>Generación de archivos json para recopilación de datos</t>
  </si>
  <si>
    <t>3.1.1</t>
  </si>
  <si>
    <t>Ejecución de Script para Almacenamiento de Datos</t>
  </si>
  <si>
    <t>1.1.2</t>
  </si>
  <si>
    <t>Reunión de presentación del proyecto, objetivos y el equipo de desarrollo</t>
  </si>
  <si>
    <t>2.1.2</t>
  </si>
  <si>
    <t>Generación de Script para recopilación de datos</t>
  </si>
  <si>
    <t>2.1.3</t>
  </si>
  <si>
    <t>Perfeccionamiento de IA - Procesamiento de Datos</t>
  </si>
  <si>
    <t>3.2.1</t>
  </si>
  <si>
    <t>Ejecución de Script para Procesamiento de Datos: elmiminación de outliers, tratamiento de datos incompletos, formatos de datos y generación de estructura de datos tipo tensor</t>
  </si>
  <si>
    <t>1.2.1</t>
  </si>
  <si>
    <t>Identificación de Necesidades de Almacenamiento</t>
  </si>
  <si>
    <t>1.2.2</t>
  </si>
  <si>
    <t>Identificación de Necesidades de Cómputo: RAM, #CPUs, #GPUs</t>
  </si>
  <si>
    <t>2.2.1</t>
  </si>
  <si>
    <t>Desarrollo de Script par Procesamiento y Depuración de Datos capturados</t>
  </si>
  <si>
    <t>Perfeccionamiento de IA - Renetrenameinto de Modelo de IA</t>
  </si>
  <si>
    <t>1.2.3</t>
  </si>
  <si>
    <t>Análisis Costo Beneficio de Frameworks de Web Apps basados en Python</t>
  </si>
  <si>
    <t>2.2.2</t>
  </si>
  <si>
    <t>3.3.1</t>
  </si>
  <si>
    <t>Diseño de Script para aprendizaje reiterativo y re-entrenamiento</t>
  </si>
  <si>
    <t>1.2.4</t>
  </si>
  <si>
    <t>Análisis Costo Beneficio de Frameworks de Web Apps basados en JavaScript</t>
  </si>
  <si>
    <t>3.3.2</t>
  </si>
  <si>
    <t>Ejecución de Entrenamiento de IA</t>
  </si>
  <si>
    <t>1.2.5</t>
  </si>
  <si>
    <t>Análisis Costo Beneficio de Frameworks de Web Apps basados en PHP</t>
  </si>
  <si>
    <t>3.3.3</t>
  </si>
  <si>
    <t>Validación de Modelo</t>
  </si>
  <si>
    <t>1.2.6</t>
  </si>
  <si>
    <t>Dimensionamiento de requisitos de la Base de datos de: Clientes, Productos, Servicios, Vendedores</t>
  </si>
  <si>
    <t>2.3.1</t>
  </si>
  <si>
    <t>Reunión de Determinación de Requisitos de funcionamiento de la IA</t>
  </si>
  <si>
    <t xml:space="preserve">1.2.7 </t>
  </si>
  <si>
    <t>Diseño de Base de Datos</t>
  </si>
  <si>
    <t>2.3.2</t>
  </si>
  <si>
    <t>Evaluación de Frameworks de desarrollo de Machine Learning: Pytorch, Tensorflow, Keras</t>
  </si>
  <si>
    <t>3.4</t>
  </si>
  <si>
    <t>Perfeccionamiento de IA - Pruebas</t>
  </si>
  <si>
    <t>2.3.3</t>
  </si>
  <si>
    <t>Diseño Funcional del modelo de IA: definición de entradas, técnica de modelamiento para vector característico, salidas del modelo</t>
  </si>
  <si>
    <t>3.4.1</t>
  </si>
  <si>
    <t>Pruebas de Predicción Piloto de Motor de IA</t>
  </si>
  <si>
    <t>Implementación App Ofertas</t>
  </si>
  <si>
    <t>3.4.2</t>
  </si>
  <si>
    <t>Pruebas funcionales y medición de resultados en ventas</t>
  </si>
  <si>
    <t>1.3.1</t>
  </si>
  <si>
    <t>Diseño de Funcionalidades de Front End: ventanas, menús principales, navegación y funciones</t>
  </si>
  <si>
    <t>1.3.2</t>
  </si>
  <si>
    <t>Programación de Front End</t>
  </si>
  <si>
    <t>2.4.1</t>
  </si>
  <si>
    <t>Desarrollo de Scripts de Machine Learning</t>
  </si>
  <si>
    <t>1.3.3</t>
  </si>
  <si>
    <t>Implementación de Base de Datos</t>
  </si>
  <si>
    <t>2.4.2</t>
  </si>
  <si>
    <t>Entrenamiento y Validación de Modelo</t>
  </si>
  <si>
    <t>3.5.1</t>
  </si>
  <si>
    <t>Implementación de la integración Full Stack</t>
  </si>
  <si>
    <t>1.3.4</t>
  </si>
  <si>
    <t>Levantamiento de conexión a Base de Datos</t>
  </si>
  <si>
    <t>3.5.2</t>
  </si>
  <si>
    <t>1.3.5</t>
  </si>
  <si>
    <t>Configuraciones de Servidor en la Nube</t>
  </si>
  <si>
    <t>1.3.6</t>
  </si>
  <si>
    <t>Programación de Funciones de Navegación</t>
  </si>
  <si>
    <t>2.5.1</t>
  </si>
  <si>
    <t>1.3.7</t>
  </si>
  <si>
    <t>Programación de Funciones de Ingresar Productos y Servicios</t>
  </si>
  <si>
    <t>2.5.2</t>
  </si>
  <si>
    <t>1.3.8</t>
  </si>
  <si>
    <t>Programación de Funciones de Actualización de Base de Datos</t>
  </si>
  <si>
    <t>1.3.9</t>
  </si>
  <si>
    <t>Programación de Funciones de Generación de PDF y email</t>
  </si>
  <si>
    <t>1.4.1</t>
  </si>
  <si>
    <t>Testeo de funcionalidades de Navegación</t>
  </si>
  <si>
    <t>1.4.2</t>
  </si>
  <si>
    <t>Testeo de funcionalidades de Oferta</t>
  </si>
  <si>
    <t>1.4.3</t>
  </si>
  <si>
    <t>Testeo de funcionalidades de generación PDF</t>
  </si>
  <si>
    <t>1.4.4</t>
  </si>
  <si>
    <t>Testeo de funcionalidades de envío de email</t>
  </si>
  <si>
    <t>Precedencia</t>
  </si>
  <si>
    <t>Duración</t>
  </si>
  <si>
    <t>Codigo Tarea</t>
  </si>
  <si>
    <t>Fecha Inicio</t>
  </si>
  <si>
    <t>Fecha Fin</t>
  </si>
  <si>
    <t>A1</t>
  </si>
  <si>
    <t>A2</t>
  </si>
  <si>
    <t>B1</t>
  </si>
  <si>
    <t>B2</t>
  </si>
  <si>
    <t>1.2.1, 1.2.2</t>
  </si>
  <si>
    <t>B3</t>
  </si>
  <si>
    <t>B4</t>
  </si>
  <si>
    <t>B5</t>
  </si>
  <si>
    <t>B6</t>
  </si>
  <si>
    <t>B7</t>
  </si>
  <si>
    <t>1.2.7</t>
  </si>
  <si>
    <t>C1</t>
  </si>
  <si>
    <t>C2</t>
  </si>
  <si>
    <t>C3</t>
  </si>
  <si>
    <t>C4</t>
  </si>
  <si>
    <t>C5</t>
  </si>
  <si>
    <t>C6</t>
  </si>
  <si>
    <t>C7</t>
  </si>
  <si>
    <t>C8</t>
  </si>
  <si>
    <t>1.3.7, 1.3.8</t>
  </si>
  <si>
    <t>C9</t>
  </si>
  <si>
    <t>D1</t>
  </si>
  <si>
    <t>D2</t>
  </si>
  <si>
    <t>D3</t>
  </si>
  <si>
    <t>D4</t>
  </si>
  <si>
    <t>E1</t>
  </si>
  <si>
    <t>E2</t>
  </si>
  <si>
    <t>E3</t>
  </si>
  <si>
    <t>F1</t>
  </si>
  <si>
    <t>F2</t>
  </si>
  <si>
    <t>G1</t>
  </si>
  <si>
    <t>G2</t>
  </si>
  <si>
    <t>G3</t>
  </si>
  <si>
    <t>H1</t>
  </si>
  <si>
    <t>H2</t>
  </si>
  <si>
    <t>I1</t>
  </si>
  <si>
    <t>I2</t>
  </si>
  <si>
    <t>J1</t>
  </si>
  <si>
    <t>K1</t>
  </si>
  <si>
    <t>L1</t>
  </si>
  <si>
    <t>L2</t>
  </si>
  <si>
    <t>L3</t>
  </si>
  <si>
    <t>M1</t>
  </si>
  <si>
    <t>M2</t>
  </si>
  <si>
    <t>N1</t>
  </si>
  <si>
    <t>N2</t>
  </si>
  <si>
    <t>1.4.3, 1.3.6</t>
  </si>
  <si>
    <t>Recursos de Talento Humano</t>
  </si>
  <si>
    <t>Recursos de Hardware</t>
  </si>
  <si>
    <t>Recursos de Software</t>
  </si>
  <si>
    <t>Recursos de Oficina</t>
  </si>
  <si>
    <t>Ing. Front End</t>
  </si>
  <si>
    <t>Ing. Back End</t>
  </si>
  <si>
    <t>Especialista Base de Datos</t>
  </si>
  <si>
    <t>Especialista Data Mining</t>
  </si>
  <si>
    <t>Especialista Machine Learning</t>
  </si>
  <si>
    <t>Ing. Redes</t>
  </si>
  <si>
    <t>Ing. Cloud Computing</t>
  </si>
  <si>
    <t>Computadores</t>
  </si>
  <si>
    <t>Servidores</t>
  </si>
  <si>
    <t>Google Cloud Storage</t>
  </si>
  <si>
    <t>Google App Engine</t>
  </si>
  <si>
    <t>Cloud SQL</t>
  </si>
  <si>
    <t>Pycharm Professional</t>
  </si>
  <si>
    <t>Proyector</t>
  </si>
  <si>
    <t>Oficina Sesiones</t>
  </si>
  <si>
    <t>Oficina Desarrollo</t>
  </si>
  <si>
    <t>P1</t>
  </si>
  <si>
    <t>OF1</t>
  </si>
  <si>
    <t>S1</t>
  </si>
  <si>
    <t>OF2</t>
  </si>
  <si>
    <t>OF3</t>
  </si>
  <si>
    <t>Google1</t>
  </si>
  <si>
    <t>SQL1</t>
  </si>
  <si>
    <t>OF4</t>
  </si>
  <si>
    <t>Total</t>
  </si>
  <si>
    <t>Total Talento humano</t>
  </si>
  <si>
    <t>Total Hardware</t>
  </si>
  <si>
    <t>Total Recursos Software</t>
  </si>
  <si>
    <t>Total Recursos Administrativos</t>
  </si>
  <si>
    <t>Compra/Contrato</t>
  </si>
  <si>
    <t>Método de Selección de Proveedor/ Candidato</t>
  </si>
  <si>
    <t>Costo Estimado</t>
  </si>
  <si>
    <t>Fecha Compra</t>
  </si>
  <si>
    <t>Riesgo</t>
  </si>
  <si>
    <t>Impacto</t>
  </si>
  <si>
    <t>Estrategia Control</t>
  </si>
  <si>
    <t>HW</t>
  </si>
  <si>
    <t>Adquisición de 5 computadores con Tarjetas Gráficas (NVIDIA 4GB), 1TB de disco, 12 GB Ram</t>
  </si>
  <si>
    <t>Recepción de 4 ofertas a ser seleccionadas por el proceso de Atenatronix</t>
  </si>
  <si>
    <t>Factura</t>
  </si>
  <si>
    <t>4 años</t>
  </si>
  <si>
    <t>Computadores defectuosos o demoras en las entregas</t>
  </si>
  <si>
    <t>Retraso de inicio del proyecto</t>
  </si>
  <si>
    <t>Contratación de computadores temporales a través de servicios en la Nube</t>
  </si>
  <si>
    <t>Adquisición de 1 Servidor DELL POWEREDGE T640 5118/8G/600G SAS 10K/H330/DVDRW/495W/3.5-8 SEVER</t>
  </si>
  <si>
    <t>Adquisición de 1 Servidor (32 GB Ram, 8TB Disco, CentOS)</t>
  </si>
  <si>
    <t>Servidor Defectuoso o demora en entragas por importación</t>
  </si>
  <si>
    <t>Retraso en ejecución de proyecto</t>
  </si>
  <si>
    <t>Solicitar Garantía al Fabricante. Sustituir por servicios en la Nube</t>
  </si>
  <si>
    <t>SW</t>
  </si>
  <si>
    <t>Adquisición de 5 Licencias Pycharm Profesional</t>
  </si>
  <si>
    <t>Orden de Compra</t>
  </si>
  <si>
    <t>1 año</t>
  </si>
  <si>
    <t>No disponer de licencias</t>
  </si>
  <si>
    <t>No tiene Impacto por 30 días</t>
  </si>
  <si>
    <t>Utilización de Licencia Trial</t>
  </si>
  <si>
    <t>Adquisición de Servicios de Cloud Computing de Google</t>
  </si>
  <si>
    <t>1año</t>
  </si>
  <si>
    <t>Insuficiencia de Rercursos para comprar el servicio</t>
  </si>
  <si>
    <t>Retraso del desarrollo del proyecto</t>
  </si>
  <si>
    <t>Informar a Proveedores de las ventajas del proyecto</t>
  </si>
  <si>
    <t>TH</t>
  </si>
  <si>
    <t>Contratación M.Sc. Machine Learning Junior</t>
  </si>
  <si>
    <t>Selección de Personal</t>
  </si>
  <si>
    <t>Contrato</t>
  </si>
  <si>
    <t>Insuficiencia de Conocimientos</t>
  </si>
  <si>
    <t>Retraso del proyecto</t>
  </si>
  <si>
    <t>Capacitación</t>
  </si>
  <si>
    <t>Contratción Especialista Machine Learning PHD</t>
  </si>
  <si>
    <t>Especialista que sea muy costoso</t>
  </si>
  <si>
    <t>Elevación de Costos del Proyecto</t>
  </si>
  <si>
    <t>Contratación como consultor</t>
  </si>
  <si>
    <t>Contratación Especialista Datamining</t>
  </si>
  <si>
    <t>Programador</t>
  </si>
  <si>
    <t>Especialista</t>
  </si>
  <si>
    <t>Costo Electricidad</t>
  </si>
  <si>
    <t>Electricidad(h)</t>
  </si>
  <si>
    <t>Costo Computo</t>
  </si>
  <si>
    <t>Computo en Nube G(h)</t>
  </si>
  <si>
    <t>CloudStorage(dia)</t>
  </si>
  <si>
    <t>AppEngine(dia)</t>
  </si>
  <si>
    <t>Sql</t>
  </si>
  <si>
    <t>Fase</t>
  </si>
  <si>
    <t>Actividad</t>
  </si>
  <si>
    <t>Recursos</t>
  </si>
  <si>
    <t>Reunión para definir propósito del proyecto con Accionistas y Directivos</t>
  </si>
  <si>
    <t>Oficina, Proyector, Catering</t>
  </si>
  <si>
    <t>Reunión para presentar objetivos y alcances del proyecto</t>
  </si>
  <si>
    <t>Evaluación de los requerimientos  de disco duro para la aplicación y modelos</t>
  </si>
  <si>
    <t>Equipo de TI</t>
  </si>
  <si>
    <t>Evaluación de los requerimientos de procesamiento</t>
  </si>
  <si>
    <t>Evaluación comparativa de frameworks de desarrollo</t>
  </si>
  <si>
    <t>Especialista BBDD</t>
  </si>
  <si>
    <t>Especialista CloudC</t>
  </si>
  <si>
    <t>Especialista DT, Servidor</t>
  </si>
  <si>
    <t>Especialista ML, Servidor</t>
  </si>
  <si>
    <t>Servidor</t>
  </si>
  <si>
    <t>Equipo TI, DT, ML</t>
  </si>
  <si>
    <t>Especialista ML</t>
  </si>
  <si>
    <t>Equipo TI, ML</t>
  </si>
  <si>
    <t>Equipo TI</t>
  </si>
  <si>
    <t>Total Estimado</t>
  </si>
  <si>
    <t>Fase1</t>
  </si>
  <si>
    <t>Fase2</t>
  </si>
  <si>
    <t>Fase3</t>
  </si>
  <si>
    <t>Total Previso</t>
  </si>
  <si>
    <t>Fecha Cumplimiento/ Indicador</t>
  </si>
  <si>
    <t>Probabilidad e Impacto</t>
  </si>
  <si>
    <t>Riestos Identificación</t>
  </si>
  <si>
    <t>Análisis Cualitativo</t>
  </si>
  <si>
    <t>Nivel 0</t>
  </si>
  <si>
    <t>Nivel 1</t>
  </si>
  <si>
    <t>Nivel 2</t>
  </si>
  <si>
    <t>Escala</t>
  </si>
  <si>
    <t>Probabilidad</t>
  </si>
  <si>
    <t>Tiempo</t>
  </si>
  <si>
    <t>Calidad</t>
  </si>
  <si>
    <t>Tipo</t>
  </si>
  <si>
    <t>Causas</t>
  </si>
  <si>
    <t>Objetivos Impacta</t>
  </si>
  <si>
    <t>Respuesta</t>
  </si>
  <si>
    <t>Prob</t>
  </si>
  <si>
    <t>Categ</t>
  </si>
  <si>
    <t>Causa</t>
  </si>
  <si>
    <t>Prioridad</t>
  </si>
  <si>
    <t>Riesgo Proyecto</t>
  </si>
  <si>
    <t>Riesgo Técnico</t>
  </si>
  <si>
    <t>1.1.Definición del alcance</t>
  </si>
  <si>
    <t>Muy Alto</t>
  </si>
  <si>
    <t>Incremento Tiempo en 30%</t>
  </si>
  <si>
    <t>Incremento Costo 50%</t>
  </si>
  <si>
    <t>No es aceptable</t>
  </si>
  <si>
    <t>R01</t>
  </si>
  <si>
    <t>Infraestrcutura tecnológica no suple los requerimientos de cómputo</t>
  </si>
  <si>
    <t>Negativo</t>
  </si>
  <si>
    <t>No disponibilidad del hardware. Error de especificaciones técnicas y funcionales de los equipos</t>
  </si>
  <si>
    <t>Desarrollo del Motor de Recomendación</t>
  </si>
  <si>
    <t>Redimensionamiento y ampliación de recursos de hardware instalados</t>
  </si>
  <si>
    <t>La app demanda más recursos de computación de lo esperado</t>
  </si>
  <si>
    <t>Primario</t>
  </si>
  <si>
    <t>1.2.Definición de los recursos</t>
  </si>
  <si>
    <t>Incremento Tiempo en 20%</t>
  </si>
  <si>
    <t>Incremento Costo 40%</t>
  </si>
  <si>
    <t>R02</t>
  </si>
  <si>
    <t>No disponibilidad de los servicios en la nube</t>
  </si>
  <si>
    <t>Demora en la contratación de servicios. Problemas de Financiamiento a largo plazo</t>
  </si>
  <si>
    <t>Desarrollo de la Aplicación</t>
  </si>
  <si>
    <t>Monitorear el gasto en recursos de software y cloud computing</t>
  </si>
  <si>
    <t>Baja</t>
  </si>
  <si>
    <t>Gestión</t>
  </si>
  <si>
    <t>Financiamiento para la operación de estos servicios puede ser caro. El proveedor incumple con la disponibilidad</t>
  </si>
  <si>
    <t>1.3.Complejidad de las necesidades</t>
  </si>
  <si>
    <t>Moderado</t>
  </si>
  <si>
    <t>Incremento Tiempo 5 a 10%</t>
  </si>
  <si>
    <t>Incremento costo de 10 a 20%</t>
  </si>
  <si>
    <t>Requiere aprobación</t>
  </si>
  <si>
    <t>R03</t>
  </si>
  <si>
    <t>Personal con deficiencias en el desarrollo de aplicaciones de Aprendizaje Automático</t>
  </si>
  <si>
    <t>No dispone de conocimientos en el área específica</t>
  </si>
  <si>
    <t>Capacitar o contratar personal calificado</t>
  </si>
  <si>
    <t>Falta de conocimiento</t>
  </si>
  <si>
    <t>1.4.Interfaces</t>
  </si>
  <si>
    <t>Incremento Tiempo 5%</t>
  </si>
  <si>
    <t>Incremento Costo &lt;10%</t>
  </si>
  <si>
    <t>No afecta Calidad</t>
  </si>
  <si>
    <t>R04</t>
  </si>
  <si>
    <t>Personal con especialización resulta muy caro</t>
  </si>
  <si>
    <t>Falta de personal con dicha capacitación</t>
  </si>
  <si>
    <t>Integración de la Aplicación</t>
  </si>
  <si>
    <t>Capacitar al personal. Buscar Financiamiento</t>
  </si>
  <si>
    <t>No disponibilidad de personal calificado en la empresa</t>
  </si>
  <si>
    <t xml:space="preserve">Riesgo de Gestión </t>
  </si>
  <si>
    <t>Muy Bajo</t>
  </si>
  <si>
    <t>Insignificante</t>
  </si>
  <si>
    <t>insignificante</t>
  </si>
  <si>
    <t>R05</t>
  </si>
  <si>
    <t>Aplicación no cumple los objetivos de rendimiento y procesamiento</t>
  </si>
  <si>
    <t>Objetivos sobredimensionados</t>
  </si>
  <si>
    <t>Pruebas y Entregables</t>
  </si>
  <si>
    <t>Revisar que los objetivos estén de la mano de los requerimientos y valores institucionales</t>
  </si>
  <si>
    <t>Fata de comunicación entre el equipo de desarrollo y el cliente</t>
  </si>
  <si>
    <t>Análisis Cuantitativo</t>
  </si>
  <si>
    <t>Plan de Respuestas</t>
  </si>
  <si>
    <t>Propietario actual</t>
  </si>
  <si>
    <t>Plan de Contingencia</t>
  </si>
  <si>
    <t>Disparador de Riesgo</t>
  </si>
  <si>
    <t>Plan de reserva</t>
  </si>
  <si>
    <t>6 meses</t>
  </si>
  <si>
    <t>Líder Técnico</t>
  </si>
  <si>
    <t>Hitos defectuosos o incompletos</t>
  </si>
  <si>
    <t>Contratar servicios similares en la nube</t>
  </si>
  <si>
    <t>Solicitar presupuesto extendido</t>
  </si>
  <si>
    <t>3 meses</t>
  </si>
  <si>
    <t>Gerente de proyectos</t>
  </si>
  <si>
    <t>Operación en servidores locales, de ser necesario alquilar infraestructura local</t>
  </si>
  <si>
    <t>Incumplimiento del proveedor de servicio</t>
  </si>
  <si>
    <t>Desplegar la aplicación en otro proveedor</t>
  </si>
  <si>
    <t>5 meses</t>
  </si>
  <si>
    <t>Director de proyectos</t>
  </si>
  <si>
    <t>Retrasos con tiempos de entrega</t>
  </si>
  <si>
    <t>Cambio de personal</t>
  </si>
  <si>
    <t>Capacitar el personal</t>
  </si>
  <si>
    <t>Costos operativos del proyecto</t>
  </si>
  <si>
    <t>Subcontratar la solución</t>
  </si>
  <si>
    <t>Líder Tecnico</t>
  </si>
  <si>
    <t>Habilitar las funciones escenciales hasta corregir el desarrollo</t>
  </si>
  <si>
    <t>Pruebas de rendimiento</t>
  </si>
  <si>
    <t>R06</t>
  </si>
  <si>
    <t>Extracción de información sencible</t>
  </si>
  <si>
    <t>R07</t>
  </si>
  <si>
    <t>Errores en la información ingresada en la base de datos</t>
  </si>
  <si>
    <t>R08</t>
  </si>
  <si>
    <t>Ingresos no autorizados a la aplicación</t>
  </si>
  <si>
    <t>Intersado</t>
  </si>
  <si>
    <t>Información a Comunicar</t>
  </si>
  <si>
    <t>Recurso/Medio de Comunicación</t>
  </si>
  <si>
    <t>Frecuencia</t>
  </si>
  <si>
    <t>Mecanismo</t>
  </si>
  <si>
    <t>Director</t>
  </si>
  <si>
    <t>Gerente</t>
  </si>
  <si>
    <t>Presentación Informes ejecutivos</t>
  </si>
  <si>
    <t>Reuniones</t>
  </si>
  <si>
    <t>Mensual</t>
  </si>
  <si>
    <t>Correo</t>
  </si>
  <si>
    <t>Reco+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</si>
</sst>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* #,##0.00_ ;_ &quot;$&quot;* \-#,##0.00_ ;_ &quot;$&quot;* &quot;-&quot;??_ ;_ @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164" fontId="0" fillId="0" borderId="6" xfId="1" applyFon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16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0" borderId="6" xfId="0" applyFont="1" applyFill="1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0" xfId="0" applyBorder="1"/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/>
    <xf numFmtId="0" fontId="1" fillId="0" borderId="6" xfId="0" applyFont="1" applyBorder="1"/>
    <xf numFmtId="0" fontId="1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6" xfId="0" applyFont="1" applyFill="1" applyBorder="1"/>
    <xf numFmtId="14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14" fontId="0" fillId="4" borderId="6" xfId="0" applyNumberFormat="1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14" fontId="0" fillId="3" borderId="6" xfId="0" applyNumberFormat="1" applyFill="1" applyBorder="1"/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6" xfId="0" applyFont="1" applyFill="1" applyBorder="1" applyAlignment="1">
      <alignment horizontal="center" vertical="center" wrapText="1"/>
    </xf>
    <xf numFmtId="164" fontId="0" fillId="0" borderId="6" xfId="1" applyFont="1" applyBorder="1"/>
    <xf numFmtId="0" fontId="0" fillId="2" borderId="6" xfId="0" applyFill="1" applyBorder="1" applyAlignment="1">
      <alignment wrapText="1"/>
    </xf>
    <xf numFmtId="164" fontId="0" fillId="2" borderId="6" xfId="1" applyFont="1" applyFill="1" applyBorder="1"/>
    <xf numFmtId="0" fontId="0" fillId="3" borderId="6" xfId="0" applyFill="1" applyBorder="1" applyAlignment="1">
      <alignment wrapText="1"/>
    </xf>
    <xf numFmtId="164" fontId="0" fillId="3" borderId="6" xfId="1" applyFont="1" applyFill="1" applyBorder="1"/>
    <xf numFmtId="0" fontId="0" fillId="4" borderId="6" xfId="0" applyFill="1" applyBorder="1" applyAlignment="1">
      <alignment wrapText="1"/>
    </xf>
    <xf numFmtId="164" fontId="0" fillId="4" borderId="6" xfId="1" applyFont="1" applyFill="1" applyBorder="1"/>
    <xf numFmtId="0" fontId="0" fillId="0" borderId="6" xfId="0" applyFill="1" applyBorder="1"/>
    <xf numFmtId="0" fontId="1" fillId="0" borderId="6" xfId="0" applyFont="1" applyBorder="1" applyAlignment="1">
      <alignment horizontal="center" wrapText="1"/>
    </xf>
    <xf numFmtId="14" fontId="0" fillId="0" borderId="6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wrapText="1"/>
    </xf>
    <xf numFmtId="0" fontId="1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7" xfId="0" applyFont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0" fillId="0" borderId="7" xfId="0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9" fontId="0" fillId="0" borderId="11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219-D503-4EF2-A511-E0F492CD4D36}">
  <dimension ref="A2:H11"/>
  <sheetViews>
    <sheetView topLeftCell="A2" workbookViewId="0">
      <selection activeCell="A2" sqref="A2:H11"/>
    </sheetView>
  </sheetViews>
  <sheetFormatPr defaultRowHeight="14.45"/>
  <cols>
    <col min="2" max="2" width="13.42578125" bestFit="1" customWidth="1"/>
    <col min="3" max="3" width="26.5703125" bestFit="1" customWidth="1"/>
    <col min="6" max="6" width="30.7109375" customWidth="1"/>
    <col min="7" max="7" width="10.7109375" bestFit="1" customWidth="1"/>
    <col min="8" max="8" width="11.28515625" bestFit="1" customWidth="1"/>
  </cols>
  <sheetData>
    <row r="2" spans="1:8">
      <c r="A2" s="94" t="s">
        <v>0</v>
      </c>
      <c r="B2" s="94"/>
      <c r="C2" s="94"/>
      <c r="D2" s="95"/>
      <c r="E2" s="94" t="s">
        <v>1</v>
      </c>
      <c r="F2" s="94"/>
      <c r="G2" s="94"/>
      <c r="H2" s="94"/>
    </row>
    <row r="3" spans="1:8">
      <c r="A3" s="72" t="s">
        <v>2</v>
      </c>
      <c r="B3" s="72" t="s">
        <v>3</v>
      </c>
      <c r="C3" s="72" t="s">
        <v>4</v>
      </c>
      <c r="D3" s="73" t="s">
        <v>5</v>
      </c>
      <c r="E3" s="72" t="s">
        <v>6</v>
      </c>
      <c r="F3" s="72" t="s">
        <v>7</v>
      </c>
      <c r="G3" s="72" t="s">
        <v>8</v>
      </c>
      <c r="H3" s="72" t="s">
        <v>1</v>
      </c>
    </row>
    <row r="4" spans="1:8">
      <c r="A4" s="1" t="s">
        <v>9</v>
      </c>
      <c r="B4" s="1" t="s">
        <v>10</v>
      </c>
      <c r="C4" s="1" t="s">
        <v>11</v>
      </c>
      <c r="D4" s="2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ht="28.9">
      <c r="A5" s="1" t="s">
        <v>17</v>
      </c>
      <c r="B5" s="1" t="s">
        <v>18</v>
      </c>
      <c r="C5" s="1" t="s">
        <v>19</v>
      </c>
      <c r="D5" s="2" t="s">
        <v>12</v>
      </c>
      <c r="E5" s="1" t="s">
        <v>13</v>
      </c>
      <c r="F5" s="3" t="s">
        <v>20</v>
      </c>
      <c r="G5" s="1" t="s">
        <v>15</v>
      </c>
      <c r="H5" s="1" t="s">
        <v>16</v>
      </c>
    </row>
    <row r="6" spans="1:8">
      <c r="A6" s="1" t="s">
        <v>21</v>
      </c>
      <c r="B6" s="1" t="s">
        <v>22</v>
      </c>
      <c r="C6" s="1" t="s">
        <v>23</v>
      </c>
      <c r="D6" s="2" t="s">
        <v>12</v>
      </c>
      <c r="E6" s="1" t="s">
        <v>13</v>
      </c>
      <c r="F6" s="1" t="s">
        <v>14</v>
      </c>
      <c r="G6" s="1" t="s">
        <v>15</v>
      </c>
      <c r="H6" s="1" t="s">
        <v>24</v>
      </c>
    </row>
    <row r="7" spans="1:8">
      <c r="A7" s="1" t="s">
        <v>25</v>
      </c>
      <c r="B7" s="1" t="s">
        <v>26</v>
      </c>
      <c r="C7" s="1" t="s">
        <v>27</v>
      </c>
      <c r="D7" s="2" t="s">
        <v>12</v>
      </c>
      <c r="E7" s="1" t="s">
        <v>13</v>
      </c>
      <c r="F7" s="1" t="s">
        <v>14</v>
      </c>
      <c r="G7" s="1" t="s">
        <v>15</v>
      </c>
      <c r="H7" s="1" t="s">
        <v>28</v>
      </c>
    </row>
    <row r="8" spans="1:8">
      <c r="A8" s="1" t="s">
        <v>29</v>
      </c>
      <c r="B8" s="1" t="s">
        <v>30</v>
      </c>
      <c r="C8" s="1" t="s">
        <v>31</v>
      </c>
      <c r="D8" s="2" t="s">
        <v>12</v>
      </c>
      <c r="E8" s="1" t="s">
        <v>32</v>
      </c>
      <c r="F8" s="1" t="s">
        <v>33</v>
      </c>
      <c r="G8" s="1" t="s">
        <v>15</v>
      </c>
      <c r="H8" s="1" t="s">
        <v>16</v>
      </c>
    </row>
    <row r="9" spans="1:8">
      <c r="A9" s="1" t="s">
        <v>34</v>
      </c>
      <c r="B9" s="1" t="s">
        <v>35</v>
      </c>
      <c r="C9" s="1" t="s">
        <v>36</v>
      </c>
      <c r="D9" s="2" t="s">
        <v>37</v>
      </c>
      <c r="E9" s="1" t="s">
        <v>32</v>
      </c>
      <c r="F9" s="1"/>
      <c r="G9" s="1" t="s">
        <v>15</v>
      </c>
      <c r="H9" s="1" t="s">
        <v>16</v>
      </c>
    </row>
    <row r="10" spans="1:8">
      <c r="A10" s="1" t="s">
        <v>38</v>
      </c>
      <c r="B10" s="1" t="s">
        <v>39</v>
      </c>
      <c r="C10" s="1" t="s">
        <v>40</v>
      </c>
      <c r="D10" s="2" t="s">
        <v>12</v>
      </c>
      <c r="E10" s="1" t="s">
        <v>41</v>
      </c>
      <c r="F10" s="1" t="s">
        <v>42</v>
      </c>
      <c r="G10" s="1" t="s">
        <v>15</v>
      </c>
      <c r="H10" s="1" t="s">
        <v>28</v>
      </c>
    </row>
    <row r="11" spans="1:8">
      <c r="A11" s="1" t="s">
        <v>43</v>
      </c>
      <c r="B11" s="1" t="s">
        <v>44</v>
      </c>
      <c r="C11" s="1" t="s">
        <v>45</v>
      </c>
      <c r="D11" s="2" t="s">
        <v>37</v>
      </c>
      <c r="E11" s="1" t="s">
        <v>13</v>
      </c>
      <c r="F11" s="1" t="s">
        <v>14</v>
      </c>
      <c r="G11" s="1" t="s">
        <v>46</v>
      </c>
      <c r="H11" s="1" t="s">
        <v>28</v>
      </c>
    </row>
  </sheetData>
  <mergeCells count="2">
    <mergeCell ref="A2:D2"/>
    <mergeCell ref="E2:H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18D2-D391-4BE6-881B-589B61F3944F}">
  <dimension ref="A2:L10"/>
  <sheetViews>
    <sheetView workbookViewId="0">
      <selection activeCell="A2" sqref="A2:L10"/>
    </sheetView>
  </sheetViews>
  <sheetFormatPr defaultRowHeight="14.45"/>
  <cols>
    <col min="2" max="2" width="13.7109375" bestFit="1" customWidth="1"/>
    <col min="3" max="3" width="22.140625" customWidth="1"/>
    <col min="4" max="8" width="3.5703125" bestFit="1" customWidth="1"/>
    <col min="9" max="9" width="6" bestFit="1" customWidth="1"/>
    <col min="10" max="10" width="9" bestFit="1" customWidth="1"/>
    <col min="11" max="11" width="6.7109375" bestFit="1" customWidth="1"/>
    <col min="12" max="12" width="32.5703125" customWidth="1"/>
  </cols>
  <sheetData>
    <row r="2" spans="1:12" ht="54.6">
      <c r="A2" s="72" t="s">
        <v>47</v>
      </c>
      <c r="B2" s="72" t="s">
        <v>3</v>
      </c>
      <c r="C2" s="72" t="s">
        <v>4</v>
      </c>
      <c r="D2" s="9" t="s">
        <v>48</v>
      </c>
      <c r="E2" s="9" t="s">
        <v>49</v>
      </c>
      <c r="F2" s="9" t="s">
        <v>16</v>
      </c>
      <c r="G2" s="9" t="s">
        <v>28</v>
      </c>
      <c r="H2" s="9" t="s">
        <v>50</v>
      </c>
      <c r="I2" s="9" t="s">
        <v>51</v>
      </c>
      <c r="J2" s="9" t="s">
        <v>6</v>
      </c>
      <c r="K2" s="9" t="s">
        <v>52</v>
      </c>
      <c r="L2" s="72" t="s">
        <v>53</v>
      </c>
    </row>
    <row r="3" spans="1:12" ht="28.9">
      <c r="A3" s="1" t="s">
        <v>9</v>
      </c>
      <c r="B3" s="1" t="s">
        <v>10</v>
      </c>
      <c r="C3" s="1" t="s">
        <v>11</v>
      </c>
      <c r="D3" s="10"/>
      <c r="E3" s="10"/>
      <c r="F3" s="10" t="s">
        <v>54</v>
      </c>
      <c r="G3" s="10"/>
      <c r="H3" s="10" t="s">
        <v>54</v>
      </c>
      <c r="I3" s="10"/>
      <c r="J3" s="10" t="s">
        <v>55</v>
      </c>
      <c r="K3" s="2" t="s">
        <v>55</v>
      </c>
      <c r="L3" s="3" t="s">
        <v>56</v>
      </c>
    </row>
    <row r="4" spans="1:12" ht="28.9">
      <c r="A4" s="1" t="s">
        <v>17</v>
      </c>
      <c r="B4" s="1" t="s">
        <v>18</v>
      </c>
      <c r="C4" s="1" t="s">
        <v>19</v>
      </c>
      <c r="D4" s="10"/>
      <c r="E4" s="10"/>
      <c r="F4" s="10" t="s">
        <v>54</v>
      </c>
      <c r="G4" s="10"/>
      <c r="H4" s="10"/>
      <c r="I4" s="10" t="s">
        <v>55</v>
      </c>
      <c r="J4" s="10" t="s">
        <v>55</v>
      </c>
      <c r="K4" s="2" t="s">
        <v>55</v>
      </c>
      <c r="L4" s="3" t="s">
        <v>56</v>
      </c>
    </row>
    <row r="5" spans="1:12" ht="57.6">
      <c r="A5" s="1" t="s">
        <v>21</v>
      </c>
      <c r="B5" s="1" t="s">
        <v>22</v>
      </c>
      <c r="C5" s="1" t="s">
        <v>23</v>
      </c>
      <c r="D5" s="10"/>
      <c r="E5" s="10" t="s">
        <v>54</v>
      </c>
      <c r="F5" s="10"/>
      <c r="G5" s="10"/>
      <c r="H5" s="10"/>
      <c r="I5" s="10" t="s">
        <v>55</v>
      </c>
      <c r="J5" s="10" t="s">
        <v>55</v>
      </c>
      <c r="K5" s="2" t="s">
        <v>57</v>
      </c>
      <c r="L5" s="3" t="s">
        <v>58</v>
      </c>
    </row>
    <row r="6" spans="1:12" ht="57.6">
      <c r="A6" s="1" t="s">
        <v>25</v>
      </c>
      <c r="B6" s="1" t="s">
        <v>26</v>
      </c>
      <c r="C6" s="1" t="s">
        <v>27</v>
      </c>
      <c r="D6" s="10"/>
      <c r="E6" s="10"/>
      <c r="F6" s="10"/>
      <c r="G6" s="10" t="s">
        <v>54</v>
      </c>
      <c r="H6" s="10" t="s">
        <v>54</v>
      </c>
      <c r="I6" s="10" t="s">
        <v>57</v>
      </c>
      <c r="J6" s="10" t="s">
        <v>55</v>
      </c>
      <c r="K6" s="2" t="s">
        <v>59</v>
      </c>
      <c r="L6" s="3" t="s">
        <v>60</v>
      </c>
    </row>
    <row r="7" spans="1:12" ht="28.9">
      <c r="A7" s="1" t="s">
        <v>29</v>
      </c>
      <c r="B7" s="1" t="s">
        <v>30</v>
      </c>
      <c r="C7" s="1" t="s">
        <v>31</v>
      </c>
      <c r="D7" s="10"/>
      <c r="E7" s="10"/>
      <c r="F7" s="10" t="s">
        <v>54</v>
      </c>
      <c r="G7" s="10"/>
      <c r="H7" s="10"/>
      <c r="I7" s="10"/>
      <c r="J7" s="10" t="s">
        <v>59</v>
      </c>
      <c r="K7" s="2" t="s">
        <v>55</v>
      </c>
      <c r="L7" s="3" t="s">
        <v>61</v>
      </c>
    </row>
    <row r="8" spans="1:12" ht="28.9">
      <c r="A8" s="1" t="s">
        <v>34</v>
      </c>
      <c r="B8" s="1" t="s">
        <v>35</v>
      </c>
      <c r="C8" s="1" t="s">
        <v>36</v>
      </c>
      <c r="D8" s="10"/>
      <c r="E8" s="10"/>
      <c r="F8" s="10" t="s">
        <v>54</v>
      </c>
      <c r="G8" s="10"/>
      <c r="H8" s="10"/>
      <c r="I8" s="10"/>
      <c r="J8" s="10" t="s">
        <v>59</v>
      </c>
      <c r="K8" s="2" t="s">
        <v>55</v>
      </c>
      <c r="L8" s="3" t="s">
        <v>61</v>
      </c>
    </row>
    <row r="9" spans="1:12" ht="57.6">
      <c r="A9" s="1" t="s">
        <v>38</v>
      </c>
      <c r="B9" s="1" t="s">
        <v>39</v>
      </c>
      <c r="C9" s="1" t="s">
        <v>40</v>
      </c>
      <c r="D9" s="10"/>
      <c r="E9" s="10"/>
      <c r="F9" s="10"/>
      <c r="G9" s="10" t="s">
        <v>54</v>
      </c>
      <c r="H9" s="10"/>
      <c r="I9" s="10" t="s">
        <v>55</v>
      </c>
      <c r="J9" s="10" t="s">
        <v>57</v>
      </c>
      <c r="K9" s="2" t="s">
        <v>57</v>
      </c>
      <c r="L9" s="3" t="s">
        <v>58</v>
      </c>
    </row>
    <row r="10" spans="1:12" ht="28.9">
      <c r="A10" s="6" t="s">
        <v>43</v>
      </c>
      <c r="B10" s="6" t="s">
        <v>44</v>
      </c>
      <c r="C10" s="6" t="s">
        <v>45</v>
      </c>
      <c r="D10" s="11"/>
      <c r="E10" s="11"/>
      <c r="F10" s="11"/>
      <c r="G10" s="11" t="s">
        <v>54</v>
      </c>
      <c r="H10" s="11"/>
      <c r="I10" s="11"/>
      <c r="J10" s="11" t="s">
        <v>55</v>
      </c>
      <c r="K10" s="8" t="s">
        <v>55</v>
      </c>
      <c r="L10" s="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7DB0-32F6-4D6A-BE8F-F12DC5742A72}">
  <dimension ref="A2:G10"/>
  <sheetViews>
    <sheetView topLeftCell="A4" workbookViewId="0">
      <selection activeCell="I8" sqref="I8"/>
    </sheetView>
  </sheetViews>
  <sheetFormatPr defaultRowHeight="14.45"/>
  <cols>
    <col min="1" max="1" width="5.5703125" bestFit="1" customWidth="1"/>
    <col min="2" max="2" width="13.7109375" bestFit="1" customWidth="1"/>
    <col min="3" max="3" width="18.42578125" bestFit="1" customWidth="1"/>
    <col min="4" max="4" width="29.42578125" customWidth="1"/>
    <col min="5" max="5" width="23.85546875" bestFit="1" customWidth="1"/>
    <col min="6" max="6" width="21.7109375" customWidth="1"/>
    <col min="7" max="7" width="25.85546875" customWidth="1"/>
  </cols>
  <sheetData>
    <row r="2" spans="1:7">
      <c r="A2" s="72" t="s">
        <v>47</v>
      </c>
      <c r="B2" s="72" t="s">
        <v>3</v>
      </c>
      <c r="C2" s="72" t="s">
        <v>4</v>
      </c>
      <c r="D2" s="4" t="s">
        <v>53</v>
      </c>
      <c r="E2" s="4" t="s">
        <v>62</v>
      </c>
      <c r="F2" s="4" t="s">
        <v>63</v>
      </c>
      <c r="G2" s="4" t="s">
        <v>64</v>
      </c>
    </row>
    <row r="3" spans="1:7" ht="43.15">
      <c r="A3" s="1" t="s">
        <v>9</v>
      </c>
      <c r="B3" s="1" t="s">
        <v>10</v>
      </c>
      <c r="C3" s="1" t="s">
        <v>11</v>
      </c>
      <c r="D3" s="5" t="s">
        <v>56</v>
      </c>
      <c r="E3" s="3" t="s">
        <v>65</v>
      </c>
      <c r="F3" s="3" t="s">
        <v>66</v>
      </c>
      <c r="G3" s="12" t="s">
        <v>67</v>
      </c>
    </row>
    <row r="4" spans="1:7" ht="43.15">
      <c r="A4" s="1" t="s">
        <v>17</v>
      </c>
      <c r="B4" s="1" t="s">
        <v>18</v>
      </c>
      <c r="C4" s="1" t="s">
        <v>19</v>
      </c>
      <c r="D4" s="5" t="s">
        <v>56</v>
      </c>
      <c r="E4" s="3" t="s">
        <v>68</v>
      </c>
      <c r="F4" s="3" t="s">
        <v>69</v>
      </c>
      <c r="G4" s="12" t="s">
        <v>70</v>
      </c>
    </row>
    <row r="5" spans="1:7" ht="72">
      <c r="A5" s="1" t="s">
        <v>21</v>
      </c>
      <c r="B5" s="1" t="s">
        <v>22</v>
      </c>
      <c r="C5" s="1" t="s">
        <v>23</v>
      </c>
      <c r="D5" s="5" t="s">
        <v>58</v>
      </c>
      <c r="E5" s="3" t="s">
        <v>71</v>
      </c>
      <c r="F5" s="3" t="s">
        <v>72</v>
      </c>
      <c r="G5" s="12" t="s">
        <v>73</v>
      </c>
    </row>
    <row r="6" spans="1:7" ht="86.45">
      <c r="A6" s="1" t="s">
        <v>25</v>
      </c>
      <c r="B6" s="1" t="s">
        <v>26</v>
      </c>
      <c r="C6" s="1" t="s">
        <v>27</v>
      </c>
      <c r="D6" s="5" t="s">
        <v>60</v>
      </c>
      <c r="E6" s="3" t="s">
        <v>74</v>
      </c>
      <c r="F6" s="3" t="s">
        <v>72</v>
      </c>
      <c r="G6" s="12" t="s">
        <v>75</v>
      </c>
    </row>
    <row r="7" spans="1:7" ht="28.9">
      <c r="A7" s="1" t="s">
        <v>29</v>
      </c>
      <c r="B7" s="1" t="s">
        <v>30</v>
      </c>
      <c r="C7" s="1" t="s">
        <v>31</v>
      </c>
      <c r="D7" s="5" t="s">
        <v>61</v>
      </c>
      <c r="E7" s="3" t="s">
        <v>76</v>
      </c>
      <c r="F7" s="3" t="s">
        <v>77</v>
      </c>
      <c r="G7" s="13" t="s">
        <v>67</v>
      </c>
    </row>
    <row r="8" spans="1:7" ht="28.9">
      <c r="A8" s="1" t="s">
        <v>34</v>
      </c>
      <c r="B8" s="1" t="s">
        <v>35</v>
      </c>
      <c r="C8" s="1" t="s">
        <v>36</v>
      </c>
      <c r="D8" s="5" t="s">
        <v>61</v>
      </c>
      <c r="E8" s="3" t="s">
        <v>76</v>
      </c>
      <c r="F8" s="3" t="s">
        <v>77</v>
      </c>
      <c r="G8" s="13" t="s">
        <v>67</v>
      </c>
    </row>
    <row r="9" spans="1:7" ht="57.6">
      <c r="A9" s="1" t="s">
        <v>38</v>
      </c>
      <c r="B9" s="1" t="s">
        <v>39</v>
      </c>
      <c r="C9" s="1" t="s">
        <v>40</v>
      </c>
      <c r="D9" s="5" t="s">
        <v>58</v>
      </c>
      <c r="E9" s="3" t="s">
        <v>68</v>
      </c>
      <c r="F9" s="3" t="s">
        <v>78</v>
      </c>
      <c r="G9" s="12" t="s">
        <v>79</v>
      </c>
    </row>
    <row r="10" spans="1:7" ht="72">
      <c r="A10" s="1" t="s">
        <v>43</v>
      </c>
      <c r="B10" s="1" t="s">
        <v>44</v>
      </c>
      <c r="C10" s="1" t="s">
        <v>45</v>
      </c>
      <c r="D10" s="5" t="s">
        <v>56</v>
      </c>
      <c r="E10" s="3" t="s">
        <v>80</v>
      </c>
      <c r="F10" s="3" t="s">
        <v>81</v>
      </c>
      <c r="G10" s="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931F-771A-4334-B714-B048762AFFE6}">
  <dimension ref="A1:E112"/>
  <sheetViews>
    <sheetView topLeftCell="A103" workbookViewId="0">
      <selection activeCell="B112" sqref="A1:B112"/>
    </sheetView>
  </sheetViews>
  <sheetFormatPr defaultRowHeight="14.45"/>
  <cols>
    <col min="1" max="1" width="22.140625" bestFit="1" customWidth="1"/>
    <col min="2" max="2" width="44.5703125" bestFit="1" customWidth="1"/>
    <col min="5" max="5" width="10.85546875" bestFit="1" customWidth="1"/>
  </cols>
  <sheetData>
    <row r="1" spans="1:5">
      <c r="A1" s="17" t="s">
        <v>83</v>
      </c>
      <c r="B1" s="17" t="s">
        <v>84</v>
      </c>
    </row>
    <row r="2" spans="1:5" ht="43.15">
      <c r="A2" s="17" t="s">
        <v>85</v>
      </c>
      <c r="B2" s="14" t="s">
        <v>86</v>
      </c>
      <c r="E2" s="19">
        <f>B5+B13+B21+B29+B38+B46+B54+B62+B70+B78+B86+B94+B102+B110</f>
        <v>99109.468666666653</v>
      </c>
    </row>
    <row r="3" spans="1:5" ht="43.15">
      <c r="A3" s="17" t="s">
        <v>87</v>
      </c>
      <c r="B3" s="14" t="s">
        <v>88</v>
      </c>
    </row>
    <row r="4" spans="1:5">
      <c r="A4" s="17" t="s">
        <v>64</v>
      </c>
      <c r="B4" s="14" t="s">
        <v>89</v>
      </c>
    </row>
    <row r="5" spans="1:5">
      <c r="A5" s="17" t="s">
        <v>90</v>
      </c>
      <c r="B5" s="15">
        <f>EstimacionCostos!Z10</f>
        <v>1000</v>
      </c>
    </row>
    <row r="6" spans="1:5">
      <c r="A6" s="17" t="s">
        <v>91</v>
      </c>
      <c r="B6" s="16">
        <f>GestionCalidad!G2</f>
        <v>44213</v>
      </c>
    </row>
    <row r="7" spans="1:5">
      <c r="A7" s="17" t="s">
        <v>92</v>
      </c>
      <c r="B7" s="14" t="s">
        <v>93</v>
      </c>
    </row>
    <row r="9" spans="1:5">
      <c r="A9" s="17" t="s">
        <v>94</v>
      </c>
      <c r="B9" s="17" t="s">
        <v>95</v>
      </c>
    </row>
    <row r="10" spans="1:5" ht="43.15">
      <c r="A10" s="17" t="s">
        <v>85</v>
      </c>
      <c r="B10" s="14" t="s">
        <v>96</v>
      </c>
    </row>
    <row r="11" spans="1:5" ht="57.6">
      <c r="A11" s="17" t="s">
        <v>87</v>
      </c>
      <c r="B11" s="14" t="s">
        <v>97</v>
      </c>
    </row>
    <row r="12" spans="1:5">
      <c r="A12" s="17" t="s">
        <v>64</v>
      </c>
      <c r="B12" s="14" t="s">
        <v>98</v>
      </c>
    </row>
    <row r="13" spans="1:5">
      <c r="A13" s="17" t="s">
        <v>90</v>
      </c>
      <c r="B13" s="15">
        <f>EstimacionCostos!Z13</f>
        <v>4671.04</v>
      </c>
    </row>
    <row r="14" spans="1:5">
      <c r="A14" s="17" t="s">
        <v>91</v>
      </c>
      <c r="B14" s="16">
        <f>GestionCalidad!G4</f>
        <v>44249</v>
      </c>
    </row>
    <row r="15" spans="1:5">
      <c r="A15" s="17" t="s">
        <v>92</v>
      </c>
      <c r="B15" s="14" t="s">
        <v>99</v>
      </c>
    </row>
    <row r="17" spans="1:2">
      <c r="A17" s="17" t="s">
        <v>100</v>
      </c>
      <c r="B17" s="17" t="s">
        <v>101</v>
      </c>
    </row>
    <row r="18" spans="1:2" ht="28.9">
      <c r="A18" s="17" t="s">
        <v>85</v>
      </c>
      <c r="B18" s="14" t="s">
        <v>102</v>
      </c>
    </row>
    <row r="19" spans="1:2">
      <c r="A19" s="17" t="s">
        <v>87</v>
      </c>
      <c r="B19" s="14" t="s">
        <v>103</v>
      </c>
    </row>
    <row r="20" spans="1:2">
      <c r="A20" s="17" t="s">
        <v>64</v>
      </c>
      <c r="B20" s="14" t="s">
        <v>98</v>
      </c>
    </row>
    <row r="21" spans="1:2">
      <c r="A21" s="17" t="s">
        <v>90</v>
      </c>
      <c r="B21" s="15">
        <f>EstimacionCostos!Z21</f>
        <v>43033.956666666658</v>
      </c>
    </row>
    <row r="22" spans="1:2">
      <c r="A22" s="17" t="s">
        <v>91</v>
      </c>
      <c r="B22" s="16">
        <f>GestionCalidad!G12</f>
        <v>44342</v>
      </c>
    </row>
    <row r="23" spans="1:2">
      <c r="A23" s="17" t="s">
        <v>92</v>
      </c>
      <c r="B23" s="14" t="s">
        <v>99</v>
      </c>
    </row>
    <row r="25" spans="1:2">
      <c r="A25" s="17" t="s">
        <v>104</v>
      </c>
      <c r="B25" s="17" t="s">
        <v>105</v>
      </c>
    </row>
    <row r="26" spans="1:2" ht="28.9">
      <c r="A26" s="17" t="s">
        <v>85</v>
      </c>
      <c r="B26" s="14" t="s">
        <v>106</v>
      </c>
    </row>
    <row r="27" spans="1:2">
      <c r="A27" s="17" t="s">
        <v>87</v>
      </c>
      <c r="B27" s="14" t="s">
        <v>107</v>
      </c>
    </row>
    <row r="28" spans="1:2">
      <c r="A28" s="17" t="s">
        <v>64</v>
      </c>
      <c r="B28" s="14" t="s">
        <v>108</v>
      </c>
    </row>
    <row r="29" spans="1:2">
      <c r="A29" s="17" t="s">
        <v>90</v>
      </c>
      <c r="B29" s="15">
        <f>EstimacionCostos!Z31</f>
        <v>2630.2</v>
      </c>
    </row>
    <row r="30" spans="1:2">
      <c r="A30" s="17" t="s">
        <v>91</v>
      </c>
      <c r="B30" s="16">
        <f>GestionCalidad!G22</f>
        <v>44352</v>
      </c>
    </row>
    <row r="31" spans="1:2">
      <c r="A31" s="17" t="s">
        <v>92</v>
      </c>
      <c r="B31" s="14" t="s">
        <v>109</v>
      </c>
    </row>
    <row r="34" spans="1:2">
      <c r="A34" s="17" t="s">
        <v>110</v>
      </c>
      <c r="B34" s="17" t="s">
        <v>111</v>
      </c>
    </row>
    <row r="35" spans="1:2" ht="28.9">
      <c r="A35" s="17" t="s">
        <v>85</v>
      </c>
      <c r="B35" s="14" t="s">
        <v>112</v>
      </c>
    </row>
    <row r="36" spans="1:2">
      <c r="A36" s="17" t="s">
        <v>87</v>
      </c>
      <c r="B36" s="14" t="s">
        <v>113</v>
      </c>
    </row>
    <row r="37" spans="1:2">
      <c r="A37" s="17" t="s">
        <v>64</v>
      </c>
      <c r="B37" s="14" t="s">
        <v>98</v>
      </c>
    </row>
    <row r="38" spans="1:2">
      <c r="A38" s="17" t="s">
        <v>90</v>
      </c>
      <c r="B38" s="15">
        <f>EstimacionCostos!Z36</f>
        <v>5908.6959999999999</v>
      </c>
    </row>
    <row r="39" spans="1:2">
      <c r="A39" s="17" t="s">
        <v>91</v>
      </c>
      <c r="B39" s="16">
        <f>GestionCalidad!G27</f>
        <v>44378</v>
      </c>
    </row>
    <row r="40" spans="1:2" ht="28.9">
      <c r="A40" s="17" t="s">
        <v>92</v>
      </c>
      <c r="B40" s="14" t="s">
        <v>114</v>
      </c>
    </row>
    <row r="42" spans="1:2">
      <c r="A42" s="17" t="s">
        <v>115</v>
      </c>
      <c r="B42" s="17" t="s">
        <v>116</v>
      </c>
    </row>
    <row r="43" spans="1:2" ht="28.9">
      <c r="A43" s="17" t="s">
        <v>85</v>
      </c>
      <c r="B43" s="14" t="s">
        <v>117</v>
      </c>
    </row>
    <row r="44" spans="1:2">
      <c r="A44" s="17" t="s">
        <v>87</v>
      </c>
      <c r="B44" s="14" t="s">
        <v>118</v>
      </c>
    </row>
    <row r="45" spans="1:2">
      <c r="A45" s="17" t="s">
        <v>64</v>
      </c>
      <c r="B45" s="14" t="s">
        <v>119</v>
      </c>
    </row>
    <row r="46" spans="1:2">
      <c r="A46" s="17" t="s">
        <v>90</v>
      </c>
      <c r="B46" s="15">
        <f>EstimacionCostos!Z40</f>
        <v>4193.0559999999996</v>
      </c>
    </row>
    <row r="47" spans="1:2">
      <c r="A47" s="17" t="s">
        <v>91</v>
      </c>
      <c r="B47" s="16">
        <f>GestionCalidad!G31</f>
        <v>44406</v>
      </c>
    </row>
    <row r="48" spans="1:2" ht="28.9">
      <c r="A48" s="17" t="s">
        <v>92</v>
      </c>
      <c r="B48" s="14" t="s">
        <v>114</v>
      </c>
    </row>
    <row r="50" spans="1:2">
      <c r="A50" s="17" t="s">
        <v>120</v>
      </c>
      <c r="B50" s="17" t="s">
        <v>121</v>
      </c>
    </row>
    <row r="51" spans="1:2" ht="28.9">
      <c r="A51" s="17" t="s">
        <v>85</v>
      </c>
      <c r="B51" s="14" t="s">
        <v>122</v>
      </c>
    </row>
    <row r="52" spans="1:2">
      <c r="A52" s="17" t="s">
        <v>87</v>
      </c>
      <c r="B52" s="14" t="s">
        <v>123</v>
      </c>
    </row>
    <row r="53" spans="1:2">
      <c r="A53" s="17" t="s">
        <v>64</v>
      </c>
      <c r="B53" s="14" t="s">
        <v>124</v>
      </c>
    </row>
    <row r="54" spans="1:2">
      <c r="A54" s="17" t="s">
        <v>90</v>
      </c>
      <c r="B54" s="15">
        <f>EstimacionCostos!Z43</f>
        <v>1866.52</v>
      </c>
    </row>
    <row r="55" spans="1:2">
      <c r="A55" s="17" t="s">
        <v>91</v>
      </c>
      <c r="B55" s="16">
        <f>GestionCalidad!G34</f>
        <v>44368</v>
      </c>
    </row>
    <row r="56" spans="1:2" ht="28.9">
      <c r="A56" s="17" t="s">
        <v>92</v>
      </c>
      <c r="B56" s="14" t="s">
        <v>114</v>
      </c>
    </row>
    <row r="58" spans="1:2">
      <c r="A58" s="17" t="s">
        <v>125</v>
      </c>
      <c r="B58" s="17" t="s">
        <v>126</v>
      </c>
    </row>
    <row r="59" spans="1:2" ht="28.9">
      <c r="A59" s="17" t="s">
        <v>85</v>
      </c>
      <c r="B59" s="14" t="s">
        <v>127</v>
      </c>
    </row>
    <row r="60" spans="1:2">
      <c r="A60" s="17" t="s">
        <v>87</v>
      </c>
      <c r="B60" s="14" t="s">
        <v>118</v>
      </c>
    </row>
    <row r="61" spans="1:2">
      <c r="A61" s="17" t="s">
        <v>64</v>
      </c>
      <c r="B61" s="14" t="s">
        <v>128</v>
      </c>
    </row>
    <row r="62" spans="1:2">
      <c r="A62" s="17" t="s">
        <v>90</v>
      </c>
      <c r="B62" s="15">
        <f>EstimacionCostos!Z47</f>
        <v>7385.4400000000005</v>
      </c>
    </row>
    <row r="63" spans="1:2">
      <c r="A63" s="17" t="s">
        <v>91</v>
      </c>
      <c r="B63" s="16">
        <f>GestionCalidad!G38</f>
        <v>44448</v>
      </c>
    </row>
    <row r="64" spans="1:2" ht="28.9">
      <c r="A64" s="17" t="s">
        <v>92</v>
      </c>
      <c r="B64" s="14" t="s">
        <v>114</v>
      </c>
    </row>
    <row r="66" spans="1:2">
      <c r="A66" s="17" t="s">
        <v>129</v>
      </c>
      <c r="B66" s="17" t="s">
        <v>130</v>
      </c>
    </row>
    <row r="67" spans="1:2">
      <c r="A67" s="17" t="s">
        <v>85</v>
      </c>
      <c r="B67" s="14" t="s">
        <v>131</v>
      </c>
    </row>
    <row r="68" spans="1:2">
      <c r="A68" s="17" t="s">
        <v>87</v>
      </c>
      <c r="B68" s="14" t="s">
        <v>123</v>
      </c>
    </row>
    <row r="69" spans="1:2">
      <c r="A69" s="17" t="s">
        <v>64</v>
      </c>
      <c r="B69" s="14" t="s">
        <v>124</v>
      </c>
    </row>
    <row r="70" spans="1:2">
      <c r="A70" s="17" t="s">
        <v>90</v>
      </c>
      <c r="B70" s="15">
        <f>EstimacionCostos!Z50</f>
        <v>912.8</v>
      </c>
    </row>
    <row r="71" spans="1:2">
      <c r="A71" s="17" t="s">
        <v>91</v>
      </c>
      <c r="B71" s="16">
        <f>GestionCalidad!G41</f>
        <v>44458</v>
      </c>
    </row>
    <row r="72" spans="1:2">
      <c r="A72" s="17" t="s">
        <v>92</v>
      </c>
      <c r="B72" s="14" t="s">
        <v>109</v>
      </c>
    </row>
    <row r="74" spans="1:2" ht="28.9">
      <c r="A74" s="17" t="s">
        <v>132</v>
      </c>
      <c r="B74" s="18" t="s">
        <v>133</v>
      </c>
    </row>
    <row r="75" spans="1:2">
      <c r="A75" s="17" t="s">
        <v>85</v>
      </c>
      <c r="B75" s="14" t="s">
        <v>134</v>
      </c>
    </row>
    <row r="76" spans="1:2">
      <c r="A76" s="17" t="s">
        <v>87</v>
      </c>
      <c r="B76" s="14" t="s">
        <v>113</v>
      </c>
    </row>
    <row r="77" spans="1:2">
      <c r="A77" s="17" t="s">
        <v>64</v>
      </c>
      <c r="B77" s="14" t="s">
        <v>98</v>
      </c>
    </row>
    <row r="78" spans="1:2">
      <c r="A78" s="17" t="s">
        <v>90</v>
      </c>
      <c r="B78" s="15">
        <f>EstimacionCostos!Z53</f>
        <v>1930.6399999999999</v>
      </c>
    </row>
    <row r="79" spans="1:2">
      <c r="A79" s="17" t="s">
        <v>91</v>
      </c>
      <c r="B79" s="16">
        <f>GestionCalidad!G45</f>
        <v>44478</v>
      </c>
    </row>
    <row r="80" spans="1:2" ht="28.9">
      <c r="A80" s="17" t="s">
        <v>92</v>
      </c>
      <c r="B80" s="14" t="s">
        <v>114</v>
      </c>
    </row>
    <row r="82" spans="1:2" ht="28.9">
      <c r="A82" s="17" t="s">
        <v>135</v>
      </c>
      <c r="B82" s="18" t="s">
        <v>136</v>
      </c>
    </row>
    <row r="83" spans="1:2">
      <c r="A83" s="17" t="s">
        <v>85</v>
      </c>
      <c r="B83" s="14" t="s">
        <v>137</v>
      </c>
    </row>
    <row r="84" spans="1:2">
      <c r="A84" s="17" t="s">
        <v>87</v>
      </c>
      <c r="B84" s="14" t="s">
        <v>118</v>
      </c>
    </row>
    <row r="85" spans="1:2">
      <c r="A85" s="17" t="s">
        <v>64</v>
      </c>
      <c r="B85" s="14" t="s">
        <v>119</v>
      </c>
    </row>
    <row r="86" spans="1:2">
      <c r="A86" s="17" t="s">
        <v>90</v>
      </c>
      <c r="B86" s="15">
        <f>EstimacionCostos!Z55</f>
        <v>2894.96</v>
      </c>
    </row>
    <row r="87" spans="1:2">
      <c r="A87" s="17" t="s">
        <v>91</v>
      </c>
      <c r="B87" s="16">
        <f>GestionCalidad!G46</f>
        <v>44508</v>
      </c>
    </row>
    <row r="88" spans="1:2" ht="28.9">
      <c r="A88" s="17" t="s">
        <v>92</v>
      </c>
      <c r="B88" s="14" t="s">
        <v>114</v>
      </c>
    </row>
    <row r="90" spans="1:2" ht="28.9">
      <c r="A90" s="17" t="s">
        <v>138</v>
      </c>
      <c r="B90" s="18" t="s">
        <v>139</v>
      </c>
    </row>
    <row r="91" spans="1:2">
      <c r="A91" s="17" t="s">
        <v>85</v>
      </c>
      <c r="B91" s="14" t="s">
        <v>140</v>
      </c>
    </row>
    <row r="92" spans="1:2">
      <c r="A92" s="17" t="s">
        <v>87</v>
      </c>
      <c r="B92" s="14" t="s">
        <v>123</v>
      </c>
    </row>
    <row r="93" spans="1:2">
      <c r="A93" s="17" t="s">
        <v>64</v>
      </c>
      <c r="B93" s="14" t="s">
        <v>124</v>
      </c>
    </row>
    <row r="94" spans="1:2">
      <c r="A94" s="17" t="s">
        <v>90</v>
      </c>
      <c r="B94" s="15">
        <f>EstimacionCostos!Z57</f>
        <v>10169.36</v>
      </c>
    </row>
    <row r="95" spans="1:2">
      <c r="A95" s="17" t="s">
        <v>91</v>
      </c>
      <c r="B95" s="16">
        <f>GestionCalidad!G48</f>
        <v>44568</v>
      </c>
    </row>
    <row r="96" spans="1:2" ht="28.9">
      <c r="A96" s="17" t="s">
        <v>92</v>
      </c>
      <c r="B96" s="14" t="s">
        <v>114</v>
      </c>
    </row>
    <row r="98" spans="1:2">
      <c r="A98" s="17">
        <v>3.4</v>
      </c>
      <c r="B98" s="17" t="s">
        <v>141</v>
      </c>
    </row>
    <row r="99" spans="1:2">
      <c r="A99" s="17" t="s">
        <v>85</v>
      </c>
      <c r="B99" s="14" t="s">
        <v>131</v>
      </c>
    </row>
    <row r="100" spans="1:2">
      <c r="A100" s="17" t="s">
        <v>87</v>
      </c>
      <c r="B100" s="14" t="s">
        <v>123</v>
      </c>
    </row>
    <row r="101" spans="1:2">
      <c r="A101" s="17" t="s">
        <v>64</v>
      </c>
      <c r="B101" s="14" t="s">
        <v>124</v>
      </c>
    </row>
    <row r="102" spans="1:2">
      <c r="A102" s="17" t="s">
        <v>90</v>
      </c>
      <c r="B102" s="15">
        <f>EstimacionCostos!Z61</f>
        <v>1712.8</v>
      </c>
    </row>
    <row r="103" spans="1:2">
      <c r="A103" s="17" t="s">
        <v>91</v>
      </c>
      <c r="B103" s="16">
        <f>GestionCalidad!G52</f>
        <v>44578</v>
      </c>
    </row>
    <row r="104" spans="1:2">
      <c r="A104" s="17" t="s">
        <v>92</v>
      </c>
      <c r="B104" s="14" t="s">
        <v>109</v>
      </c>
    </row>
    <row r="106" spans="1:2">
      <c r="A106" s="17">
        <v>3.5</v>
      </c>
      <c r="B106" s="17" t="s">
        <v>142</v>
      </c>
    </row>
    <row r="107" spans="1:2" ht="28.9">
      <c r="A107" s="17" t="s">
        <v>85</v>
      </c>
      <c r="B107" s="14" t="s">
        <v>143</v>
      </c>
    </row>
    <row r="108" spans="1:2">
      <c r="A108" s="17" t="s">
        <v>87</v>
      </c>
      <c r="B108" s="14" t="s">
        <v>123</v>
      </c>
    </row>
    <row r="109" spans="1:2">
      <c r="A109" s="17" t="s">
        <v>64</v>
      </c>
      <c r="B109" s="14" t="s">
        <v>124</v>
      </c>
    </row>
    <row r="110" spans="1:2">
      <c r="A110" s="17" t="s">
        <v>90</v>
      </c>
      <c r="B110" s="15">
        <f>EstimacionCostos!Z64</f>
        <v>10800</v>
      </c>
    </row>
    <row r="111" spans="1:2">
      <c r="A111" s="17" t="s">
        <v>91</v>
      </c>
      <c r="B111" s="16">
        <f>GestionCalidad!G55</f>
        <v>44623</v>
      </c>
    </row>
    <row r="112" spans="1:2">
      <c r="A112" s="17" t="s">
        <v>92</v>
      </c>
      <c r="B112" s="14" t="s">
        <v>109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9620-64B8-41F1-BAFE-E93806E09C0A}">
  <dimension ref="A1:H30"/>
  <sheetViews>
    <sheetView topLeftCell="A13" workbookViewId="0">
      <selection activeCell="G16" sqref="G16:H18"/>
    </sheetView>
  </sheetViews>
  <sheetFormatPr defaultRowHeight="14.45"/>
  <cols>
    <col min="2" max="2" width="38.28515625" style="21" customWidth="1"/>
    <col min="5" max="5" width="34.85546875" style="21" bestFit="1" customWidth="1"/>
    <col min="8" max="8" width="45" style="21" customWidth="1"/>
  </cols>
  <sheetData>
    <row r="1" spans="1:8">
      <c r="A1" s="17" t="s">
        <v>83</v>
      </c>
      <c r="B1" s="18" t="s">
        <v>84</v>
      </c>
      <c r="D1" s="17" t="s">
        <v>110</v>
      </c>
      <c r="E1" s="18" t="s">
        <v>111</v>
      </c>
      <c r="G1" s="17" t="s">
        <v>132</v>
      </c>
      <c r="H1" s="18" t="s">
        <v>133</v>
      </c>
    </row>
    <row r="2" spans="1:8" ht="28.9">
      <c r="A2" s="17" t="s">
        <v>144</v>
      </c>
      <c r="B2" s="14" t="s">
        <v>145</v>
      </c>
      <c r="D2" s="25" t="s">
        <v>146</v>
      </c>
      <c r="E2" s="23" t="s">
        <v>147</v>
      </c>
      <c r="G2" s="25" t="s">
        <v>148</v>
      </c>
      <c r="H2" s="23" t="s">
        <v>149</v>
      </c>
    </row>
    <row r="3" spans="1:8" ht="28.9">
      <c r="A3" s="17" t="s">
        <v>150</v>
      </c>
      <c r="B3" s="14" t="s">
        <v>151</v>
      </c>
      <c r="D3" s="25" t="s">
        <v>152</v>
      </c>
      <c r="E3" s="23" t="s">
        <v>153</v>
      </c>
      <c r="G3" s="26"/>
      <c r="H3" s="24"/>
    </row>
    <row r="4" spans="1:8" ht="28.9">
      <c r="D4" s="25" t="s">
        <v>154</v>
      </c>
      <c r="E4" s="23" t="s">
        <v>149</v>
      </c>
      <c r="G4" s="17" t="s">
        <v>135</v>
      </c>
      <c r="H4" s="18" t="s">
        <v>155</v>
      </c>
    </row>
    <row r="5" spans="1:8" ht="57.6">
      <c r="A5" s="17" t="s">
        <v>94</v>
      </c>
      <c r="B5" s="18" t="s">
        <v>95</v>
      </c>
      <c r="G5" s="25" t="s">
        <v>156</v>
      </c>
      <c r="H5" s="23" t="s">
        <v>157</v>
      </c>
    </row>
    <row r="6" spans="1:8" ht="28.9">
      <c r="A6" s="22" t="s">
        <v>158</v>
      </c>
      <c r="B6" s="23" t="s">
        <v>159</v>
      </c>
      <c r="D6" s="17" t="s">
        <v>115</v>
      </c>
      <c r="E6" s="18" t="s">
        <v>116</v>
      </c>
    </row>
    <row r="7" spans="1:8" ht="28.9">
      <c r="A7" s="22" t="s">
        <v>160</v>
      </c>
      <c r="B7" s="23" t="s">
        <v>161</v>
      </c>
      <c r="D7" s="25" t="s">
        <v>162</v>
      </c>
      <c r="E7" s="23" t="s">
        <v>163</v>
      </c>
      <c r="G7" s="17" t="s">
        <v>138</v>
      </c>
      <c r="H7" s="18" t="s">
        <v>164</v>
      </c>
    </row>
    <row r="8" spans="1:8" ht="72">
      <c r="A8" s="22" t="s">
        <v>165</v>
      </c>
      <c r="B8" s="23" t="s">
        <v>166</v>
      </c>
      <c r="D8" s="25" t="s">
        <v>167</v>
      </c>
      <c r="E8" s="23" t="s">
        <v>157</v>
      </c>
      <c r="G8" s="25" t="s">
        <v>168</v>
      </c>
      <c r="H8" s="23" t="s">
        <v>169</v>
      </c>
    </row>
    <row r="9" spans="1:8" ht="28.9">
      <c r="A9" s="22" t="s">
        <v>170</v>
      </c>
      <c r="B9" s="23" t="s">
        <v>171</v>
      </c>
      <c r="G9" s="25" t="s">
        <v>172</v>
      </c>
      <c r="H9" s="23" t="s">
        <v>173</v>
      </c>
    </row>
    <row r="10" spans="1:8" ht="28.9">
      <c r="A10" s="22" t="s">
        <v>174</v>
      </c>
      <c r="B10" s="23" t="s">
        <v>175</v>
      </c>
      <c r="D10" s="17" t="s">
        <v>120</v>
      </c>
      <c r="E10" s="17" t="s">
        <v>121</v>
      </c>
      <c r="G10" s="25" t="s">
        <v>176</v>
      </c>
      <c r="H10" s="23" t="s">
        <v>177</v>
      </c>
    </row>
    <row r="11" spans="1:8" ht="43.15">
      <c r="A11" s="22" t="s">
        <v>178</v>
      </c>
      <c r="B11" s="23" t="s">
        <v>179</v>
      </c>
      <c r="D11" s="25" t="s">
        <v>180</v>
      </c>
      <c r="E11" s="23" t="s">
        <v>181</v>
      </c>
    </row>
    <row r="12" spans="1:8" ht="43.15">
      <c r="A12" s="22" t="s">
        <v>182</v>
      </c>
      <c r="B12" s="23" t="s">
        <v>183</v>
      </c>
      <c r="D12" s="25" t="s">
        <v>184</v>
      </c>
      <c r="E12" s="23" t="s">
        <v>185</v>
      </c>
      <c r="G12" s="17" t="s">
        <v>186</v>
      </c>
      <c r="H12" s="18" t="s">
        <v>187</v>
      </c>
    </row>
    <row r="13" spans="1:8" ht="57.6">
      <c r="D13" s="25" t="s">
        <v>188</v>
      </c>
      <c r="E13" s="23" t="s">
        <v>189</v>
      </c>
      <c r="G13" s="25" t="s">
        <v>190</v>
      </c>
      <c r="H13" s="23" t="s">
        <v>191</v>
      </c>
    </row>
    <row r="14" spans="1:8" ht="28.9">
      <c r="A14" s="17" t="s">
        <v>100</v>
      </c>
      <c r="B14" s="17" t="s">
        <v>192</v>
      </c>
      <c r="G14" s="25" t="s">
        <v>193</v>
      </c>
      <c r="H14" s="23" t="s">
        <v>194</v>
      </c>
    </row>
    <row r="15" spans="1:8" ht="43.15">
      <c r="A15" s="22" t="s">
        <v>195</v>
      </c>
      <c r="B15" s="23" t="s">
        <v>196</v>
      </c>
      <c r="D15" s="17" t="s">
        <v>125</v>
      </c>
      <c r="E15" s="17" t="s">
        <v>126</v>
      </c>
    </row>
    <row r="16" spans="1:8" ht="28.9">
      <c r="A16" s="22" t="s">
        <v>197</v>
      </c>
      <c r="B16" s="23" t="s">
        <v>198</v>
      </c>
      <c r="D16" s="25" t="s">
        <v>199</v>
      </c>
      <c r="E16" s="23" t="s">
        <v>200</v>
      </c>
      <c r="G16" s="17">
        <v>3.5</v>
      </c>
      <c r="H16" s="18" t="s">
        <v>142</v>
      </c>
    </row>
    <row r="17" spans="1:8">
      <c r="A17" s="22" t="s">
        <v>201</v>
      </c>
      <c r="B17" s="23" t="s">
        <v>202</v>
      </c>
      <c r="D17" s="25" t="s">
        <v>203</v>
      </c>
      <c r="E17" s="23" t="s">
        <v>204</v>
      </c>
      <c r="G17" s="25" t="s">
        <v>205</v>
      </c>
      <c r="H17" s="23" t="s">
        <v>206</v>
      </c>
    </row>
    <row r="18" spans="1:8" ht="28.9">
      <c r="A18" s="22" t="s">
        <v>207</v>
      </c>
      <c r="B18" s="23" t="s">
        <v>208</v>
      </c>
      <c r="G18" s="25" t="s">
        <v>209</v>
      </c>
      <c r="H18" s="23" t="s">
        <v>194</v>
      </c>
    </row>
    <row r="19" spans="1:8">
      <c r="A19" s="22" t="s">
        <v>210</v>
      </c>
      <c r="B19" s="23" t="s">
        <v>211</v>
      </c>
      <c r="D19" s="17" t="s">
        <v>129</v>
      </c>
      <c r="E19" s="17" t="s">
        <v>130</v>
      </c>
    </row>
    <row r="20" spans="1:8" ht="28.9">
      <c r="A20" s="22" t="s">
        <v>212</v>
      </c>
      <c r="B20" s="23" t="s">
        <v>213</v>
      </c>
      <c r="D20" s="25" t="s">
        <v>214</v>
      </c>
      <c r="E20" s="23" t="s">
        <v>191</v>
      </c>
    </row>
    <row r="21" spans="1:8" ht="28.9">
      <c r="A21" s="22" t="s">
        <v>215</v>
      </c>
      <c r="B21" s="23" t="s">
        <v>216</v>
      </c>
      <c r="D21" s="25" t="s">
        <v>217</v>
      </c>
      <c r="E21" s="23" t="s">
        <v>194</v>
      </c>
    </row>
    <row r="22" spans="1:8" ht="28.9">
      <c r="A22" s="22" t="s">
        <v>218</v>
      </c>
      <c r="B22" s="23" t="s">
        <v>219</v>
      </c>
    </row>
    <row r="23" spans="1:8" ht="28.9">
      <c r="A23" s="22" t="s">
        <v>220</v>
      </c>
      <c r="B23" s="23" t="s">
        <v>221</v>
      </c>
    </row>
    <row r="24" spans="1:8">
      <c r="A24" s="20"/>
      <c r="B24" s="24"/>
    </row>
    <row r="26" spans="1:8">
      <c r="A26" s="17" t="s">
        <v>104</v>
      </c>
      <c r="B26" s="17" t="s">
        <v>105</v>
      </c>
    </row>
    <row r="27" spans="1:8">
      <c r="A27" s="22" t="s">
        <v>222</v>
      </c>
      <c r="B27" s="23" t="s">
        <v>223</v>
      </c>
    </row>
    <row r="28" spans="1:8">
      <c r="A28" s="22" t="s">
        <v>224</v>
      </c>
      <c r="B28" s="23" t="s">
        <v>225</v>
      </c>
    </row>
    <row r="29" spans="1:8" ht="28.9">
      <c r="A29" s="22" t="s">
        <v>226</v>
      </c>
      <c r="B29" s="23" t="s">
        <v>227</v>
      </c>
    </row>
    <row r="30" spans="1:8">
      <c r="A30" s="22" t="s">
        <v>228</v>
      </c>
      <c r="B30" s="23" t="s">
        <v>229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2810-E503-483A-BA29-4F8E8AB46D8B}">
  <dimension ref="A1:P57"/>
  <sheetViews>
    <sheetView topLeftCell="H45" workbookViewId="0">
      <selection activeCell="J1" sqref="J1:P57"/>
    </sheetView>
  </sheetViews>
  <sheetFormatPr defaultRowHeight="14.45"/>
  <cols>
    <col min="1" max="1" width="5.5703125" bestFit="1" customWidth="1"/>
    <col min="2" max="2" width="48.7109375" customWidth="1"/>
    <col min="3" max="3" width="10.85546875" bestFit="1" customWidth="1"/>
    <col min="6" max="6" width="5.5703125" bestFit="1" customWidth="1"/>
    <col min="7" max="7" width="55.28515625" customWidth="1"/>
    <col min="8" max="8" width="11.42578125" style="37" customWidth="1"/>
    <col min="12" max="12" width="59.28515625" customWidth="1"/>
    <col min="13" max="13" width="11.28515625" style="37" hidden="1" customWidth="1"/>
    <col min="14" max="14" width="8.5703125" style="37" hidden="1" customWidth="1"/>
    <col min="15" max="15" width="10.85546875" bestFit="1" customWidth="1"/>
    <col min="16" max="16" width="10.5703125" customWidth="1"/>
  </cols>
  <sheetData>
    <row r="1" spans="1:16" ht="28.9">
      <c r="A1" s="27" t="s">
        <v>83</v>
      </c>
      <c r="B1" s="28" t="s">
        <v>84</v>
      </c>
      <c r="C1" s="32" t="s">
        <v>230</v>
      </c>
      <c r="F1" s="27" t="s">
        <v>83</v>
      </c>
      <c r="G1" s="28" t="s">
        <v>84</v>
      </c>
      <c r="H1" s="74" t="s">
        <v>231</v>
      </c>
      <c r="J1" s="27" t="s">
        <v>83</v>
      </c>
      <c r="K1" s="28" t="s">
        <v>232</v>
      </c>
      <c r="L1" s="28" t="s">
        <v>84</v>
      </c>
      <c r="M1" s="74" t="s">
        <v>230</v>
      </c>
      <c r="N1" s="74" t="s">
        <v>231</v>
      </c>
      <c r="O1" s="34" t="s">
        <v>233</v>
      </c>
      <c r="P1" s="34" t="s">
        <v>234</v>
      </c>
    </row>
    <row r="2" spans="1:16">
      <c r="A2" s="17" t="s">
        <v>144</v>
      </c>
      <c r="B2" s="14" t="s">
        <v>145</v>
      </c>
      <c r="C2" s="32"/>
      <c r="F2" s="17" t="s">
        <v>144</v>
      </c>
      <c r="G2" s="14" t="s">
        <v>145</v>
      </c>
      <c r="H2" s="32">
        <v>1</v>
      </c>
      <c r="J2" s="17" t="s">
        <v>144</v>
      </c>
      <c r="K2" s="17" t="s">
        <v>235</v>
      </c>
      <c r="L2" s="14" t="s">
        <v>145</v>
      </c>
      <c r="M2" s="32"/>
      <c r="N2" s="32">
        <v>1</v>
      </c>
      <c r="O2" s="33">
        <v>44212</v>
      </c>
      <c r="P2" s="33">
        <f>O2+N2</f>
        <v>44213</v>
      </c>
    </row>
    <row r="3" spans="1:16" ht="28.9">
      <c r="A3" s="17" t="s">
        <v>150</v>
      </c>
      <c r="B3" s="14" t="s">
        <v>151</v>
      </c>
      <c r="C3" s="32"/>
      <c r="F3" s="17" t="s">
        <v>150</v>
      </c>
      <c r="G3" s="14" t="s">
        <v>151</v>
      </c>
      <c r="H3" s="32">
        <v>1</v>
      </c>
      <c r="J3" s="17" t="s">
        <v>150</v>
      </c>
      <c r="K3" s="17" t="s">
        <v>236</v>
      </c>
      <c r="L3" s="14" t="s">
        <v>151</v>
      </c>
      <c r="M3" s="32"/>
      <c r="N3" s="32">
        <v>1</v>
      </c>
      <c r="O3" s="33"/>
      <c r="P3" s="25"/>
    </row>
    <row r="4" spans="1:16">
      <c r="A4" s="27" t="s">
        <v>94</v>
      </c>
      <c r="B4" s="28" t="s">
        <v>95</v>
      </c>
      <c r="C4" s="32"/>
      <c r="F4" s="27" t="s">
        <v>94</v>
      </c>
      <c r="G4" s="28" t="s">
        <v>95</v>
      </c>
      <c r="H4" s="32"/>
      <c r="J4" s="27" t="s">
        <v>94</v>
      </c>
      <c r="K4" s="27"/>
      <c r="L4" s="28" t="s">
        <v>95</v>
      </c>
      <c r="M4" s="32"/>
      <c r="N4" s="32"/>
      <c r="O4" s="25"/>
      <c r="P4" s="25"/>
    </row>
    <row r="5" spans="1:16">
      <c r="A5" s="22" t="s">
        <v>158</v>
      </c>
      <c r="B5" s="14" t="s">
        <v>159</v>
      </c>
      <c r="C5" s="32" t="s">
        <v>150</v>
      </c>
      <c r="F5" s="22" t="s">
        <v>158</v>
      </c>
      <c r="G5" s="14" t="s">
        <v>159</v>
      </c>
      <c r="H5" s="32">
        <v>2</v>
      </c>
      <c r="J5" s="22" t="s">
        <v>158</v>
      </c>
      <c r="K5" s="22" t="s">
        <v>237</v>
      </c>
      <c r="L5" s="14" t="s">
        <v>159</v>
      </c>
      <c r="M5" s="32" t="s">
        <v>150</v>
      </c>
      <c r="N5" s="32">
        <v>2</v>
      </c>
      <c r="O5" s="33">
        <f>P2</f>
        <v>44213</v>
      </c>
      <c r="P5" s="33">
        <f t="shared" ref="P5:P11" si="0">O5+N5</f>
        <v>44215</v>
      </c>
    </row>
    <row r="6" spans="1:16" ht="28.9">
      <c r="A6" s="22" t="s">
        <v>160</v>
      </c>
      <c r="B6" s="14" t="s">
        <v>161</v>
      </c>
      <c r="C6" s="32" t="s">
        <v>150</v>
      </c>
      <c r="F6" s="22" t="s">
        <v>160</v>
      </c>
      <c r="G6" s="14" t="s">
        <v>161</v>
      </c>
      <c r="H6" s="32">
        <v>2</v>
      </c>
      <c r="J6" s="22" t="s">
        <v>160</v>
      </c>
      <c r="K6" s="22" t="s">
        <v>238</v>
      </c>
      <c r="L6" s="14" t="s">
        <v>161</v>
      </c>
      <c r="M6" s="32" t="s">
        <v>150</v>
      </c>
      <c r="N6" s="32">
        <v>2</v>
      </c>
      <c r="O6" s="33">
        <v>44213</v>
      </c>
      <c r="P6" s="33">
        <f t="shared" si="0"/>
        <v>44215</v>
      </c>
    </row>
    <row r="7" spans="1:16" ht="28.9">
      <c r="A7" s="22" t="s">
        <v>165</v>
      </c>
      <c r="B7" s="14" t="s">
        <v>166</v>
      </c>
      <c r="C7" s="32" t="s">
        <v>239</v>
      </c>
      <c r="F7" s="22" t="s">
        <v>165</v>
      </c>
      <c r="G7" s="14" t="s">
        <v>166</v>
      </c>
      <c r="H7" s="32">
        <v>3</v>
      </c>
      <c r="J7" s="22" t="s">
        <v>165</v>
      </c>
      <c r="K7" s="22" t="s">
        <v>240</v>
      </c>
      <c r="L7" s="14" t="s">
        <v>166</v>
      </c>
      <c r="M7" s="32" t="s">
        <v>239</v>
      </c>
      <c r="N7" s="32">
        <v>3</v>
      </c>
      <c r="O7" s="33">
        <f>P5</f>
        <v>44215</v>
      </c>
      <c r="P7" s="33">
        <f t="shared" si="0"/>
        <v>44218</v>
      </c>
    </row>
    <row r="8" spans="1:16" ht="28.9">
      <c r="A8" s="22" t="s">
        <v>170</v>
      </c>
      <c r="B8" s="14" t="s">
        <v>171</v>
      </c>
      <c r="C8" s="32" t="s">
        <v>165</v>
      </c>
      <c r="F8" s="22" t="s">
        <v>170</v>
      </c>
      <c r="G8" s="14" t="s">
        <v>171</v>
      </c>
      <c r="H8" s="32">
        <v>3</v>
      </c>
      <c r="J8" s="22" t="s">
        <v>170</v>
      </c>
      <c r="K8" s="22" t="s">
        <v>241</v>
      </c>
      <c r="L8" s="14" t="s">
        <v>171</v>
      </c>
      <c r="M8" s="32" t="s">
        <v>165</v>
      </c>
      <c r="N8" s="32">
        <v>3</v>
      </c>
      <c r="O8" s="33">
        <f>P7</f>
        <v>44218</v>
      </c>
      <c r="P8" s="33">
        <f t="shared" si="0"/>
        <v>44221</v>
      </c>
    </row>
    <row r="9" spans="1:16" ht="28.9">
      <c r="A9" s="22" t="s">
        <v>174</v>
      </c>
      <c r="B9" s="14" t="s">
        <v>175</v>
      </c>
      <c r="C9" s="32" t="s">
        <v>170</v>
      </c>
      <c r="F9" s="22" t="s">
        <v>174</v>
      </c>
      <c r="G9" s="14" t="s">
        <v>175</v>
      </c>
      <c r="H9" s="32">
        <v>3</v>
      </c>
      <c r="J9" s="22" t="s">
        <v>174</v>
      </c>
      <c r="K9" s="22" t="s">
        <v>242</v>
      </c>
      <c r="L9" s="14" t="s">
        <v>175</v>
      </c>
      <c r="M9" s="32" t="s">
        <v>170</v>
      </c>
      <c r="N9" s="32">
        <v>3</v>
      </c>
      <c r="O9" s="33">
        <f>P8</f>
        <v>44221</v>
      </c>
      <c r="P9" s="33">
        <f t="shared" si="0"/>
        <v>44224</v>
      </c>
    </row>
    <row r="10" spans="1:16" ht="28.9">
      <c r="A10" s="22" t="s">
        <v>178</v>
      </c>
      <c r="B10" s="14" t="s">
        <v>179</v>
      </c>
      <c r="C10" s="32" t="s">
        <v>174</v>
      </c>
      <c r="F10" s="22" t="s">
        <v>178</v>
      </c>
      <c r="G10" s="14" t="s">
        <v>179</v>
      </c>
      <c r="H10" s="32">
        <v>5</v>
      </c>
      <c r="J10" s="22" t="s">
        <v>178</v>
      </c>
      <c r="K10" s="22" t="s">
        <v>243</v>
      </c>
      <c r="L10" s="14" t="s">
        <v>179</v>
      </c>
      <c r="M10" s="32" t="s">
        <v>174</v>
      </c>
      <c r="N10" s="32">
        <v>5</v>
      </c>
      <c r="O10" s="33">
        <f>P9</f>
        <v>44224</v>
      </c>
      <c r="P10" s="33">
        <f t="shared" si="0"/>
        <v>44229</v>
      </c>
    </row>
    <row r="11" spans="1:16">
      <c r="A11" s="22" t="s">
        <v>182</v>
      </c>
      <c r="B11" s="14" t="s">
        <v>183</v>
      </c>
      <c r="C11" s="32" t="s">
        <v>178</v>
      </c>
      <c r="F11" s="22" t="s">
        <v>182</v>
      </c>
      <c r="G11" s="14" t="s">
        <v>183</v>
      </c>
      <c r="H11" s="32">
        <v>20</v>
      </c>
      <c r="J11" s="22" t="s">
        <v>182</v>
      </c>
      <c r="K11" s="22" t="s">
        <v>244</v>
      </c>
      <c r="L11" s="14" t="s">
        <v>183</v>
      </c>
      <c r="M11" s="32" t="s">
        <v>178</v>
      </c>
      <c r="N11" s="32">
        <v>20</v>
      </c>
      <c r="O11" s="33">
        <f>P10</f>
        <v>44229</v>
      </c>
      <c r="P11" s="33">
        <f t="shared" si="0"/>
        <v>44249</v>
      </c>
    </row>
    <row r="12" spans="1:16">
      <c r="A12" s="27" t="s">
        <v>100</v>
      </c>
      <c r="B12" s="27" t="s">
        <v>192</v>
      </c>
      <c r="C12" s="32"/>
      <c r="F12" s="27" t="s">
        <v>100</v>
      </c>
      <c r="G12" s="27" t="s">
        <v>192</v>
      </c>
      <c r="H12" s="32"/>
      <c r="J12" s="27" t="s">
        <v>100</v>
      </c>
      <c r="K12" s="27"/>
      <c r="L12" s="27" t="s">
        <v>192</v>
      </c>
      <c r="M12" s="32"/>
      <c r="N12" s="32"/>
      <c r="O12" s="25"/>
      <c r="P12" s="25"/>
    </row>
    <row r="13" spans="1:16" ht="28.9">
      <c r="A13" s="22" t="s">
        <v>195</v>
      </c>
      <c r="B13" s="14" t="s">
        <v>196</v>
      </c>
      <c r="C13" s="32" t="s">
        <v>245</v>
      </c>
      <c r="F13" s="22" t="s">
        <v>195</v>
      </c>
      <c r="G13" s="14" t="s">
        <v>196</v>
      </c>
      <c r="H13" s="32">
        <v>5</v>
      </c>
      <c r="J13" s="22" t="s">
        <v>195</v>
      </c>
      <c r="K13" s="22" t="s">
        <v>246</v>
      </c>
      <c r="L13" s="14" t="s">
        <v>196</v>
      </c>
      <c r="M13" s="32" t="s">
        <v>245</v>
      </c>
      <c r="N13" s="32">
        <v>5</v>
      </c>
      <c r="O13" s="33">
        <f>P11</f>
        <v>44249</v>
      </c>
      <c r="P13" s="33">
        <f t="shared" ref="P13:P21" si="1">O13+N13</f>
        <v>44254</v>
      </c>
    </row>
    <row r="14" spans="1:16">
      <c r="A14" s="22" t="s">
        <v>197</v>
      </c>
      <c r="B14" s="14" t="s">
        <v>198</v>
      </c>
      <c r="C14" s="32" t="s">
        <v>195</v>
      </c>
      <c r="F14" s="22" t="s">
        <v>197</v>
      </c>
      <c r="G14" s="14" t="s">
        <v>198</v>
      </c>
      <c r="H14" s="32">
        <v>30</v>
      </c>
      <c r="J14" s="22" t="s">
        <v>197</v>
      </c>
      <c r="K14" s="22" t="s">
        <v>247</v>
      </c>
      <c r="L14" s="14" t="s">
        <v>198</v>
      </c>
      <c r="M14" s="32" t="s">
        <v>195</v>
      </c>
      <c r="N14" s="32">
        <v>30</v>
      </c>
      <c r="O14" s="33">
        <f>P13</f>
        <v>44254</v>
      </c>
      <c r="P14" s="33">
        <f t="shared" si="1"/>
        <v>44284</v>
      </c>
    </row>
    <row r="15" spans="1:16">
      <c r="A15" s="22" t="s">
        <v>201</v>
      </c>
      <c r="B15" s="14" t="s">
        <v>202</v>
      </c>
      <c r="C15" s="32" t="s">
        <v>245</v>
      </c>
      <c r="F15" s="22" t="s">
        <v>201</v>
      </c>
      <c r="G15" s="14" t="s">
        <v>202</v>
      </c>
      <c r="H15" s="32">
        <v>45</v>
      </c>
      <c r="J15" s="22" t="s">
        <v>201</v>
      </c>
      <c r="K15" s="22" t="s">
        <v>248</v>
      </c>
      <c r="L15" s="14" t="s">
        <v>202</v>
      </c>
      <c r="M15" s="32" t="s">
        <v>245</v>
      </c>
      <c r="N15" s="32">
        <v>45</v>
      </c>
      <c r="O15" s="33">
        <f>P11</f>
        <v>44249</v>
      </c>
      <c r="P15" s="33">
        <f t="shared" si="1"/>
        <v>44294</v>
      </c>
    </row>
    <row r="16" spans="1:16">
      <c r="A16" s="22" t="s">
        <v>207</v>
      </c>
      <c r="B16" s="14" t="s">
        <v>208</v>
      </c>
      <c r="C16" s="32" t="s">
        <v>201</v>
      </c>
      <c r="F16" s="22" t="s">
        <v>207</v>
      </c>
      <c r="G16" s="14" t="s">
        <v>208</v>
      </c>
      <c r="H16" s="32">
        <v>5</v>
      </c>
      <c r="J16" s="22" t="s">
        <v>207</v>
      </c>
      <c r="K16" s="22" t="s">
        <v>249</v>
      </c>
      <c r="L16" s="14" t="s">
        <v>208</v>
      </c>
      <c r="M16" s="32" t="s">
        <v>201</v>
      </c>
      <c r="N16" s="32">
        <v>5</v>
      </c>
      <c r="O16" s="33">
        <f>P15</f>
        <v>44294</v>
      </c>
      <c r="P16" s="33">
        <f t="shared" si="1"/>
        <v>44299</v>
      </c>
    </row>
    <row r="17" spans="1:16">
      <c r="A17" s="22" t="s">
        <v>210</v>
      </c>
      <c r="B17" s="14" t="s">
        <v>211</v>
      </c>
      <c r="C17" s="32" t="s">
        <v>207</v>
      </c>
      <c r="F17" s="22" t="s">
        <v>210</v>
      </c>
      <c r="G17" s="14" t="s">
        <v>211</v>
      </c>
      <c r="H17" s="32">
        <v>8</v>
      </c>
      <c r="J17" s="22" t="s">
        <v>210</v>
      </c>
      <c r="K17" s="22" t="s">
        <v>250</v>
      </c>
      <c r="L17" s="14" t="s">
        <v>211</v>
      </c>
      <c r="M17" s="32" t="s">
        <v>207</v>
      </c>
      <c r="N17" s="32">
        <v>8</v>
      </c>
      <c r="O17" s="33">
        <f>P16</f>
        <v>44299</v>
      </c>
      <c r="P17" s="33">
        <f t="shared" si="1"/>
        <v>44307</v>
      </c>
    </row>
    <row r="18" spans="1:16">
      <c r="A18" s="22" t="s">
        <v>212</v>
      </c>
      <c r="B18" s="14" t="s">
        <v>213</v>
      </c>
      <c r="C18" s="32" t="s">
        <v>195</v>
      </c>
      <c r="F18" s="22" t="s">
        <v>212</v>
      </c>
      <c r="G18" s="14" t="s">
        <v>213</v>
      </c>
      <c r="H18" s="32">
        <v>15</v>
      </c>
      <c r="J18" s="22" t="s">
        <v>212</v>
      </c>
      <c r="K18" s="22" t="s">
        <v>251</v>
      </c>
      <c r="L18" s="14" t="s">
        <v>213</v>
      </c>
      <c r="M18" s="32" t="s">
        <v>195</v>
      </c>
      <c r="N18" s="32">
        <v>15</v>
      </c>
      <c r="O18" s="33">
        <f>P14</f>
        <v>44284</v>
      </c>
      <c r="P18" s="33">
        <f t="shared" si="1"/>
        <v>44299</v>
      </c>
    </row>
    <row r="19" spans="1:16" ht="28.9">
      <c r="A19" s="22" t="s">
        <v>215</v>
      </c>
      <c r="B19" s="14" t="s">
        <v>216</v>
      </c>
      <c r="C19" s="32" t="s">
        <v>195</v>
      </c>
      <c r="F19" s="22" t="s">
        <v>215</v>
      </c>
      <c r="G19" s="14" t="s">
        <v>216</v>
      </c>
      <c r="H19" s="32">
        <v>15</v>
      </c>
      <c r="J19" s="22" t="s">
        <v>215</v>
      </c>
      <c r="K19" s="22" t="s">
        <v>252</v>
      </c>
      <c r="L19" s="14" t="s">
        <v>216</v>
      </c>
      <c r="M19" s="32" t="s">
        <v>195</v>
      </c>
      <c r="N19" s="32">
        <v>15</v>
      </c>
      <c r="O19" s="33">
        <f>P14</f>
        <v>44284</v>
      </c>
      <c r="P19" s="33">
        <f t="shared" si="1"/>
        <v>44299</v>
      </c>
    </row>
    <row r="20" spans="1:16" ht="28.9">
      <c r="A20" s="22" t="s">
        <v>218</v>
      </c>
      <c r="B20" s="14" t="s">
        <v>219</v>
      </c>
      <c r="C20" s="32" t="s">
        <v>210</v>
      </c>
      <c r="F20" s="22" t="s">
        <v>218</v>
      </c>
      <c r="G20" s="14" t="s">
        <v>219</v>
      </c>
      <c r="H20" s="32">
        <v>15</v>
      </c>
      <c r="J20" s="22" t="s">
        <v>218</v>
      </c>
      <c r="K20" s="22" t="s">
        <v>253</v>
      </c>
      <c r="L20" s="14" t="s">
        <v>219</v>
      </c>
      <c r="M20" s="32" t="s">
        <v>210</v>
      </c>
      <c r="N20" s="32">
        <v>15</v>
      </c>
      <c r="O20" s="33">
        <f>P17</f>
        <v>44307</v>
      </c>
      <c r="P20" s="33">
        <f t="shared" si="1"/>
        <v>44322</v>
      </c>
    </row>
    <row r="21" spans="1:16" ht="28.9">
      <c r="A21" s="22" t="s">
        <v>220</v>
      </c>
      <c r="B21" s="14" t="s">
        <v>221</v>
      </c>
      <c r="C21" s="32" t="s">
        <v>254</v>
      </c>
      <c r="F21" s="22" t="s">
        <v>220</v>
      </c>
      <c r="G21" s="14" t="s">
        <v>221</v>
      </c>
      <c r="H21" s="32">
        <v>20</v>
      </c>
      <c r="J21" s="22" t="s">
        <v>220</v>
      </c>
      <c r="K21" s="22" t="s">
        <v>255</v>
      </c>
      <c r="L21" s="14" t="s">
        <v>221</v>
      </c>
      <c r="M21" s="32" t="s">
        <v>254</v>
      </c>
      <c r="N21" s="32">
        <v>20</v>
      </c>
      <c r="O21" s="33">
        <f>P20</f>
        <v>44322</v>
      </c>
      <c r="P21" s="33">
        <f t="shared" si="1"/>
        <v>44342</v>
      </c>
    </row>
    <row r="22" spans="1:16">
      <c r="A22" s="27" t="s">
        <v>104</v>
      </c>
      <c r="B22" s="27" t="s">
        <v>105</v>
      </c>
      <c r="C22" s="32"/>
      <c r="F22" s="27" t="s">
        <v>104</v>
      </c>
      <c r="G22" s="27" t="s">
        <v>105</v>
      </c>
      <c r="H22" s="32"/>
      <c r="J22" s="27" t="s">
        <v>104</v>
      </c>
      <c r="K22" s="27"/>
      <c r="L22" s="27" t="s">
        <v>105</v>
      </c>
      <c r="M22" s="32"/>
      <c r="N22" s="32"/>
      <c r="O22" s="25"/>
      <c r="P22" s="25"/>
    </row>
    <row r="23" spans="1:16">
      <c r="A23" s="22" t="s">
        <v>222</v>
      </c>
      <c r="B23" s="14" t="s">
        <v>223</v>
      </c>
      <c r="C23" s="32" t="s">
        <v>212</v>
      </c>
      <c r="F23" s="22" t="s">
        <v>222</v>
      </c>
      <c r="G23" s="14" t="s">
        <v>223</v>
      </c>
      <c r="H23" s="32">
        <v>5</v>
      </c>
      <c r="J23" s="22" t="s">
        <v>222</v>
      </c>
      <c r="K23" s="22" t="s">
        <v>256</v>
      </c>
      <c r="L23" s="14" t="s">
        <v>223</v>
      </c>
      <c r="M23" s="32" t="s">
        <v>212</v>
      </c>
      <c r="N23" s="32">
        <v>5</v>
      </c>
      <c r="O23" s="33">
        <f>P18</f>
        <v>44299</v>
      </c>
      <c r="P23" s="33">
        <f>O23+N23</f>
        <v>44304</v>
      </c>
    </row>
    <row r="24" spans="1:16">
      <c r="A24" s="22" t="s">
        <v>224</v>
      </c>
      <c r="B24" s="14" t="s">
        <v>225</v>
      </c>
      <c r="C24" s="32" t="s">
        <v>215</v>
      </c>
      <c r="F24" s="22" t="s">
        <v>224</v>
      </c>
      <c r="G24" s="14" t="s">
        <v>225</v>
      </c>
      <c r="H24" s="32">
        <v>5</v>
      </c>
      <c r="J24" s="22" t="s">
        <v>224</v>
      </c>
      <c r="K24" s="22" t="s">
        <v>257</v>
      </c>
      <c r="L24" s="14" t="s">
        <v>225</v>
      </c>
      <c r="M24" s="32" t="s">
        <v>215</v>
      </c>
      <c r="N24" s="32">
        <v>5</v>
      </c>
      <c r="O24" s="33">
        <f>P19</f>
        <v>44299</v>
      </c>
      <c r="P24" s="33">
        <f>O24+N24</f>
        <v>44304</v>
      </c>
    </row>
    <row r="25" spans="1:16">
      <c r="A25" s="22" t="s">
        <v>226</v>
      </c>
      <c r="B25" s="14" t="s">
        <v>227</v>
      </c>
      <c r="C25" s="32" t="s">
        <v>220</v>
      </c>
      <c r="F25" s="22" t="s">
        <v>226</v>
      </c>
      <c r="G25" s="14" t="s">
        <v>227</v>
      </c>
      <c r="H25" s="32">
        <v>5</v>
      </c>
      <c r="J25" s="22" t="s">
        <v>226</v>
      </c>
      <c r="K25" s="22" t="s">
        <v>258</v>
      </c>
      <c r="L25" s="14" t="s">
        <v>227</v>
      </c>
      <c r="M25" s="32" t="s">
        <v>220</v>
      </c>
      <c r="N25" s="32">
        <v>5</v>
      </c>
      <c r="O25" s="33">
        <f>P21</f>
        <v>44342</v>
      </c>
      <c r="P25" s="33">
        <f>O25+N25</f>
        <v>44347</v>
      </c>
    </row>
    <row r="26" spans="1:16">
      <c r="A26" s="22" t="s">
        <v>228</v>
      </c>
      <c r="B26" s="14" t="s">
        <v>229</v>
      </c>
      <c r="C26" s="32" t="s">
        <v>226</v>
      </c>
      <c r="F26" s="22" t="s">
        <v>228</v>
      </c>
      <c r="G26" s="14" t="s">
        <v>229</v>
      </c>
      <c r="H26" s="32">
        <v>5</v>
      </c>
      <c r="J26" s="22" t="s">
        <v>228</v>
      </c>
      <c r="K26" s="22" t="s">
        <v>259</v>
      </c>
      <c r="L26" s="14" t="s">
        <v>229</v>
      </c>
      <c r="M26" s="32" t="s">
        <v>226</v>
      </c>
      <c r="N26" s="32">
        <v>5</v>
      </c>
      <c r="O26" s="33">
        <f>P25</f>
        <v>44347</v>
      </c>
      <c r="P26" s="33">
        <f>O26+N26</f>
        <v>44352</v>
      </c>
    </row>
    <row r="27" spans="1:16">
      <c r="A27" s="29" t="s">
        <v>110</v>
      </c>
      <c r="B27" s="30" t="s">
        <v>111</v>
      </c>
      <c r="C27" s="32"/>
      <c r="F27" s="29" t="s">
        <v>110</v>
      </c>
      <c r="G27" s="30" t="s">
        <v>111</v>
      </c>
      <c r="H27" s="32"/>
      <c r="J27" s="29" t="s">
        <v>110</v>
      </c>
      <c r="K27" s="29"/>
      <c r="L27" s="30" t="s">
        <v>111</v>
      </c>
      <c r="M27" s="32"/>
      <c r="N27" s="32"/>
      <c r="O27" s="25"/>
      <c r="P27" s="33"/>
    </row>
    <row r="28" spans="1:16">
      <c r="A28" s="31" t="s">
        <v>146</v>
      </c>
      <c r="B28" s="14" t="s">
        <v>147</v>
      </c>
      <c r="C28" s="32" t="s">
        <v>228</v>
      </c>
      <c r="F28" s="31" t="s">
        <v>146</v>
      </c>
      <c r="G28" s="14" t="s">
        <v>147</v>
      </c>
      <c r="H28" s="32">
        <v>8</v>
      </c>
      <c r="J28" s="31" t="s">
        <v>146</v>
      </c>
      <c r="K28" s="31" t="s">
        <v>260</v>
      </c>
      <c r="L28" s="14" t="s">
        <v>147</v>
      </c>
      <c r="M28" s="32" t="s">
        <v>228</v>
      </c>
      <c r="N28" s="32">
        <v>8</v>
      </c>
      <c r="O28" s="33">
        <f>P26</f>
        <v>44352</v>
      </c>
      <c r="P28" s="33">
        <f t="shared" ref="P28:P54" si="2">O28+N28</f>
        <v>44360</v>
      </c>
    </row>
    <row r="29" spans="1:16">
      <c r="A29" s="31" t="s">
        <v>152</v>
      </c>
      <c r="B29" s="14" t="s">
        <v>153</v>
      </c>
      <c r="C29" s="32" t="s">
        <v>146</v>
      </c>
      <c r="F29" s="31" t="s">
        <v>152</v>
      </c>
      <c r="G29" s="14" t="s">
        <v>153</v>
      </c>
      <c r="H29" s="32">
        <v>10</v>
      </c>
      <c r="J29" s="31" t="s">
        <v>152</v>
      </c>
      <c r="K29" s="31" t="s">
        <v>261</v>
      </c>
      <c r="L29" s="14" t="s">
        <v>153</v>
      </c>
      <c r="M29" s="32" t="s">
        <v>146</v>
      </c>
      <c r="N29" s="32">
        <v>10</v>
      </c>
      <c r="O29" s="33">
        <f>P28</f>
        <v>44360</v>
      </c>
      <c r="P29" s="33">
        <f t="shared" si="2"/>
        <v>44370</v>
      </c>
    </row>
    <row r="30" spans="1:16">
      <c r="A30" s="31" t="s">
        <v>154</v>
      </c>
      <c r="B30" s="14" t="s">
        <v>149</v>
      </c>
      <c r="C30" s="32" t="s">
        <v>152</v>
      </c>
      <c r="F30" s="31" t="s">
        <v>154</v>
      </c>
      <c r="G30" s="14" t="s">
        <v>149</v>
      </c>
      <c r="H30" s="32">
        <v>8</v>
      </c>
      <c r="J30" s="31" t="s">
        <v>154</v>
      </c>
      <c r="K30" s="31" t="s">
        <v>262</v>
      </c>
      <c r="L30" s="14" t="s">
        <v>149</v>
      </c>
      <c r="M30" s="32" t="s">
        <v>152</v>
      </c>
      <c r="N30" s="32">
        <v>8</v>
      </c>
      <c r="O30" s="33">
        <f>P29</f>
        <v>44370</v>
      </c>
      <c r="P30" s="33">
        <f t="shared" si="2"/>
        <v>44378</v>
      </c>
    </row>
    <row r="31" spans="1:16">
      <c r="A31" s="29" t="s">
        <v>115</v>
      </c>
      <c r="B31" s="30" t="s">
        <v>116</v>
      </c>
      <c r="C31" s="32"/>
      <c r="F31" s="29" t="s">
        <v>115</v>
      </c>
      <c r="G31" s="30" t="s">
        <v>116</v>
      </c>
      <c r="H31" s="32"/>
      <c r="J31" s="29" t="s">
        <v>115</v>
      </c>
      <c r="K31" s="29"/>
      <c r="L31" s="30" t="s">
        <v>116</v>
      </c>
      <c r="M31" s="32"/>
      <c r="N31" s="32"/>
      <c r="O31" s="25"/>
      <c r="P31" s="33"/>
    </row>
    <row r="32" spans="1:16" ht="28.9">
      <c r="A32" s="31" t="s">
        <v>162</v>
      </c>
      <c r="B32" s="14" t="s">
        <v>163</v>
      </c>
      <c r="C32" s="32" t="s">
        <v>154</v>
      </c>
      <c r="F32" s="31" t="s">
        <v>162</v>
      </c>
      <c r="G32" s="14" t="s">
        <v>163</v>
      </c>
      <c r="H32" s="32">
        <v>20</v>
      </c>
      <c r="J32" s="31" t="s">
        <v>162</v>
      </c>
      <c r="K32" s="31" t="s">
        <v>263</v>
      </c>
      <c r="L32" s="14" t="s">
        <v>163</v>
      </c>
      <c r="M32" s="32" t="s">
        <v>154</v>
      </c>
      <c r="N32" s="32">
        <v>20</v>
      </c>
      <c r="O32" s="33">
        <f>P30</f>
        <v>44378</v>
      </c>
      <c r="P32" s="33">
        <f t="shared" si="2"/>
        <v>44398</v>
      </c>
    </row>
    <row r="33" spans="1:16" ht="57.6">
      <c r="A33" s="31" t="s">
        <v>167</v>
      </c>
      <c r="B33" s="14" t="s">
        <v>157</v>
      </c>
      <c r="C33" s="32" t="s">
        <v>162</v>
      </c>
      <c r="F33" s="31" t="s">
        <v>167</v>
      </c>
      <c r="G33" s="14" t="s">
        <v>157</v>
      </c>
      <c r="H33" s="32">
        <v>8</v>
      </c>
      <c r="J33" s="31" t="s">
        <v>167</v>
      </c>
      <c r="K33" s="31" t="s">
        <v>264</v>
      </c>
      <c r="L33" s="14" t="s">
        <v>157</v>
      </c>
      <c r="M33" s="32" t="s">
        <v>162</v>
      </c>
      <c r="N33" s="32">
        <v>8</v>
      </c>
      <c r="O33" s="33">
        <f>P32</f>
        <v>44398</v>
      </c>
      <c r="P33" s="33">
        <f t="shared" si="2"/>
        <v>44406</v>
      </c>
    </row>
    <row r="34" spans="1:16">
      <c r="A34" s="29" t="s">
        <v>120</v>
      </c>
      <c r="B34" s="29" t="s">
        <v>121</v>
      </c>
      <c r="C34" s="32"/>
      <c r="F34" s="29" t="s">
        <v>120</v>
      </c>
      <c r="G34" s="29" t="s">
        <v>121</v>
      </c>
      <c r="H34" s="32"/>
      <c r="J34" s="29" t="s">
        <v>120</v>
      </c>
      <c r="K34" s="29"/>
      <c r="L34" s="29" t="s">
        <v>121</v>
      </c>
      <c r="M34" s="32"/>
      <c r="N34" s="32"/>
      <c r="O34" s="25"/>
      <c r="P34" s="33"/>
    </row>
    <row r="35" spans="1:16" ht="28.9">
      <c r="A35" s="31" t="s">
        <v>180</v>
      </c>
      <c r="B35" s="14" t="s">
        <v>181</v>
      </c>
      <c r="C35" s="32" t="s">
        <v>104</v>
      </c>
      <c r="F35" s="31" t="s">
        <v>180</v>
      </c>
      <c r="G35" s="14" t="s">
        <v>181</v>
      </c>
      <c r="H35" s="32">
        <v>1</v>
      </c>
      <c r="J35" s="31" t="s">
        <v>180</v>
      </c>
      <c r="K35" s="31" t="s">
        <v>265</v>
      </c>
      <c r="L35" s="14" t="s">
        <v>181</v>
      </c>
      <c r="M35" s="32" t="s">
        <v>104</v>
      </c>
      <c r="N35" s="32">
        <v>1</v>
      </c>
      <c r="O35" s="33">
        <f>P26</f>
        <v>44352</v>
      </c>
      <c r="P35" s="33">
        <f t="shared" si="2"/>
        <v>44353</v>
      </c>
    </row>
    <row r="36" spans="1:16" ht="28.9">
      <c r="A36" s="31" t="s">
        <v>184</v>
      </c>
      <c r="B36" s="14" t="s">
        <v>185</v>
      </c>
      <c r="C36" s="32" t="s">
        <v>180</v>
      </c>
      <c r="F36" s="31" t="s">
        <v>184</v>
      </c>
      <c r="G36" s="14" t="s">
        <v>185</v>
      </c>
      <c r="H36" s="32">
        <v>5</v>
      </c>
      <c r="J36" s="31" t="s">
        <v>184</v>
      </c>
      <c r="K36" s="31" t="s">
        <v>266</v>
      </c>
      <c r="L36" s="14" t="s">
        <v>185</v>
      </c>
      <c r="M36" s="32" t="s">
        <v>180</v>
      </c>
      <c r="N36" s="32">
        <v>5</v>
      </c>
      <c r="O36" s="33">
        <f>P35</f>
        <v>44353</v>
      </c>
      <c r="P36" s="33">
        <f t="shared" si="2"/>
        <v>44358</v>
      </c>
    </row>
    <row r="37" spans="1:16" ht="43.15">
      <c r="A37" s="31" t="s">
        <v>188</v>
      </c>
      <c r="B37" s="14" t="s">
        <v>189</v>
      </c>
      <c r="C37" s="32" t="s">
        <v>184</v>
      </c>
      <c r="F37" s="31" t="s">
        <v>188</v>
      </c>
      <c r="G37" s="14" t="s">
        <v>189</v>
      </c>
      <c r="H37" s="32">
        <v>10</v>
      </c>
      <c r="J37" s="31" t="s">
        <v>188</v>
      </c>
      <c r="K37" s="31" t="s">
        <v>267</v>
      </c>
      <c r="L37" s="14" t="s">
        <v>189</v>
      </c>
      <c r="M37" s="32" t="s">
        <v>184</v>
      </c>
      <c r="N37" s="32">
        <v>10</v>
      </c>
      <c r="O37" s="33">
        <f>P36</f>
        <v>44358</v>
      </c>
      <c r="P37" s="33">
        <f t="shared" si="2"/>
        <v>44368</v>
      </c>
    </row>
    <row r="38" spans="1:16">
      <c r="A38" s="29" t="s">
        <v>125</v>
      </c>
      <c r="B38" s="29" t="s">
        <v>126</v>
      </c>
      <c r="C38" s="32"/>
      <c r="F38" s="29" t="s">
        <v>125</v>
      </c>
      <c r="G38" s="29" t="s">
        <v>126</v>
      </c>
      <c r="H38" s="32"/>
      <c r="J38" s="29" t="s">
        <v>125</v>
      </c>
      <c r="K38" s="29"/>
      <c r="L38" s="29" t="s">
        <v>126</v>
      </c>
      <c r="M38" s="32"/>
      <c r="N38" s="32"/>
      <c r="O38" s="25"/>
      <c r="P38" s="33"/>
    </row>
    <row r="39" spans="1:16">
      <c r="A39" s="31" t="s">
        <v>199</v>
      </c>
      <c r="B39" s="14" t="s">
        <v>200</v>
      </c>
      <c r="C39" s="32" t="s">
        <v>188</v>
      </c>
      <c r="F39" s="31" t="s">
        <v>199</v>
      </c>
      <c r="G39" s="14" t="s">
        <v>200</v>
      </c>
      <c r="H39" s="32">
        <v>60</v>
      </c>
      <c r="J39" s="31" t="s">
        <v>199</v>
      </c>
      <c r="K39" s="31" t="s">
        <v>268</v>
      </c>
      <c r="L39" s="14" t="s">
        <v>200</v>
      </c>
      <c r="M39" s="32" t="s">
        <v>188</v>
      </c>
      <c r="N39" s="32">
        <v>60</v>
      </c>
      <c r="O39" s="33">
        <f>P37</f>
        <v>44368</v>
      </c>
      <c r="P39" s="33">
        <f t="shared" si="2"/>
        <v>44428</v>
      </c>
    </row>
    <row r="40" spans="1:16">
      <c r="A40" s="31" t="s">
        <v>203</v>
      </c>
      <c r="B40" s="14" t="s">
        <v>204</v>
      </c>
      <c r="C40" s="32" t="s">
        <v>199</v>
      </c>
      <c r="F40" s="31" t="s">
        <v>203</v>
      </c>
      <c r="G40" s="14" t="s">
        <v>204</v>
      </c>
      <c r="H40" s="32">
        <v>20</v>
      </c>
      <c r="J40" s="31" t="s">
        <v>203</v>
      </c>
      <c r="K40" s="31" t="s">
        <v>269</v>
      </c>
      <c r="L40" s="14" t="s">
        <v>204</v>
      </c>
      <c r="M40" s="32" t="s">
        <v>199</v>
      </c>
      <c r="N40" s="32">
        <v>20</v>
      </c>
      <c r="O40" s="33">
        <f>P39</f>
        <v>44428</v>
      </c>
      <c r="P40" s="33">
        <f t="shared" si="2"/>
        <v>44448</v>
      </c>
    </row>
    <row r="41" spans="1:16">
      <c r="A41" s="29" t="s">
        <v>129</v>
      </c>
      <c r="B41" s="29" t="s">
        <v>130</v>
      </c>
      <c r="C41" s="32"/>
      <c r="F41" s="29" t="s">
        <v>129</v>
      </c>
      <c r="G41" s="29" t="s">
        <v>130</v>
      </c>
      <c r="H41" s="32"/>
      <c r="J41" s="29" t="s">
        <v>129</v>
      </c>
      <c r="K41" s="29"/>
      <c r="L41" s="29" t="s">
        <v>130</v>
      </c>
      <c r="M41" s="32"/>
      <c r="N41" s="32"/>
      <c r="O41" s="25"/>
      <c r="P41" s="33"/>
    </row>
    <row r="42" spans="1:16">
      <c r="A42" s="31" t="s">
        <v>214</v>
      </c>
      <c r="B42" s="14" t="s">
        <v>191</v>
      </c>
      <c r="C42" s="32" t="s">
        <v>203</v>
      </c>
      <c r="F42" s="31" t="s">
        <v>214</v>
      </c>
      <c r="G42" s="14" t="s">
        <v>191</v>
      </c>
      <c r="H42" s="32">
        <v>5</v>
      </c>
      <c r="J42" s="31" t="s">
        <v>214</v>
      </c>
      <c r="K42" s="31" t="s">
        <v>270</v>
      </c>
      <c r="L42" s="14" t="s">
        <v>191</v>
      </c>
      <c r="M42" s="32" t="s">
        <v>203</v>
      </c>
      <c r="N42" s="32">
        <v>5</v>
      </c>
      <c r="O42" s="33">
        <f>P40</f>
        <v>44448</v>
      </c>
      <c r="P42" s="33">
        <f t="shared" si="2"/>
        <v>44453</v>
      </c>
    </row>
    <row r="43" spans="1:16">
      <c r="A43" s="31" t="s">
        <v>217</v>
      </c>
      <c r="B43" s="14" t="s">
        <v>194</v>
      </c>
      <c r="C43" s="32" t="s">
        <v>214</v>
      </c>
      <c r="F43" s="31" t="s">
        <v>217</v>
      </c>
      <c r="G43" s="14" t="s">
        <v>194</v>
      </c>
      <c r="H43" s="32">
        <v>5</v>
      </c>
      <c r="J43" s="31" t="s">
        <v>217</v>
      </c>
      <c r="K43" s="31" t="s">
        <v>271</v>
      </c>
      <c r="L43" s="14" t="s">
        <v>194</v>
      </c>
      <c r="M43" s="32" t="s">
        <v>214</v>
      </c>
      <c r="N43" s="32">
        <v>5</v>
      </c>
      <c r="O43" s="33">
        <f>P42</f>
        <v>44453</v>
      </c>
      <c r="P43" s="33">
        <f t="shared" si="2"/>
        <v>44458</v>
      </c>
    </row>
    <row r="44" spans="1:16">
      <c r="A44" s="35" t="s">
        <v>132</v>
      </c>
      <c r="B44" s="36" t="s">
        <v>133</v>
      </c>
      <c r="C44" s="25"/>
      <c r="F44" s="35" t="s">
        <v>132</v>
      </c>
      <c r="G44" s="36" t="s">
        <v>133</v>
      </c>
      <c r="H44" s="82"/>
      <c r="J44" s="35" t="s">
        <v>132</v>
      </c>
      <c r="K44" s="35"/>
      <c r="L44" s="36" t="s">
        <v>133</v>
      </c>
      <c r="M44" s="82"/>
      <c r="N44" s="82"/>
      <c r="O44" s="25"/>
      <c r="P44" s="25"/>
    </row>
    <row r="45" spans="1:16">
      <c r="A45" s="25" t="s">
        <v>148</v>
      </c>
      <c r="B45" s="23" t="s">
        <v>149</v>
      </c>
      <c r="C45" s="25" t="s">
        <v>217</v>
      </c>
      <c r="F45" s="25" t="s">
        <v>148</v>
      </c>
      <c r="G45" s="23" t="s">
        <v>149</v>
      </c>
      <c r="H45" s="82">
        <v>20</v>
      </c>
      <c r="J45" s="25" t="s">
        <v>148</v>
      </c>
      <c r="K45" s="25" t="s">
        <v>272</v>
      </c>
      <c r="L45" s="23" t="s">
        <v>149</v>
      </c>
      <c r="M45" s="82" t="s">
        <v>217</v>
      </c>
      <c r="N45" s="82">
        <v>20</v>
      </c>
      <c r="O45" s="33">
        <f>P43</f>
        <v>44458</v>
      </c>
      <c r="P45" s="33">
        <f t="shared" si="2"/>
        <v>44478</v>
      </c>
    </row>
    <row r="46" spans="1:16">
      <c r="A46" s="35" t="s">
        <v>135</v>
      </c>
      <c r="B46" s="36" t="s">
        <v>155</v>
      </c>
      <c r="C46" s="25"/>
      <c r="F46" s="35" t="s">
        <v>135</v>
      </c>
      <c r="G46" s="36" t="s">
        <v>155</v>
      </c>
      <c r="H46" s="82"/>
      <c r="J46" s="35" t="s">
        <v>135</v>
      </c>
      <c r="K46" s="35"/>
      <c r="L46" s="36" t="s">
        <v>155</v>
      </c>
      <c r="M46" s="82"/>
      <c r="N46" s="82"/>
      <c r="O46" s="25"/>
      <c r="P46" s="33"/>
    </row>
    <row r="47" spans="1:16" ht="57.6">
      <c r="A47" s="25" t="s">
        <v>156</v>
      </c>
      <c r="B47" s="23" t="s">
        <v>157</v>
      </c>
      <c r="C47" s="25" t="s">
        <v>148</v>
      </c>
      <c r="F47" s="25" t="s">
        <v>156</v>
      </c>
      <c r="G47" s="23" t="s">
        <v>157</v>
      </c>
      <c r="H47" s="82">
        <v>30</v>
      </c>
      <c r="J47" s="25" t="s">
        <v>156</v>
      </c>
      <c r="K47" s="25" t="s">
        <v>273</v>
      </c>
      <c r="L47" s="23" t="s">
        <v>157</v>
      </c>
      <c r="M47" s="82" t="s">
        <v>148</v>
      </c>
      <c r="N47" s="82">
        <v>30</v>
      </c>
      <c r="O47" s="33">
        <f>P45</f>
        <v>44478</v>
      </c>
      <c r="P47" s="33">
        <f t="shared" si="2"/>
        <v>44508</v>
      </c>
    </row>
    <row r="48" spans="1:16" ht="28.9">
      <c r="A48" s="35" t="s">
        <v>138</v>
      </c>
      <c r="B48" s="36" t="s">
        <v>164</v>
      </c>
      <c r="C48" s="25"/>
      <c r="F48" s="35" t="s">
        <v>138</v>
      </c>
      <c r="G48" s="36" t="s">
        <v>164</v>
      </c>
      <c r="H48" s="82"/>
      <c r="J48" s="35" t="s">
        <v>138</v>
      </c>
      <c r="K48" s="35"/>
      <c r="L48" s="36" t="s">
        <v>164</v>
      </c>
      <c r="M48" s="82"/>
      <c r="N48" s="82"/>
      <c r="O48" s="25"/>
      <c r="P48" s="33"/>
    </row>
    <row r="49" spans="1:16" ht="28.9">
      <c r="A49" s="25" t="s">
        <v>168</v>
      </c>
      <c r="B49" s="23" t="s">
        <v>169</v>
      </c>
      <c r="C49" s="25" t="s">
        <v>217</v>
      </c>
      <c r="F49" s="25" t="s">
        <v>168</v>
      </c>
      <c r="G49" s="23" t="s">
        <v>169</v>
      </c>
      <c r="H49" s="82">
        <v>60</v>
      </c>
      <c r="J49" s="25" t="s">
        <v>168</v>
      </c>
      <c r="K49" s="25" t="s">
        <v>274</v>
      </c>
      <c r="L49" s="23" t="s">
        <v>169</v>
      </c>
      <c r="M49" s="82" t="s">
        <v>217</v>
      </c>
      <c r="N49" s="82">
        <v>60</v>
      </c>
      <c r="O49" s="33">
        <f>P43</f>
        <v>44458</v>
      </c>
      <c r="P49" s="33">
        <f t="shared" si="2"/>
        <v>44518</v>
      </c>
    </row>
    <row r="50" spans="1:16">
      <c r="A50" s="25" t="s">
        <v>172</v>
      </c>
      <c r="B50" s="23" t="s">
        <v>173</v>
      </c>
      <c r="C50" s="25" t="s">
        <v>168</v>
      </c>
      <c r="F50" s="25" t="s">
        <v>172</v>
      </c>
      <c r="G50" s="23" t="s">
        <v>173</v>
      </c>
      <c r="H50" s="82">
        <v>30</v>
      </c>
      <c r="J50" s="25" t="s">
        <v>172</v>
      </c>
      <c r="K50" s="25" t="s">
        <v>275</v>
      </c>
      <c r="L50" s="23" t="s">
        <v>173</v>
      </c>
      <c r="M50" s="82" t="s">
        <v>168</v>
      </c>
      <c r="N50" s="82">
        <v>30</v>
      </c>
      <c r="O50" s="33">
        <f>P49</f>
        <v>44518</v>
      </c>
      <c r="P50" s="33">
        <f t="shared" si="2"/>
        <v>44548</v>
      </c>
    </row>
    <row r="51" spans="1:16">
      <c r="A51" s="25" t="s">
        <v>176</v>
      </c>
      <c r="B51" s="23" t="s">
        <v>177</v>
      </c>
      <c r="C51" s="25" t="s">
        <v>172</v>
      </c>
      <c r="F51" s="25" t="s">
        <v>176</v>
      </c>
      <c r="G51" s="23" t="s">
        <v>177</v>
      </c>
      <c r="H51" s="82">
        <v>20</v>
      </c>
      <c r="J51" s="25" t="s">
        <v>176</v>
      </c>
      <c r="K51" s="25" t="s">
        <v>276</v>
      </c>
      <c r="L51" s="23" t="s">
        <v>177</v>
      </c>
      <c r="M51" s="82" t="s">
        <v>172</v>
      </c>
      <c r="N51" s="82">
        <v>20</v>
      </c>
      <c r="O51" s="33">
        <f>P50</f>
        <v>44548</v>
      </c>
      <c r="P51" s="33">
        <f t="shared" si="2"/>
        <v>44568</v>
      </c>
    </row>
    <row r="52" spans="1:16">
      <c r="A52" s="35" t="s">
        <v>186</v>
      </c>
      <c r="B52" s="36" t="s">
        <v>187</v>
      </c>
      <c r="C52" s="25"/>
      <c r="F52" s="35" t="s">
        <v>186</v>
      </c>
      <c r="G52" s="36" t="s">
        <v>187</v>
      </c>
      <c r="H52" s="82"/>
      <c r="J52" s="35" t="s">
        <v>186</v>
      </c>
      <c r="K52" s="35"/>
      <c r="L52" s="36" t="s">
        <v>187</v>
      </c>
      <c r="M52" s="82"/>
      <c r="N52" s="82"/>
      <c r="O52" s="25"/>
      <c r="P52" s="33"/>
    </row>
    <row r="53" spans="1:16">
      <c r="A53" s="25" t="s">
        <v>190</v>
      </c>
      <c r="B53" s="23" t="s">
        <v>191</v>
      </c>
      <c r="C53" s="25" t="s">
        <v>176</v>
      </c>
      <c r="F53" s="25" t="s">
        <v>190</v>
      </c>
      <c r="G53" s="23" t="s">
        <v>191</v>
      </c>
      <c r="H53" s="82">
        <v>5</v>
      </c>
      <c r="J53" s="25" t="s">
        <v>190</v>
      </c>
      <c r="K53" s="25" t="s">
        <v>277</v>
      </c>
      <c r="L53" s="23" t="s">
        <v>191</v>
      </c>
      <c r="M53" s="82" t="s">
        <v>176</v>
      </c>
      <c r="N53" s="82">
        <v>5</v>
      </c>
      <c r="O53" s="33">
        <f>P51</f>
        <v>44568</v>
      </c>
      <c r="P53" s="33">
        <f t="shared" si="2"/>
        <v>44573</v>
      </c>
    </row>
    <row r="54" spans="1:16">
      <c r="A54" s="25" t="s">
        <v>193</v>
      </c>
      <c r="B54" s="23" t="s">
        <v>194</v>
      </c>
      <c r="C54" s="25" t="s">
        <v>190</v>
      </c>
      <c r="F54" s="25" t="s">
        <v>193</v>
      </c>
      <c r="G54" s="23" t="s">
        <v>194</v>
      </c>
      <c r="H54" s="82">
        <v>5</v>
      </c>
      <c r="J54" s="25" t="s">
        <v>193</v>
      </c>
      <c r="K54" s="25" t="s">
        <v>278</v>
      </c>
      <c r="L54" s="23" t="s">
        <v>194</v>
      </c>
      <c r="M54" s="82" t="s">
        <v>190</v>
      </c>
      <c r="N54" s="82">
        <v>5</v>
      </c>
      <c r="O54" s="33">
        <f>P53</f>
        <v>44573</v>
      </c>
      <c r="P54" s="33">
        <f t="shared" si="2"/>
        <v>44578</v>
      </c>
    </row>
    <row r="55" spans="1:16">
      <c r="A55" s="35">
        <v>3.5</v>
      </c>
      <c r="B55" s="36" t="s">
        <v>142</v>
      </c>
      <c r="F55" s="35">
        <v>3.5</v>
      </c>
      <c r="G55" s="36" t="s">
        <v>142</v>
      </c>
      <c r="H55" s="82"/>
      <c r="J55" s="35">
        <v>3.5</v>
      </c>
      <c r="K55" s="35"/>
      <c r="L55" s="36" t="s">
        <v>142</v>
      </c>
      <c r="M55" s="25"/>
      <c r="N55" s="82"/>
      <c r="O55" s="25"/>
      <c r="P55" s="25"/>
    </row>
    <row r="56" spans="1:16">
      <c r="A56" s="25" t="s">
        <v>205</v>
      </c>
      <c r="B56" s="23" t="s">
        <v>206</v>
      </c>
      <c r="C56" s="25" t="s">
        <v>193</v>
      </c>
      <c r="F56" s="25" t="s">
        <v>205</v>
      </c>
      <c r="G56" s="23" t="s">
        <v>206</v>
      </c>
      <c r="H56" s="82">
        <v>40</v>
      </c>
      <c r="J56" s="25" t="s">
        <v>205</v>
      </c>
      <c r="K56" s="25" t="s">
        <v>279</v>
      </c>
      <c r="L56" s="23" t="s">
        <v>206</v>
      </c>
      <c r="M56" s="25" t="s">
        <v>193</v>
      </c>
      <c r="N56" s="82">
        <v>40</v>
      </c>
      <c r="O56" s="33">
        <f>P54</f>
        <v>44578</v>
      </c>
      <c r="P56" s="33">
        <f>O56+N56</f>
        <v>44618</v>
      </c>
    </row>
    <row r="57" spans="1:16">
      <c r="A57" s="25" t="s">
        <v>209</v>
      </c>
      <c r="B57" s="23" t="s">
        <v>194</v>
      </c>
      <c r="C57" s="25" t="s">
        <v>205</v>
      </c>
      <c r="F57" s="25" t="s">
        <v>209</v>
      </c>
      <c r="G57" s="23" t="s">
        <v>194</v>
      </c>
      <c r="H57" s="82">
        <v>5</v>
      </c>
      <c r="J57" s="25" t="s">
        <v>209</v>
      </c>
      <c r="K57" s="25" t="s">
        <v>280</v>
      </c>
      <c r="L57" s="23" t="s">
        <v>194</v>
      </c>
      <c r="M57" s="25" t="s">
        <v>205</v>
      </c>
      <c r="N57" s="82">
        <v>5</v>
      </c>
      <c r="O57" s="33">
        <f>P56</f>
        <v>44618</v>
      </c>
      <c r="P57" s="33">
        <f>O57+N57</f>
        <v>44623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18D6-0D47-4E8B-8C9A-5A2B8DCFC04F}">
  <dimension ref="A1:G57"/>
  <sheetViews>
    <sheetView tabSelected="1" topLeftCell="A18" workbookViewId="0">
      <selection activeCell="D27" sqref="D27"/>
    </sheetView>
  </sheetViews>
  <sheetFormatPr defaultRowHeight="14.45"/>
  <cols>
    <col min="2" max="2" width="9.28515625" customWidth="1"/>
    <col min="3" max="3" width="28.7109375" customWidth="1"/>
    <col min="4" max="4" width="11.42578125" customWidth="1"/>
    <col min="6" max="6" width="13.28515625" customWidth="1"/>
    <col min="7" max="7" width="12.7109375" customWidth="1"/>
  </cols>
  <sheetData>
    <row r="1" spans="1:7">
      <c r="A1" s="27" t="s">
        <v>83</v>
      </c>
      <c r="B1" s="28" t="s">
        <v>232</v>
      </c>
      <c r="C1" s="28" t="s">
        <v>84</v>
      </c>
      <c r="D1" s="74" t="s">
        <v>230</v>
      </c>
      <c r="E1" s="74" t="s">
        <v>231</v>
      </c>
      <c r="F1" s="34" t="s">
        <v>233</v>
      </c>
      <c r="G1" s="34" t="s">
        <v>234</v>
      </c>
    </row>
    <row r="2" spans="1:7">
      <c r="A2" s="17" t="s">
        <v>144</v>
      </c>
      <c r="B2" s="17" t="s">
        <v>235</v>
      </c>
      <c r="C2" s="14" t="s">
        <v>145</v>
      </c>
      <c r="D2" s="32"/>
      <c r="E2" s="32">
        <v>1</v>
      </c>
      <c r="F2" s="33">
        <v>44212</v>
      </c>
      <c r="G2" s="33">
        <f>F2+E2</f>
        <v>44213</v>
      </c>
    </row>
    <row r="3" spans="1:7" ht="43.15">
      <c r="A3" s="17" t="s">
        <v>150</v>
      </c>
      <c r="B3" s="17" t="s">
        <v>236</v>
      </c>
      <c r="C3" s="14" t="s">
        <v>151</v>
      </c>
      <c r="D3" s="32"/>
      <c r="E3" s="32">
        <v>1</v>
      </c>
      <c r="F3" s="33"/>
      <c r="G3" s="25"/>
    </row>
    <row r="4" spans="1:7" ht="28.9">
      <c r="A4" s="27" t="s">
        <v>94</v>
      </c>
      <c r="B4" s="27"/>
      <c r="C4" s="28" t="s">
        <v>95</v>
      </c>
      <c r="D4" s="32"/>
      <c r="E4" s="32"/>
      <c r="F4" s="25"/>
      <c r="G4" s="25"/>
    </row>
    <row r="5" spans="1:7" ht="28.9">
      <c r="A5" s="22" t="s">
        <v>158</v>
      </c>
      <c r="B5" s="22" t="s">
        <v>237</v>
      </c>
      <c r="C5" s="14" t="s">
        <v>159</v>
      </c>
      <c r="D5" s="32" t="s">
        <v>150</v>
      </c>
      <c r="E5" s="32">
        <v>2</v>
      </c>
      <c r="F5" s="33">
        <f>G2</f>
        <v>44213</v>
      </c>
      <c r="G5" s="33">
        <f t="shared" ref="G5:G11" si="0">F5+E5</f>
        <v>44215</v>
      </c>
    </row>
    <row r="6" spans="1:7" ht="28.9">
      <c r="A6" s="22" t="s">
        <v>160</v>
      </c>
      <c r="B6" s="22" t="s">
        <v>238</v>
      </c>
      <c r="C6" s="14" t="s">
        <v>161</v>
      </c>
      <c r="D6" s="32" t="s">
        <v>150</v>
      </c>
      <c r="E6" s="32">
        <v>2</v>
      </c>
      <c r="F6" s="33">
        <v>44213</v>
      </c>
      <c r="G6" s="33">
        <f t="shared" si="0"/>
        <v>44215</v>
      </c>
    </row>
    <row r="7" spans="1:7" ht="43.15">
      <c r="A7" s="22" t="s">
        <v>165</v>
      </c>
      <c r="B7" s="22" t="s">
        <v>240</v>
      </c>
      <c r="C7" s="14" t="s">
        <v>166</v>
      </c>
      <c r="D7" s="32" t="s">
        <v>239</v>
      </c>
      <c r="E7" s="32">
        <v>3</v>
      </c>
      <c r="F7" s="33">
        <f>G5</f>
        <v>44215</v>
      </c>
      <c r="G7" s="33">
        <f t="shared" si="0"/>
        <v>44218</v>
      </c>
    </row>
    <row r="8" spans="1:7" ht="43.15">
      <c r="A8" s="22" t="s">
        <v>170</v>
      </c>
      <c r="B8" s="22" t="s">
        <v>241</v>
      </c>
      <c r="C8" s="14" t="s">
        <v>171</v>
      </c>
      <c r="D8" s="32" t="s">
        <v>165</v>
      </c>
      <c r="E8" s="32">
        <v>3</v>
      </c>
      <c r="F8" s="33">
        <f>G7</f>
        <v>44218</v>
      </c>
      <c r="G8" s="33">
        <f t="shared" si="0"/>
        <v>44221</v>
      </c>
    </row>
    <row r="9" spans="1:7" ht="43.15">
      <c r="A9" s="22" t="s">
        <v>174</v>
      </c>
      <c r="B9" s="22" t="s">
        <v>242</v>
      </c>
      <c r="C9" s="14" t="s">
        <v>175</v>
      </c>
      <c r="D9" s="32" t="s">
        <v>170</v>
      </c>
      <c r="E9" s="32">
        <v>3</v>
      </c>
      <c r="F9" s="33">
        <f>G8</f>
        <v>44221</v>
      </c>
      <c r="G9" s="33">
        <f t="shared" si="0"/>
        <v>44224</v>
      </c>
    </row>
    <row r="10" spans="1:7" ht="43.15">
      <c r="A10" s="22" t="s">
        <v>178</v>
      </c>
      <c r="B10" s="22" t="s">
        <v>243</v>
      </c>
      <c r="C10" s="14" t="s">
        <v>179</v>
      </c>
      <c r="D10" s="32" t="s">
        <v>174</v>
      </c>
      <c r="E10" s="32">
        <v>5</v>
      </c>
      <c r="F10" s="33">
        <f>G9</f>
        <v>44224</v>
      </c>
      <c r="G10" s="33">
        <f t="shared" si="0"/>
        <v>44229</v>
      </c>
    </row>
    <row r="11" spans="1:7">
      <c r="A11" s="22" t="s">
        <v>182</v>
      </c>
      <c r="B11" s="22" t="s">
        <v>244</v>
      </c>
      <c r="C11" s="14" t="s">
        <v>183</v>
      </c>
      <c r="D11" s="32" t="s">
        <v>178</v>
      </c>
      <c r="E11" s="32">
        <v>20</v>
      </c>
      <c r="F11" s="33">
        <f>G10</f>
        <v>44229</v>
      </c>
      <c r="G11" s="33">
        <f t="shared" si="0"/>
        <v>44249</v>
      </c>
    </row>
    <row r="12" spans="1:7">
      <c r="A12" s="27" t="s">
        <v>100</v>
      </c>
      <c r="B12" s="27"/>
      <c r="C12" s="27" t="s">
        <v>192</v>
      </c>
      <c r="D12" s="32"/>
      <c r="E12" s="32"/>
      <c r="F12" s="25"/>
      <c r="G12" s="25"/>
    </row>
    <row r="13" spans="1:7" ht="57.6">
      <c r="A13" s="22" t="s">
        <v>195</v>
      </c>
      <c r="B13" s="22" t="s">
        <v>246</v>
      </c>
      <c r="C13" s="14" t="s">
        <v>196</v>
      </c>
      <c r="D13" s="32" t="s">
        <v>245</v>
      </c>
      <c r="E13" s="32">
        <v>5</v>
      </c>
      <c r="F13" s="33">
        <f>G11</f>
        <v>44249</v>
      </c>
      <c r="G13" s="33">
        <f t="shared" ref="G13:G21" si="1">F13+E13</f>
        <v>44254</v>
      </c>
    </row>
    <row r="14" spans="1:7">
      <c r="A14" s="22" t="s">
        <v>197</v>
      </c>
      <c r="B14" s="22" t="s">
        <v>247</v>
      </c>
      <c r="C14" s="14" t="s">
        <v>198</v>
      </c>
      <c r="D14" s="32" t="s">
        <v>195</v>
      </c>
      <c r="E14" s="32">
        <v>30</v>
      </c>
      <c r="F14" s="33">
        <f>G13</f>
        <v>44254</v>
      </c>
      <c r="G14" s="33">
        <f t="shared" si="1"/>
        <v>44284</v>
      </c>
    </row>
    <row r="15" spans="1:7" ht="28.9">
      <c r="A15" s="22" t="s">
        <v>201</v>
      </c>
      <c r="B15" s="22" t="s">
        <v>248</v>
      </c>
      <c r="C15" s="14" t="s">
        <v>202</v>
      </c>
      <c r="D15" s="32" t="s">
        <v>245</v>
      </c>
      <c r="E15" s="32">
        <v>45</v>
      </c>
      <c r="F15" s="33">
        <f>G11</f>
        <v>44249</v>
      </c>
      <c r="G15" s="33">
        <f t="shared" si="1"/>
        <v>44294</v>
      </c>
    </row>
    <row r="16" spans="1:7" ht="28.9">
      <c r="A16" s="22" t="s">
        <v>207</v>
      </c>
      <c r="B16" s="22" t="s">
        <v>249</v>
      </c>
      <c r="C16" s="14" t="s">
        <v>208</v>
      </c>
      <c r="D16" s="32" t="s">
        <v>201</v>
      </c>
      <c r="E16" s="32">
        <v>5</v>
      </c>
      <c r="F16" s="33">
        <f>G15</f>
        <v>44294</v>
      </c>
      <c r="G16" s="33">
        <f t="shared" si="1"/>
        <v>44299</v>
      </c>
    </row>
    <row r="17" spans="1:7" ht="28.9">
      <c r="A17" s="22" t="s">
        <v>210</v>
      </c>
      <c r="B17" s="22" t="s">
        <v>250</v>
      </c>
      <c r="C17" s="14" t="s">
        <v>211</v>
      </c>
      <c r="D17" s="32" t="s">
        <v>207</v>
      </c>
      <c r="E17" s="32">
        <v>8</v>
      </c>
      <c r="F17" s="33">
        <f>G16</f>
        <v>44299</v>
      </c>
      <c r="G17" s="33">
        <f t="shared" si="1"/>
        <v>44307</v>
      </c>
    </row>
    <row r="18" spans="1:7" ht="28.9">
      <c r="A18" s="22" t="s">
        <v>212</v>
      </c>
      <c r="B18" s="22" t="s">
        <v>251</v>
      </c>
      <c r="C18" s="14" t="s">
        <v>213</v>
      </c>
      <c r="D18" s="32" t="s">
        <v>195</v>
      </c>
      <c r="E18" s="32">
        <v>15</v>
      </c>
      <c r="F18" s="33">
        <f>G14</f>
        <v>44284</v>
      </c>
      <c r="G18" s="33">
        <f t="shared" si="1"/>
        <v>44299</v>
      </c>
    </row>
    <row r="19" spans="1:7" ht="28.9">
      <c r="A19" s="22" t="s">
        <v>215</v>
      </c>
      <c r="B19" s="22" t="s">
        <v>252</v>
      </c>
      <c r="C19" s="14" t="s">
        <v>216</v>
      </c>
      <c r="D19" s="32" t="s">
        <v>195</v>
      </c>
      <c r="E19" s="32">
        <v>15</v>
      </c>
      <c r="F19" s="33">
        <f>G14</f>
        <v>44284</v>
      </c>
      <c r="G19" s="33">
        <f t="shared" si="1"/>
        <v>44299</v>
      </c>
    </row>
    <row r="20" spans="1:7" ht="28.9">
      <c r="A20" s="22" t="s">
        <v>218</v>
      </c>
      <c r="B20" s="22" t="s">
        <v>253</v>
      </c>
      <c r="C20" s="14" t="s">
        <v>219</v>
      </c>
      <c r="D20" s="32" t="s">
        <v>210</v>
      </c>
      <c r="E20" s="32">
        <v>15</v>
      </c>
      <c r="F20" s="33">
        <f>G17</f>
        <v>44307</v>
      </c>
      <c r="G20" s="33">
        <f t="shared" si="1"/>
        <v>44322</v>
      </c>
    </row>
    <row r="21" spans="1:7" ht="28.9">
      <c r="A21" s="22" t="s">
        <v>220</v>
      </c>
      <c r="B21" s="22" t="s">
        <v>255</v>
      </c>
      <c r="C21" s="14" t="s">
        <v>221</v>
      </c>
      <c r="D21" s="32" t="s">
        <v>254</v>
      </c>
      <c r="E21" s="32">
        <v>20</v>
      </c>
      <c r="F21" s="33">
        <f>G20</f>
        <v>44322</v>
      </c>
      <c r="G21" s="33">
        <f t="shared" si="1"/>
        <v>44342</v>
      </c>
    </row>
    <row r="22" spans="1:7">
      <c r="A22" s="27" t="s">
        <v>104</v>
      </c>
      <c r="B22" s="27"/>
      <c r="C22" s="27" t="s">
        <v>105</v>
      </c>
      <c r="D22" s="32"/>
      <c r="E22" s="32"/>
      <c r="F22" s="25"/>
      <c r="G22" s="25"/>
    </row>
    <row r="23" spans="1:7" ht="28.9">
      <c r="A23" s="22" t="s">
        <v>222</v>
      </c>
      <c r="B23" s="22" t="s">
        <v>256</v>
      </c>
      <c r="C23" s="14" t="s">
        <v>223</v>
      </c>
      <c r="D23" s="32" t="s">
        <v>212</v>
      </c>
      <c r="E23" s="32">
        <v>5</v>
      </c>
      <c r="F23" s="33">
        <f>G18</f>
        <v>44299</v>
      </c>
      <c r="G23" s="33">
        <f>F23+E23</f>
        <v>44304</v>
      </c>
    </row>
    <row r="24" spans="1:7" ht="28.9">
      <c r="A24" s="22" t="s">
        <v>224</v>
      </c>
      <c r="B24" s="22" t="s">
        <v>257</v>
      </c>
      <c r="C24" s="14" t="s">
        <v>225</v>
      </c>
      <c r="D24" s="32" t="s">
        <v>215</v>
      </c>
      <c r="E24" s="32">
        <v>5</v>
      </c>
      <c r="F24" s="33">
        <f>G19</f>
        <v>44299</v>
      </c>
      <c r="G24" s="33">
        <f>F24+E24</f>
        <v>44304</v>
      </c>
    </row>
    <row r="25" spans="1:7" ht="28.9">
      <c r="A25" s="22" t="s">
        <v>226</v>
      </c>
      <c r="B25" s="22" t="s">
        <v>258</v>
      </c>
      <c r="C25" s="14" t="s">
        <v>227</v>
      </c>
      <c r="D25" s="32" t="s">
        <v>220</v>
      </c>
      <c r="E25" s="32">
        <v>5</v>
      </c>
      <c r="F25" s="33">
        <f>G21</f>
        <v>44342</v>
      </c>
      <c r="G25" s="33">
        <f>F25+E25</f>
        <v>44347</v>
      </c>
    </row>
    <row r="26" spans="1:7" ht="28.9">
      <c r="A26" s="22" t="s">
        <v>228</v>
      </c>
      <c r="B26" s="22" t="s">
        <v>259</v>
      </c>
      <c r="C26" s="14" t="s">
        <v>229</v>
      </c>
      <c r="D26" s="32" t="s">
        <v>281</v>
      </c>
      <c r="E26" s="32">
        <v>5</v>
      </c>
      <c r="F26" s="33">
        <f>G25</f>
        <v>44347</v>
      </c>
      <c r="G26" s="33">
        <f>F26+E26</f>
        <v>44352</v>
      </c>
    </row>
    <row r="27" spans="1:7" ht="28.9">
      <c r="A27" s="29" t="s">
        <v>110</v>
      </c>
      <c r="B27" s="29"/>
      <c r="C27" s="30" t="s">
        <v>111</v>
      </c>
      <c r="D27" s="32"/>
      <c r="E27" s="32"/>
      <c r="F27" s="25"/>
      <c r="G27" s="33"/>
    </row>
    <row r="28" spans="1:7" ht="28.9">
      <c r="A28" s="31" t="s">
        <v>146</v>
      </c>
      <c r="B28" s="31" t="s">
        <v>260</v>
      </c>
      <c r="C28" s="14" t="s">
        <v>147</v>
      </c>
      <c r="D28" s="32" t="s">
        <v>228</v>
      </c>
      <c r="E28" s="32">
        <v>8</v>
      </c>
      <c r="F28" s="33">
        <f>G26</f>
        <v>44352</v>
      </c>
      <c r="G28" s="33">
        <f t="shared" ref="G28:G54" si="2">F28+E28</f>
        <v>44360</v>
      </c>
    </row>
    <row r="29" spans="1:7" ht="28.9">
      <c r="A29" s="31" t="s">
        <v>152</v>
      </c>
      <c r="B29" s="31" t="s">
        <v>261</v>
      </c>
      <c r="C29" s="14" t="s">
        <v>153</v>
      </c>
      <c r="D29" s="32" t="s">
        <v>146</v>
      </c>
      <c r="E29" s="32">
        <v>10</v>
      </c>
      <c r="F29" s="33">
        <f>G28</f>
        <v>44360</v>
      </c>
      <c r="G29" s="33">
        <f t="shared" si="2"/>
        <v>44370</v>
      </c>
    </row>
    <row r="30" spans="1:7" ht="28.9">
      <c r="A30" s="31" t="s">
        <v>154</v>
      </c>
      <c r="B30" s="31" t="s">
        <v>262</v>
      </c>
      <c r="C30" s="14" t="s">
        <v>149</v>
      </c>
      <c r="D30" s="32" t="s">
        <v>152</v>
      </c>
      <c r="E30" s="32">
        <v>8</v>
      </c>
      <c r="F30" s="33">
        <f>G29</f>
        <v>44370</v>
      </c>
      <c r="G30" s="33">
        <f t="shared" si="2"/>
        <v>44378</v>
      </c>
    </row>
    <row r="31" spans="1:7" ht="28.9">
      <c r="A31" s="29" t="s">
        <v>115</v>
      </c>
      <c r="B31" s="29"/>
      <c r="C31" s="30" t="s">
        <v>116</v>
      </c>
      <c r="D31" s="32"/>
      <c r="E31" s="32"/>
      <c r="F31" s="25"/>
      <c r="G31" s="33"/>
    </row>
    <row r="32" spans="1:7" ht="43.15">
      <c r="A32" s="31" t="s">
        <v>162</v>
      </c>
      <c r="B32" s="31" t="s">
        <v>263</v>
      </c>
      <c r="C32" s="14" t="s">
        <v>163</v>
      </c>
      <c r="D32" s="32" t="s">
        <v>154</v>
      </c>
      <c r="E32" s="32">
        <v>20</v>
      </c>
      <c r="F32" s="33">
        <f>G30</f>
        <v>44378</v>
      </c>
      <c r="G32" s="33">
        <f t="shared" si="2"/>
        <v>44398</v>
      </c>
    </row>
    <row r="33" spans="1:7" ht="100.9">
      <c r="A33" s="31" t="s">
        <v>167</v>
      </c>
      <c r="B33" s="31" t="s">
        <v>264</v>
      </c>
      <c r="C33" s="14" t="s">
        <v>157</v>
      </c>
      <c r="D33" s="32" t="s">
        <v>162</v>
      </c>
      <c r="E33" s="32">
        <v>8</v>
      </c>
      <c r="F33" s="33">
        <f>G32</f>
        <v>44398</v>
      </c>
      <c r="G33" s="33">
        <f t="shared" si="2"/>
        <v>44406</v>
      </c>
    </row>
    <row r="34" spans="1:7">
      <c r="A34" s="29" t="s">
        <v>120</v>
      </c>
      <c r="B34" s="29"/>
      <c r="C34" s="29" t="s">
        <v>121</v>
      </c>
      <c r="D34" s="32"/>
      <c r="E34" s="32"/>
      <c r="F34" s="25"/>
      <c r="G34" s="33"/>
    </row>
    <row r="35" spans="1:7" ht="43.15">
      <c r="A35" s="31" t="s">
        <v>180</v>
      </c>
      <c r="B35" s="31" t="s">
        <v>265</v>
      </c>
      <c r="C35" s="14" t="s">
        <v>181</v>
      </c>
      <c r="D35" s="32" t="s">
        <v>104</v>
      </c>
      <c r="E35" s="32">
        <v>1</v>
      </c>
      <c r="F35" s="33">
        <f>G26</f>
        <v>44352</v>
      </c>
      <c r="G35" s="33">
        <f t="shared" si="2"/>
        <v>44353</v>
      </c>
    </row>
    <row r="36" spans="1:7" ht="43.15">
      <c r="A36" s="31" t="s">
        <v>184</v>
      </c>
      <c r="B36" s="31" t="s">
        <v>266</v>
      </c>
      <c r="C36" s="14" t="s">
        <v>185</v>
      </c>
      <c r="D36" s="32" t="s">
        <v>180</v>
      </c>
      <c r="E36" s="32">
        <v>5</v>
      </c>
      <c r="F36" s="33">
        <f>G35</f>
        <v>44353</v>
      </c>
      <c r="G36" s="33">
        <f t="shared" si="2"/>
        <v>44358</v>
      </c>
    </row>
    <row r="37" spans="1:7" ht="72">
      <c r="A37" s="31" t="s">
        <v>188</v>
      </c>
      <c r="B37" s="31" t="s">
        <v>267</v>
      </c>
      <c r="C37" s="14" t="s">
        <v>189</v>
      </c>
      <c r="D37" s="32" t="s">
        <v>184</v>
      </c>
      <c r="E37" s="32">
        <v>10</v>
      </c>
      <c r="F37" s="33">
        <f>G36</f>
        <v>44358</v>
      </c>
      <c r="G37" s="33">
        <f t="shared" si="2"/>
        <v>44368</v>
      </c>
    </row>
    <row r="38" spans="1:7">
      <c r="A38" s="29" t="s">
        <v>125</v>
      </c>
      <c r="B38" s="29"/>
      <c r="C38" s="29" t="s">
        <v>126</v>
      </c>
      <c r="D38" s="32"/>
      <c r="E38" s="32"/>
      <c r="F38" s="25"/>
      <c r="G38" s="33"/>
    </row>
    <row r="39" spans="1:7" ht="28.9">
      <c r="A39" s="31" t="s">
        <v>199</v>
      </c>
      <c r="B39" s="31" t="s">
        <v>268</v>
      </c>
      <c r="C39" s="14" t="s">
        <v>200</v>
      </c>
      <c r="D39" s="32" t="s">
        <v>188</v>
      </c>
      <c r="E39" s="32">
        <v>60</v>
      </c>
      <c r="F39" s="33">
        <f>G37</f>
        <v>44368</v>
      </c>
      <c r="G39" s="33">
        <f t="shared" si="2"/>
        <v>44428</v>
      </c>
    </row>
    <row r="40" spans="1:7" ht="28.9">
      <c r="A40" s="31" t="s">
        <v>203</v>
      </c>
      <c r="B40" s="31" t="s">
        <v>269</v>
      </c>
      <c r="C40" s="14" t="s">
        <v>204</v>
      </c>
      <c r="D40" s="32" t="s">
        <v>199</v>
      </c>
      <c r="E40" s="32">
        <v>20</v>
      </c>
      <c r="F40" s="33">
        <f>G39</f>
        <v>44428</v>
      </c>
      <c r="G40" s="33">
        <f t="shared" si="2"/>
        <v>44448</v>
      </c>
    </row>
    <row r="41" spans="1:7">
      <c r="A41" s="29" t="s">
        <v>129</v>
      </c>
      <c r="B41" s="29"/>
      <c r="C41" s="29" t="s">
        <v>130</v>
      </c>
      <c r="D41" s="32"/>
      <c r="E41" s="32"/>
      <c r="F41" s="25"/>
      <c r="G41" s="33"/>
    </row>
    <row r="42" spans="1:7" ht="28.9">
      <c r="A42" s="31" t="s">
        <v>214</v>
      </c>
      <c r="B42" s="31" t="s">
        <v>270</v>
      </c>
      <c r="C42" s="14" t="s">
        <v>191</v>
      </c>
      <c r="D42" s="32" t="s">
        <v>203</v>
      </c>
      <c r="E42" s="32">
        <v>5</v>
      </c>
      <c r="F42" s="33">
        <f>G40</f>
        <v>44448</v>
      </c>
      <c r="G42" s="33">
        <f t="shared" si="2"/>
        <v>44453</v>
      </c>
    </row>
    <row r="43" spans="1:7" ht="28.9">
      <c r="A43" s="31" t="s">
        <v>217</v>
      </c>
      <c r="B43" s="31" t="s">
        <v>271</v>
      </c>
      <c r="C43" s="14" t="s">
        <v>194</v>
      </c>
      <c r="D43" s="32" t="s">
        <v>214</v>
      </c>
      <c r="E43" s="32">
        <v>5</v>
      </c>
      <c r="F43" s="33">
        <f>G42</f>
        <v>44453</v>
      </c>
      <c r="G43" s="33">
        <f t="shared" si="2"/>
        <v>44458</v>
      </c>
    </row>
    <row r="44" spans="1:7" ht="28.9">
      <c r="A44" s="35" t="s">
        <v>132</v>
      </c>
      <c r="B44" s="35"/>
      <c r="C44" s="36" t="s">
        <v>133</v>
      </c>
      <c r="D44" s="82"/>
      <c r="E44" s="82"/>
      <c r="F44" s="25"/>
      <c r="G44" s="25"/>
    </row>
    <row r="45" spans="1:7" ht="28.9">
      <c r="A45" s="25" t="s">
        <v>148</v>
      </c>
      <c r="B45" s="25" t="s">
        <v>272</v>
      </c>
      <c r="C45" s="23" t="s">
        <v>149</v>
      </c>
      <c r="D45" s="82" t="s">
        <v>217</v>
      </c>
      <c r="E45" s="82">
        <v>20</v>
      </c>
      <c r="F45" s="33">
        <f>G43</f>
        <v>44458</v>
      </c>
      <c r="G45" s="33">
        <f t="shared" si="2"/>
        <v>44478</v>
      </c>
    </row>
    <row r="46" spans="1:7" ht="28.9">
      <c r="A46" s="35" t="s">
        <v>135</v>
      </c>
      <c r="B46" s="35"/>
      <c r="C46" s="36" t="s">
        <v>155</v>
      </c>
      <c r="D46" s="82"/>
      <c r="E46" s="82"/>
      <c r="F46" s="25"/>
      <c r="G46" s="33"/>
    </row>
    <row r="47" spans="1:7" ht="100.9">
      <c r="A47" s="25" t="s">
        <v>156</v>
      </c>
      <c r="B47" s="25" t="s">
        <v>273</v>
      </c>
      <c r="C47" s="23" t="s">
        <v>157</v>
      </c>
      <c r="D47" s="82" t="s">
        <v>148</v>
      </c>
      <c r="E47" s="82">
        <v>30</v>
      </c>
      <c r="F47" s="33">
        <f>G45</f>
        <v>44478</v>
      </c>
      <c r="G47" s="33">
        <f t="shared" si="2"/>
        <v>44508</v>
      </c>
    </row>
    <row r="48" spans="1:7" ht="43.15">
      <c r="A48" s="35" t="s">
        <v>138</v>
      </c>
      <c r="B48" s="35"/>
      <c r="C48" s="36" t="s">
        <v>164</v>
      </c>
      <c r="D48" s="82"/>
      <c r="E48" s="82"/>
      <c r="F48" s="25"/>
      <c r="G48" s="33"/>
    </row>
    <row r="49" spans="1:7" ht="28.9">
      <c r="A49" s="25" t="s">
        <v>168</v>
      </c>
      <c r="B49" s="25" t="s">
        <v>274</v>
      </c>
      <c r="C49" s="23" t="s">
        <v>169</v>
      </c>
      <c r="D49" s="82" t="s">
        <v>217</v>
      </c>
      <c r="E49" s="82">
        <v>60</v>
      </c>
      <c r="F49" s="33">
        <f>G43</f>
        <v>44458</v>
      </c>
      <c r="G49" s="33">
        <f t="shared" si="2"/>
        <v>44518</v>
      </c>
    </row>
    <row r="50" spans="1:7" ht="28.9">
      <c r="A50" s="25" t="s">
        <v>172</v>
      </c>
      <c r="B50" s="25" t="s">
        <v>275</v>
      </c>
      <c r="C50" s="23" t="s">
        <v>173</v>
      </c>
      <c r="D50" s="82" t="s">
        <v>168</v>
      </c>
      <c r="E50" s="82">
        <v>30</v>
      </c>
      <c r="F50" s="33">
        <f>G49</f>
        <v>44518</v>
      </c>
      <c r="G50" s="33">
        <f t="shared" si="2"/>
        <v>44548</v>
      </c>
    </row>
    <row r="51" spans="1:7">
      <c r="A51" s="25" t="s">
        <v>176</v>
      </c>
      <c r="B51" s="25" t="s">
        <v>276</v>
      </c>
      <c r="C51" s="23" t="s">
        <v>177</v>
      </c>
      <c r="D51" s="82" t="s">
        <v>172</v>
      </c>
      <c r="E51" s="82">
        <v>20</v>
      </c>
      <c r="F51" s="33">
        <f>G50</f>
        <v>44548</v>
      </c>
      <c r="G51" s="33">
        <f t="shared" si="2"/>
        <v>44568</v>
      </c>
    </row>
    <row r="52" spans="1:7" ht="28.9">
      <c r="A52" s="35" t="s">
        <v>186</v>
      </c>
      <c r="B52" s="35"/>
      <c r="C52" s="36" t="s">
        <v>187</v>
      </c>
      <c r="D52" s="82"/>
      <c r="E52" s="82"/>
      <c r="F52" s="25"/>
      <c r="G52" s="33"/>
    </row>
    <row r="53" spans="1:7" ht="28.9">
      <c r="A53" s="25" t="s">
        <v>190</v>
      </c>
      <c r="B53" s="25" t="s">
        <v>277</v>
      </c>
      <c r="C53" s="23" t="s">
        <v>191</v>
      </c>
      <c r="D53" s="82" t="s">
        <v>176</v>
      </c>
      <c r="E53" s="82">
        <v>5</v>
      </c>
      <c r="F53" s="33">
        <f>G51</f>
        <v>44568</v>
      </c>
      <c r="G53" s="33">
        <f t="shared" si="2"/>
        <v>44573</v>
      </c>
    </row>
    <row r="54" spans="1:7" ht="28.9">
      <c r="A54" s="25" t="s">
        <v>193</v>
      </c>
      <c r="B54" s="25" t="s">
        <v>278</v>
      </c>
      <c r="C54" s="23" t="s">
        <v>194</v>
      </c>
      <c r="D54" s="82" t="s">
        <v>190</v>
      </c>
      <c r="E54" s="82">
        <v>5</v>
      </c>
      <c r="F54" s="33">
        <f>G53</f>
        <v>44573</v>
      </c>
      <c r="G54" s="33">
        <f t="shared" si="2"/>
        <v>44578</v>
      </c>
    </row>
    <row r="55" spans="1:7" ht="28.9">
      <c r="A55" s="35">
        <v>3.5</v>
      </c>
      <c r="B55" s="35"/>
      <c r="C55" s="36" t="s">
        <v>142</v>
      </c>
      <c r="D55" s="25"/>
      <c r="E55" s="82"/>
      <c r="F55" s="25"/>
      <c r="G55" s="25"/>
    </row>
    <row r="56" spans="1:7" ht="28.9">
      <c r="A56" s="25" t="s">
        <v>205</v>
      </c>
      <c r="B56" s="25" t="s">
        <v>279</v>
      </c>
      <c r="C56" s="23" t="s">
        <v>206</v>
      </c>
      <c r="D56" s="25" t="s">
        <v>193</v>
      </c>
      <c r="E56" s="82">
        <v>40</v>
      </c>
      <c r="F56" s="33">
        <f>G54</f>
        <v>44578</v>
      </c>
      <c r="G56" s="33">
        <f>F56+E56</f>
        <v>44618</v>
      </c>
    </row>
    <row r="57" spans="1:7" ht="28.9">
      <c r="A57" s="25" t="s">
        <v>209</v>
      </c>
      <c r="B57" s="25" t="s">
        <v>280</v>
      </c>
      <c r="C57" s="23" t="s">
        <v>194</v>
      </c>
      <c r="D57" s="25" t="s">
        <v>205</v>
      </c>
      <c r="E57" s="82">
        <v>5</v>
      </c>
      <c r="F57" s="33">
        <f>G56</f>
        <v>44618</v>
      </c>
      <c r="G57" s="33">
        <f>F57+E57</f>
        <v>44623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B92-D7E4-4C81-A0BB-D19906B0EA3D}">
  <dimension ref="A1:S65"/>
  <sheetViews>
    <sheetView workbookViewId="0">
      <pane xSplit="2" ySplit="2" topLeftCell="H53" activePane="bottomRight" state="frozen"/>
      <selection pane="bottomRight" activeCell="C58" sqref="C58:R59"/>
      <selection pane="bottomLeft" activeCell="A3" sqref="A3"/>
      <selection pane="topRight" activeCell="C1" sqref="C1"/>
    </sheetView>
  </sheetViews>
  <sheetFormatPr defaultRowHeight="14.45"/>
  <cols>
    <col min="2" max="2" width="48.28515625" customWidth="1"/>
    <col min="3" max="3" width="7.5703125" customWidth="1"/>
    <col min="4" max="4" width="7.28515625" customWidth="1"/>
    <col min="5" max="5" width="9.5703125" customWidth="1"/>
    <col min="6" max="6" width="8.28515625" customWidth="1"/>
    <col min="7" max="7" width="10.28515625" customWidth="1"/>
    <col min="8" max="8" width="9.28515625" customWidth="1"/>
    <col min="9" max="9" width="10.28515625" customWidth="1"/>
    <col min="10" max="10" width="8.42578125" customWidth="1"/>
    <col min="11" max="11" width="9.85546875" customWidth="1"/>
    <col min="12" max="12" width="10.28515625" customWidth="1"/>
    <col min="13" max="13" width="6.7109375" customWidth="1"/>
    <col min="14" max="14" width="6.5703125" customWidth="1"/>
    <col min="15" max="15" width="9" customWidth="1"/>
    <col min="16" max="16" width="7.140625" customWidth="1"/>
    <col min="17" max="17" width="7.42578125" customWidth="1"/>
  </cols>
  <sheetData>
    <row r="1" spans="1:18" ht="24.6" customHeight="1">
      <c r="C1" s="96" t="s">
        <v>282</v>
      </c>
      <c r="D1" s="96"/>
      <c r="E1" s="96"/>
      <c r="F1" s="96"/>
      <c r="G1" s="96"/>
      <c r="H1" s="96"/>
      <c r="I1" s="96"/>
      <c r="J1" s="98" t="s">
        <v>283</v>
      </c>
      <c r="K1" s="99"/>
      <c r="L1" s="96" t="s">
        <v>284</v>
      </c>
      <c r="M1" s="96"/>
      <c r="N1" s="96"/>
      <c r="O1" s="96"/>
      <c r="P1" s="96" t="s">
        <v>285</v>
      </c>
      <c r="Q1" s="96"/>
      <c r="R1" s="96"/>
    </row>
    <row r="2" spans="1:18" ht="43.15">
      <c r="C2" s="47" t="s">
        <v>286</v>
      </c>
      <c r="D2" s="47" t="s">
        <v>287</v>
      </c>
      <c r="E2" s="47" t="s">
        <v>288</v>
      </c>
      <c r="F2" s="47" t="s">
        <v>289</v>
      </c>
      <c r="G2" s="47" t="s">
        <v>290</v>
      </c>
      <c r="H2" s="47" t="s">
        <v>291</v>
      </c>
      <c r="I2" s="47" t="s">
        <v>292</v>
      </c>
      <c r="J2" s="47" t="s">
        <v>293</v>
      </c>
      <c r="K2" s="47" t="s">
        <v>294</v>
      </c>
      <c r="L2" s="47" t="s">
        <v>295</v>
      </c>
      <c r="M2" s="47" t="s">
        <v>296</v>
      </c>
      <c r="N2" s="47" t="s">
        <v>297</v>
      </c>
      <c r="O2" s="47" t="s">
        <v>298</v>
      </c>
      <c r="P2" s="47" t="s">
        <v>299</v>
      </c>
      <c r="Q2" s="47" t="s">
        <v>300</v>
      </c>
      <c r="R2" s="47" t="s">
        <v>301</v>
      </c>
    </row>
    <row r="3" spans="1:18">
      <c r="A3" s="27" t="s">
        <v>83</v>
      </c>
      <c r="B3" s="38" t="s">
        <v>84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>
      <c r="A4" s="17" t="s">
        <v>144</v>
      </c>
      <c r="B4" s="39" t="s">
        <v>145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 t="s">
        <v>302</v>
      </c>
      <c r="Q4" s="25" t="s">
        <v>303</v>
      </c>
      <c r="R4" s="25"/>
    </row>
    <row r="5" spans="1:18" ht="28.9">
      <c r="A5" s="17" t="s">
        <v>150</v>
      </c>
      <c r="B5" s="39" t="s">
        <v>151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>
      <c r="A6" s="27" t="s">
        <v>94</v>
      </c>
      <c r="B6" s="38" t="s">
        <v>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>
      <c r="A7" s="22" t="s">
        <v>158</v>
      </c>
      <c r="B7" s="39" t="s">
        <v>159</v>
      </c>
      <c r="C7" s="25" t="s">
        <v>235</v>
      </c>
      <c r="D7" s="25" t="s">
        <v>237</v>
      </c>
      <c r="E7" s="25" t="s">
        <v>246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ht="28.9">
      <c r="A8" s="22" t="s">
        <v>160</v>
      </c>
      <c r="B8" s="39" t="s">
        <v>161</v>
      </c>
      <c r="C8" s="25" t="s">
        <v>236</v>
      </c>
      <c r="D8" s="25" t="s">
        <v>238</v>
      </c>
      <c r="E8" s="25" t="s">
        <v>246</v>
      </c>
      <c r="F8" s="25"/>
      <c r="G8" s="25"/>
      <c r="H8" s="25" t="s">
        <v>263</v>
      </c>
      <c r="I8" s="25" t="s">
        <v>265</v>
      </c>
      <c r="J8" s="25"/>
      <c r="K8" s="25"/>
      <c r="L8" s="25"/>
      <c r="M8" s="25"/>
      <c r="N8" s="25"/>
      <c r="O8" s="25"/>
      <c r="P8" s="25"/>
      <c r="Q8" s="25"/>
      <c r="R8" s="25"/>
    </row>
    <row r="9" spans="1:18" ht="28.9">
      <c r="A9" s="22" t="s">
        <v>165</v>
      </c>
      <c r="B9" s="39" t="s">
        <v>166</v>
      </c>
      <c r="C9" s="25"/>
      <c r="D9" s="25"/>
      <c r="E9" s="25"/>
      <c r="F9" s="25" t="s">
        <v>256</v>
      </c>
      <c r="G9" s="25" t="s">
        <v>260</v>
      </c>
      <c r="H9" s="25"/>
      <c r="I9" s="25" t="s">
        <v>265</v>
      </c>
      <c r="J9" s="25"/>
      <c r="K9" s="25"/>
      <c r="L9" s="25"/>
      <c r="M9" s="25"/>
      <c r="N9" s="25"/>
      <c r="O9" s="25"/>
      <c r="P9" s="25"/>
      <c r="Q9" s="25"/>
      <c r="R9" s="25"/>
    </row>
    <row r="10" spans="1:18" ht="28.9">
      <c r="A10" s="22" t="s">
        <v>170</v>
      </c>
      <c r="B10" s="39" t="s">
        <v>171</v>
      </c>
      <c r="C10" s="25"/>
      <c r="D10" s="25" t="s">
        <v>237</v>
      </c>
      <c r="E10" s="25"/>
      <c r="F10" s="25"/>
      <c r="G10" s="25"/>
      <c r="H10" s="25"/>
      <c r="I10" s="25" t="s">
        <v>266</v>
      </c>
      <c r="J10" s="25"/>
      <c r="K10" s="25"/>
      <c r="L10" s="25"/>
      <c r="M10" s="25"/>
      <c r="N10" s="25"/>
      <c r="O10" s="25"/>
      <c r="P10" s="25"/>
      <c r="Q10" s="25"/>
      <c r="R10" s="25"/>
    </row>
    <row r="11" spans="1:18" ht="28.9">
      <c r="A11" s="22" t="s">
        <v>174</v>
      </c>
      <c r="B11" s="39" t="s">
        <v>175</v>
      </c>
      <c r="C11" s="25"/>
      <c r="D11" s="25" t="s">
        <v>238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ht="28.9">
      <c r="A12" s="22" t="s">
        <v>178</v>
      </c>
      <c r="B12" s="39" t="s">
        <v>179</v>
      </c>
      <c r="C12" s="25"/>
      <c r="D12" s="25"/>
      <c r="E12" s="25" t="s">
        <v>246</v>
      </c>
      <c r="F12" s="25" t="s">
        <v>256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>
      <c r="A13" s="22" t="s">
        <v>182</v>
      </c>
      <c r="B13" s="39" t="s">
        <v>183</v>
      </c>
      <c r="C13" s="25"/>
      <c r="D13" s="25"/>
      <c r="E13" s="25" t="s">
        <v>247</v>
      </c>
      <c r="F13" s="25" t="s">
        <v>256</v>
      </c>
      <c r="G13" s="25"/>
      <c r="H13" s="25"/>
      <c r="I13" s="25"/>
      <c r="J13" s="25"/>
      <c r="K13" s="25" t="s">
        <v>304</v>
      </c>
      <c r="L13" s="25"/>
      <c r="M13" s="25"/>
      <c r="N13" s="25"/>
      <c r="O13" s="25"/>
      <c r="P13" s="25"/>
      <c r="Q13" s="25"/>
      <c r="R13" s="25"/>
    </row>
    <row r="14" spans="1:18">
      <c r="A14" s="27" t="s">
        <v>100</v>
      </c>
      <c r="B14" s="40" t="s">
        <v>192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28.9">
      <c r="A15" s="22" t="s">
        <v>195</v>
      </c>
      <c r="B15" s="39" t="s">
        <v>196</v>
      </c>
      <c r="C15" s="25" t="s">
        <v>235</v>
      </c>
      <c r="D15" s="25"/>
      <c r="E15" s="25"/>
      <c r="F15" s="25"/>
      <c r="G15" s="25"/>
      <c r="H15" s="25"/>
      <c r="I15" s="25"/>
      <c r="J15" s="25" cm="1">
        <f t="array" ref="J15">SUMPRODUCT(1/COUNTIF(C15:I15,C15:I15&amp;""))</f>
        <v>2.0000000000000004</v>
      </c>
      <c r="K15" s="25"/>
      <c r="L15" s="25"/>
      <c r="M15" s="25"/>
      <c r="N15" s="25"/>
      <c r="O15" s="25" cm="1">
        <f t="array" ref="O15">SUMPRODUCT(1/COUNTIF(C15:I15,C15:I15&amp;""))</f>
        <v>2.0000000000000004</v>
      </c>
      <c r="P15" s="25"/>
      <c r="Q15" s="25"/>
      <c r="R15" s="25" t="s">
        <v>305</v>
      </c>
    </row>
    <row r="16" spans="1:18">
      <c r="A16" s="22" t="s">
        <v>197</v>
      </c>
      <c r="B16" s="39" t="s">
        <v>198</v>
      </c>
      <c r="C16" s="25"/>
      <c r="D16" s="25" t="s">
        <v>237</v>
      </c>
      <c r="E16" s="25"/>
      <c r="F16" s="25"/>
      <c r="G16" s="25"/>
      <c r="H16" s="25"/>
      <c r="I16" s="25"/>
      <c r="J16" s="25" cm="1">
        <f t="array" ref="J16">SUMPRODUCT(1/COUNTIF(C16:I16,C16:I16&amp;""))</f>
        <v>2.0000000000000004</v>
      </c>
      <c r="K16" s="25"/>
      <c r="L16" s="25"/>
      <c r="M16" s="25"/>
      <c r="N16" s="25"/>
      <c r="O16" s="25" cm="1">
        <f t="array" ref="O16">SUMPRODUCT(1/COUNTIF(C16:I16,C16:I16&amp;""))</f>
        <v>2.0000000000000004</v>
      </c>
      <c r="P16" s="25"/>
      <c r="Q16" s="25"/>
      <c r="R16" s="25" t="s">
        <v>306</v>
      </c>
    </row>
    <row r="17" spans="1:18">
      <c r="A17" s="22" t="s">
        <v>201</v>
      </c>
      <c r="B17" s="39" t="s">
        <v>202</v>
      </c>
      <c r="C17" s="25"/>
      <c r="D17" s="25"/>
      <c r="E17" s="25" t="s">
        <v>246</v>
      </c>
      <c r="F17" s="25"/>
      <c r="G17" s="25"/>
      <c r="H17" s="25" t="s">
        <v>263</v>
      </c>
      <c r="I17" s="25" t="s">
        <v>265</v>
      </c>
      <c r="J17" s="25" cm="1">
        <f t="array" ref="J17">SUMPRODUCT(1/COUNTIF(C17:I17,C17:I17&amp;""))</f>
        <v>4</v>
      </c>
      <c r="K17" s="25" t="s">
        <v>304</v>
      </c>
      <c r="L17" s="25" t="s">
        <v>307</v>
      </c>
      <c r="M17" s="25" t="s">
        <v>307</v>
      </c>
      <c r="N17" s="25" t="s">
        <v>308</v>
      </c>
      <c r="O17" s="25" cm="1">
        <f t="array" ref="O17">SUMPRODUCT(1/COUNTIF(C17:I17,C17:I17&amp;""))</f>
        <v>4</v>
      </c>
      <c r="P17" s="25"/>
      <c r="Q17" s="25"/>
      <c r="R17" s="25" t="s">
        <v>306</v>
      </c>
    </row>
    <row r="18" spans="1:18">
      <c r="A18" s="22" t="s">
        <v>207</v>
      </c>
      <c r="B18" s="39" t="s">
        <v>208</v>
      </c>
      <c r="C18" s="25"/>
      <c r="D18" s="25" t="s">
        <v>237</v>
      </c>
      <c r="E18" s="25" t="s">
        <v>246</v>
      </c>
      <c r="F18" s="25"/>
      <c r="G18" s="25"/>
      <c r="H18" s="25" t="s">
        <v>263</v>
      </c>
      <c r="I18" s="25" t="s">
        <v>266</v>
      </c>
      <c r="J18" s="25" cm="1">
        <f t="array" ref="J18">SUMPRODUCT(1/COUNTIF(C18:I18,C18:I18&amp;""))</f>
        <v>5</v>
      </c>
      <c r="K18" s="25" t="s">
        <v>304</v>
      </c>
      <c r="L18" s="25" t="s">
        <v>307</v>
      </c>
      <c r="M18" s="25" t="s">
        <v>307</v>
      </c>
      <c r="N18" s="25" t="s">
        <v>308</v>
      </c>
      <c r="O18" s="25" cm="1">
        <f t="array" ref="O18">SUMPRODUCT(1/COUNTIF(C18:I18,C18:I18&amp;""))</f>
        <v>5</v>
      </c>
      <c r="P18" s="25"/>
      <c r="Q18" s="25"/>
      <c r="R18" s="25" t="s">
        <v>306</v>
      </c>
    </row>
    <row r="19" spans="1:18">
      <c r="A19" s="22" t="s">
        <v>210</v>
      </c>
      <c r="B19" s="39" t="s">
        <v>211</v>
      </c>
      <c r="C19" s="25"/>
      <c r="D19" s="25"/>
      <c r="E19" s="25"/>
      <c r="F19" s="25"/>
      <c r="G19" s="25"/>
      <c r="H19" s="25"/>
      <c r="I19" s="25" t="s">
        <v>266</v>
      </c>
      <c r="J19" s="25" cm="1">
        <f t="array" ref="J19">SUMPRODUCT(1/COUNTIF(C19:I19,C19:I19&amp;""))</f>
        <v>2</v>
      </c>
      <c r="K19" s="25"/>
      <c r="L19" s="25" t="s">
        <v>307</v>
      </c>
      <c r="M19" s="25" t="s">
        <v>307</v>
      </c>
      <c r="N19" s="25" t="s">
        <v>308</v>
      </c>
      <c r="O19" s="25" cm="1">
        <f t="array" ref="O19">SUMPRODUCT(1/COUNTIF(C19:I19,C19:I19&amp;""))</f>
        <v>2</v>
      </c>
      <c r="P19" s="25"/>
      <c r="Q19" s="25"/>
      <c r="R19" s="25" t="s">
        <v>306</v>
      </c>
    </row>
    <row r="20" spans="1:18">
      <c r="A20" s="22" t="s">
        <v>212</v>
      </c>
      <c r="B20" s="39" t="s">
        <v>213</v>
      </c>
      <c r="C20" s="25" t="s">
        <v>236</v>
      </c>
      <c r="D20" s="25" t="s">
        <v>238</v>
      </c>
      <c r="E20" s="25"/>
      <c r="F20" s="25"/>
      <c r="G20" s="25"/>
      <c r="H20" s="25"/>
      <c r="I20" s="25"/>
      <c r="J20" s="25" cm="1">
        <f t="array" ref="J20">SUMPRODUCT(1/COUNTIF(C20:I20,C20:I20&amp;""))</f>
        <v>3.0000000000000009</v>
      </c>
      <c r="K20" s="25"/>
      <c r="L20" s="25"/>
      <c r="M20" s="25"/>
      <c r="N20" s="25"/>
      <c r="O20" s="25" cm="1">
        <f t="array" ref="O20">SUMPRODUCT(1/COUNTIF(C20:I20,C20:I20&amp;""))</f>
        <v>3.0000000000000009</v>
      </c>
      <c r="P20" s="25"/>
      <c r="Q20" s="25"/>
      <c r="R20" s="25" t="s">
        <v>306</v>
      </c>
    </row>
    <row r="21" spans="1:18" ht="28.9">
      <c r="A21" s="22" t="s">
        <v>215</v>
      </c>
      <c r="B21" s="39" t="s">
        <v>216</v>
      </c>
      <c r="C21" s="25" t="s">
        <v>235</v>
      </c>
      <c r="D21" s="25" t="s">
        <v>237</v>
      </c>
      <c r="E21" s="25"/>
      <c r="F21" s="25"/>
      <c r="G21" s="25"/>
      <c r="H21" s="25"/>
      <c r="I21" s="25"/>
      <c r="J21" s="25" cm="1">
        <f t="array" ref="J21">SUMPRODUCT(1/COUNTIF(C21:I21,C21:I21&amp;""))</f>
        <v>3.0000000000000009</v>
      </c>
      <c r="K21" s="25"/>
      <c r="L21" s="25"/>
      <c r="M21" s="25"/>
      <c r="N21" s="25"/>
      <c r="O21" s="25" cm="1">
        <f t="array" ref="O21">SUMPRODUCT(1/COUNTIF(C21:I21,C21:I21&amp;""))</f>
        <v>3.0000000000000009</v>
      </c>
      <c r="P21" s="25"/>
      <c r="Q21" s="25"/>
      <c r="R21" s="25"/>
    </row>
    <row r="22" spans="1:18" ht="28.9">
      <c r="A22" s="22" t="s">
        <v>218</v>
      </c>
      <c r="B22" s="39" t="s">
        <v>219</v>
      </c>
      <c r="C22" s="25"/>
      <c r="D22" s="25" t="s">
        <v>237</v>
      </c>
      <c r="E22" s="25" t="s">
        <v>246</v>
      </c>
      <c r="F22" s="25"/>
      <c r="G22" s="25"/>
      <c r="H22" s="25"/>
      <c r="I22" s="25"/>
      <c r="J22" s="25" cm="1">
        <f t="array" ref="J22">SUMPRODUCT(1/COUNTIF(C22:I22,C22:I22&amp;""))</f>
        <v>3.0000000000000009</v>
      </c>
      <c r="K22" s="25"/>
      <c r="L22" s="25"/>
      <c r="M22" s="25"/>
      <c r="N22" s="25"/>
      <c r="O22" s="25" cm="1">
        <f t="array" ref="O22">SUMPRODUCT(1/COUNTIF(C22:I22,C22:I22&amp;""))</f>
        <v>3.0000000000000009</v>
      </c>
      <c r="P22" s="25"/>
      <c r="Q22" s="25"/>
      <c r="R22" s="25"/>
    </row>
    <row r="23" spans="1:18" ht="28.9">
      <c r="A23" s="22" t="s">
        <v>220</v>
      </c>
      <c r="B23" s="39" t="s">
        <v>221</v>
      </c>
      <c r="C23" s="25" t="s">
        <v>235</v>
      </c>
      <c r="D23" s="25" t="s">
        <v>238</v>
      </c>
      <c r="E23" s="25" t="s">
        <v>247</v>
      </c>
      <c r="F23" s="25"/>
      <c r="G23" s="25"/>
      <c r="H23" s="25"/>
      <c r="I23" s="25"/>
      <c r="J23" s="25" cm="1">
        <f t="array" ref="J23">SUMPRODUCT(1/COUNTIF(C23:I23,C23:I23&amp;""))</f>
        <v>4</v>
      </c>
      <c r="K23" s="25"/>
      <c r="L23" s="25"/>
      <c r="M23" s="25"/>
      <c r="N23" s="25"/>
      <c r="O23" s="25" cm="1">
        <f t="array" ref="O23">SUMPRODUCT(1/COUNTIF(C23:I23,C23:I23&amp;""))</f>
        <v>4</v>
      </c>
      <c r="P23" s="25"/>
      <c r="Q23" s="25"/>
      <c r="R23" s="25"/>
    </row>
    <row r="24" spans="1:18">
      <c r="A24" s="27" t="s">
        <v>104</v>
      </c>
      <c r="B24" s="40" t="s">
        <v>105</v>
      </c>
      <c r="C24" s="25"/>
      <c r="D24" s="25"/>
      <c r="E24" s="25"/>
      <c r="F24" s="25"/>
      <c r="G24" s="25"/>
      <c r="H24" s="25"/>
      <c r="I24" s="25"/>
      <c r="J24" s="25" cm="1">
        <f t="array" ref="J24">SUMPRODUCT(1/COUNTIF(C24:I24,C24:I24&amp;""))</f>
        <v>0.99999999999999978</v>
      </c>
      <c r="K24" s="25"/>
      <c r="L24" s="25"/>
      <c r="M24" s="25"/>
      <c r="N24" s="25"/>
      <c r="O24" s="25" cm="1">
        <f t="array" ref="O24">SUMPRODUCT(1/COUNTIF(C24:I24,C24:I24&amp;""))</f>
        <v>0.99999999999999978</v>
      </c>
      <c r="P24" s="25"/>
      <c r="Q24" s="25"/>
      <c r="R24" s="25"/>
    </row>
    <row r="25" spans="1:18">
      <c r="A25" s="22" t="s">
        <v>222</v>
      </c>
      <c r="B25" s="39" t="s">
        <v>223</v>
      </c>
      <c r="C25" s="25" t="s">
        <v>236</v>
      </c>
      <c r="D25" s="25" t="s">
        <v>238</v>
      </c>
      <c r="E25" s="25" t="s">
        <v>247</v>
      </c>
      <c r="F25" s="25"/>
      <c r="G25" s="25"/>
      <c r="H25" s="25"/>
      <c r="I25" s="25"/>
      <c r="J25" s="25" cm="1">
        <f t="array" ref="J25">SUMPRODUCT(1/COUNTIF(C25:I25,C25:I25&amp;""))</f>
        <v>4</v>
      </c>
      <c r="K25" s="25"/>
      <c r="L25" s="25"/>
      <c r="M25" s="25"/>
      <c r="N25" s="25"/>
      <c r="O25" s="25" cm="1">
        <f t="array" ref="O25">SUMPRODUCT(1/COUNTIF(C25:I25,C25:I25&amp;""))</f>
        <v>4</v>
      </c>
      <c r="P25" s="25"/>
      <c r="Q25" s="25"/>
      <c r="R25" s="25"/>
    </row>
    <row r="26" spans="1:18">
      <c r="A26" s="22" t="s">
        <v>224</v>
      </c>
      <c r="B26" s="39" t="s">
        <v>225</v>
      </c>
      <c r="C26" s="25" t="s">
        <v>236</v>
      </c>
      <c r="D26" s="25" t="s">
        <v>238</v>
      </c>
      <c r="E26" s="25" t="s">
        <v>247</v>
      </c>
      <c r="F26" s="25"/>
      <c r="G26" s="25"/>
      <c r="H26" s="25"/>
      <c r="I26" s="25"/>
      <c r="J26" s="25" cm="1">
        <f t="array" ref="J26">SUMPRODUCT(1/COUNTIF(C26:I26,C26:I26&amp;""))</f>
        <v>4</v>
      </c>
      <c r="K26" s="25"/>
      <c r="L26" s="25"/>
      <c r="M26" s="25"/>
      <c r="N26" s="25"/>
      <c r="O26" s="25" cm="1">
        <f t="array" ref="O26">SUMPRODUCT(1/COUNTIF(C26:I26,C26:I26&amp;""))</f>
        <v>4</v>
      </c>
      <c r="P26" s="25"/>
      <c r="Q26" s="25"/>
      <c r="R26" s="25"/>
    </row>
    <row r="27" spans="1:18">
      <c r="A27" s="22" t="s">
        <v>226</v>
      </c>
      <c r="B27" s="39" t="s">
        <v>227</v>
      </c>
      <c r="C27" s="25"/>
      <c r="D27" s="25" t="s">
        <v>238</v>
      </c>
      <c r="E27" s="25" t="s">
        <v>247</v>
      </c>
      <c r="F27" s="25"/>
      <c r="G27" s="25"/>
      <c r="H27" s="25"/>
      <c r="I27" s="25"/>
      <c r="J27" s="25" cm="1">
        <f t="array" ref="J27">SUMPRODUCT(1/COUNTIF(C27:I27,C27:I27&amp;""))</f>
        <v>3.0000000000000009</v>
      </c>
      <c r="K27" s="25"/>
      <c r="L27" s="25"/>
      <c r="M27" s="25"/>
      <c r="N27" s="25"/>
      <c r="O27" s="25" cm="1">
        <f t="array" ref="O27">SUMPRODUCT(1/COUNTIF(C27:I27,C27:I27&amp;""))</f>
        <v>3.0000000000000009</v>
      </c>
      <c r="P27" s="25"/>
      <c r="Q27" s="25"/>
      <c r="R27" s="25"/>
    </row>
    <row r="28" spans="1:18">
      <c r="A28" s="22" t="s">
        <v>228</v>
      </c>
      <c r="B28" s="39" t="s">
        <v>229</v>
      </c>
      <c r="C28" s="25"/>
      <c r="D28" s="25" t="s">
        <v>238</v>
      </c>
      <c r="E28" s="25" t="s">
        <v>247</v>
      </c>
      <c r="F28" s="25"/>
      <c r="G28" s="25"/>
      <c r="H28" s="25"/>
      <c r="I28" s="25"/>
      <c r="J28" s="25" cm="1">
        <f t="array" ref="J28">SUMPRODUCT(1/COUNTIF(C28:I28,C28:I28&amp;""))</f>
        <v>3.0000000000000009</v>
      </c>
      <c r="K28" s="25"/>
      <c r="L28" s="25"/>
      <c r="M28" s="25"/>
      <c r="N28" s="25"/>
      <c r="O28" s="25" cm="1">
        <f t="array" ref="O28">SUMPRODUCT(1/COUNTIF(C28:I28,C28:I28&amp;""))</f>
        <v>3.0000000000000009</v>
      </c>
      <c r="P28" s="25"/>
      <c r="Q28" s="25"/>
      <c r="R28" s="25"/>
    </row>
    <row r="29" spans="1:18">
      <c r="A29" s="29" t="s">
        <v>110</v>
      </c>
      <c r="B29" s="41" t="s">
        <v>111</v>
      </c>
      <c r="C29" s="25"/>
      <c r="D29" s="25"/>
      <c r="E29" s="25"/>
      <c r="F29" s="25"/>
      <c r="G29" s="25"/>
      <c r="H29" s="25"/>
      <c r="I29" s="25"/>
      <c r="J29" s="25" cm="1">
        <f t="array" ref="J29">SUMPRODUCT(1/COUNTIF(C29:I29,C29:I29&amp;""))</f>
        <v>0.99999999999999978</v>
      </c>
      <c r="K29" s="25"/>
      <c r="L29" s="25"/>
      <c r="M29" s="25"/>
      <c r="N29" s="25"/>
      <c r="O29" s="25" cm="1">
        <f t="array" ref="O29">SUMPRODUCT(1/COUNTIF(C29:I29,C29:I29&amp;""))</f>
        <v>0.99999999999999978</v>
      </c>
      <c r="P29" s="25"/>
      <c r="Q29" s="25"/>
      <c r="R29" s="25" t="s">
        <v>309</v>
      </c>
    </row>
    <row r="30" spans="1:18">
      <c r="A30" s="31" t="s">
        <v>146</v>
      </c>
      <c r="B30" s="39" t="s">
        <v>147</v>
      </c>
      <c r="C30" s="25"/>
      <c r="D30" s="25"/>
      <c r="E30" s="25" t="s">
        <v>246</v>
      </c>
      <c r="F30" s="25"/>
      <c r="G30" s="25" t="s">
        <v>260</v>
      </c>
      <c r="H30" s="25"/>
      <c r="I30" s="25"/>
      <c r="J30" s="25" cm="1">
        <f t="array" ref="J30">SUMPRODUCT(1/COUNTIF(C30:I30,C30:I30&amp;""))</f>
        <v>3</v>
      </c>
      <c r="K30" s="25"/>
      <c r="L30" s="25"/>
      <c r="M30" s="25"/>
      <c r="N30" s="25"/>
      <c r="O30" s="25" cm="1">
        <f t="array" ref="O30">SUMPRODUCT(1/COUNTIF(C30:I30,C30:I30&amp;""))</f>
        <v>3</v>
      </c>
      <c r="P30" s="25"/>
      <c r="Q30" s="25"/>
      <c r="R30" s="25" t="s">
        <v>309</v>
      </c>
    </row>
    <row r="31" spans="1:18">
      <c r="A31" s="31" t="s">
        <v>152</v>
      </c>
      <c r="B31" s="39" t="s">
        <v>153</v>
      </c>
      <c r="C31" s="25"/>
      <c r="D31" s="25"/>
      <c r="E31" s="25"/>
      <c r="F31" s="25" t="s">
        <v>256</v>
      </c>
      <c r="G31" s="25" t="s">
        <v>261</v>
      </c>
      <c r="H31" s="25"/>
      <c r="I31" s="25"/>
      <c r="J31" s="25" cm="1">
        <f t="array" ref="J31">SUMPRODUCT(1/COUNTIF(C31:I31,C31:I31&amp;""))</f>
        <v>3.0000000000000004</v>
      </c>
      <c r="K31" s="25"/>
      <c r="L31" s="25"/>
      <c r="M31" s="25"/>
      <c r="N31" s="25"/>
      <c r="O31" s="25" cm="1">
        <f t="array" ref="O31">SUMPRODUCT(1/COUNTIF(C31:I31,C31:I31&amp;""))</f>
        <v>3.0000000000000004</v>
      </c>
      <c r="P31" s="25"/>
      <c r="Q31" s="25"/>
      <c r="R31" s="25" t="s">
        <v>309</v>
      </c>
    </row>
    <row r="32" spans="1:18">
      <c r="A32" s="31" t="s">
        <v>154</v>
      </c>
      <c r="B32" s="39" t="s">
        <v>149</v>
      </c>
      <c r="C32" s="25"/>
      <c r="D32" s="25"/>
      <c r="E32" s="25"/>
      <c r="F32" s="25"/>
      <c r="G32" s="25" t="s">
        <v>260</v>
      </c>
      <c r="H32" s="25"/>
      <c r="I32" s="25"/>
      <c r="J32" s="25" cm="1">
        <f t="array" ref="J32">SUMPRODUCT(1/COUNTIF(C32:I32,C32:I32&amp;""))</f>
        <v>2</v>
      </c>
      <c r="K32" s="25"/>
      <c r="L32" s="25"/>
      <c r="M32" s="25"/>
      <c r="N32" s="25"/>
      <c r="O32" s="25" cm="1">
        <f t="array" ref="O32">SUMPRODUCT(1/COUNTIF(C32:I32,C32:I32&amp;""))</f>
        <v>2</v>
      </c>
      <c r="P32" s="25"/>
      <c r="Q32" s="25"/>
      <c r="R32" s="25"/>
    </row>
    <row r="33" spans="1:18">
      <c r="A33" s="29" t="s">
        <v>115</v>
      </c>
      <c r="B33" s="41" t="s">
        <v>116</v>
      </c>
      <c r="C33" s="25"/>
      <c r="D33" s="25"/>
      <c r="E33" s="25"/>
      <c r="F33" s="25"/>
      <c r="G33" s="25"/>
      <c r="H33" s="25"/>
      <c r="I33" s="25"/>
      <c r="J33" s="25" cm="1">
        <f t="array" ref="J33">SUMPRODUCT(1/COUNTIF(C33:I33,C33:I33&amp;""))</f>
        <v>0.99999999999999978</v>
      </c>
      <c r="K33" s="25"/>
      <c r="L33" s="25"/>
      <c r="M33" s="25"/>
      <c r="N33" s="25"/>
      <c r="O33" s="25" cm="1">
        <f t="array" ref="O33">SUMPRODUCT(1/COUNTIF(C33:I33,C33:I33&amp;""))</f>
        <v>0.99999999999999978</v>
      </c>
      <c r="P33" s="25"/>
      <c r="Q33" s="25"/>
      <c r="R33" s="25"/>
    </row>
    <row r="34" spans="1:18" ht="28.9">
      <c r="A34" s="31" t="s">
        <v>162</v>
      </c>
      <c r="B34" s="39" t="s">
        <v>163</v>
      </c>
      <c r="C34" s="25"/>
      <c r="D34" s="25"/>
      <c r="E34" s="25"/>
      <c r="F34" s="25" t="s">
        <v>256</v>
      </c>
      <c r="G34" s="25" t="s">
        <v>260</v>
      </c>
      <c r="H34" s="25"/>
      <c r="I34" s="25"/>
      <c r="J34" s="25" cm="1">
        <f t="array" ref="J34">SUMPRODUCT(1/COUNTIF(C34:I34,C34:I34&amp;""))</f>
        <v>3.0000000000000004</v>
      </c>
      <c r="K34" s="25"/>
      <c r="L34" s="25"/>
      <c r="M34" s="25"/>
      <c r="N34" s="25"/>
      <c r="O34" s="25" cm="1">
        <f t="array" ref="O34">SUMPRODUCT(1/COUNTIF(C34:I34,C34:I34&amp;""))</f>
        <v>3.0000000000000004</v>
      </c>
      <c r="P34" s="25"/>
      <c r="Q34" s="25"/>
      <c r="R34" s="25"/>
    </row>
    <row r="35" spans="1:18" ht="57.6">
      <c r="A35" s="31" t="s">
        <v>167</v>
      </c>
      <c r="B35" s="39" t="s">
        <v>157</v>
      </c>
      <c r="C35" s="25"/>
      <c r="D35" s="25"/>
      <c r="E35" s="25"/>
      <c r="F35" s="25"/>
      <c r="G35" s="25" t="s">
        <v>261</v>
      </c>
      <c r="H35" s="25"/>
      <c r="I35" s="25"/>
      <c r="J35" s="25" cm="1">
        <f t="array" ref="J35">SUMPRODUCT(1/COUNTIF(C35:I35,C35:I35&amp;""))</f>
        <v>2</v>
      </c>
      <c r="K35" s="25"/>
      <c r="L35" s="25"/>
      <c r="M35" s="25"/>
      <c r="N35" s="25"/>
      <c r="O35" s="25" cm="1">
        <f t="array" ref="O35">SUMPRODUCT(1/COUNTIF(C35:I35,C35:I35&amp;""))</f>
        <v>2</v>
      </c>
      <c r="P35" s="25"/>
      <c r="Q35" s="25"/>
      <c r="R35" s="25"/>
    </row>
    <row r="36" spans="1:18">
      <c r="A36" s="29" t="s">
        <v>120</v>
      </c>
      <c r="B36" s="42" t="s">
        <v>121</v>
      </c>
      <c r="C36" s="25"/>
      <c r="D36" s="25"/>
      <c r="E36" s="25"/>
      <c r="F36" s="25"/>
      <c r="G36" s="25"/>
      <c r="H36" s="25"/>
      <c r="I36" s="25"/>
      <c r="J36" s="25" cm="1">
        <f t="array" ref="J36">SUMPRODUCT(1/COUNTIF(C36:I36,C36:I36&amp;""))</f>
        <v>0.99999999999999978</v>
      </c>
      <c r="K36" s="25"/>
      <c r="L36" s="25"/>
      <c r="M36" s="25"/>
      <c r="N36" s="25"/>
      <c r="O36" s="25" cm="1">
        <f t="array" ref="O36">SUMPRODUCT(1/COUNTIF(C36:I36,C36:I36&amp;""))</f>
        <v>0.99999999999999978</v>
      </c>
      <c r="P36" s="25"/>
      <c r="Q36" s="25"/>
      <c r="R36" s="25"/>
    </row>
    <row r="37" spans="1:18" ht="28.9">
      <c r="A37" s="31" t="s">
        <v>180</v>
      </c>
      <c r="B37" s="39" t="s">
        <v>181</v>
      </c>
      <c r="C37" s="25"/>
      <c r="D37" s="25"/>
      <c r="E37" s="25"/>
      <c r="F37" s="25" t="s">
        <v>256</v>
      </c>
      <c r="G37" s="25" t="s">
        <v>260</v>
      </c>
      <c r="H37" s="25"/>
      <c r="I37" s="25" t="s">
        <v>265</v>
      </c>
      <c r="J37" s="25" cm="1">
        <f t="array" ref="J37">SUMPRODUCT(1/COUNTIF(C37:I37,C37:I37&amp;""))</f>
        <v>4</v>
      </c>
      <c r="K37" s="25"/>
      <c r="L37" s="25"/>
      <c r="M37" s="25"/>
      <c r="N37" s="25"/>
      <c r="O37" s="25" cm="1">
        <f t="array" ref="O37">SUMPRODUCT(1/COUNTIF(C37:I37,C37:I37&amp;""))</f>
        <v>4</v>
      </c>
      <c r="P37" s="25"/>
      <c r="Q37" s="25"/>
      <c r="R37" s="25"/>
    </row>
    <row r="38" spans="1:18" ht="28.9">
      <c r="A38" s="31" t="s">
        <v>184</v>
      </c>
      <c r="B38" s="39" t="s">
        <v>185</v>
      </c>
      <c r="C38" s="25"/>
      <c r="D38" s="25"/>
      <c r="E38" s="25"/>
      <c r="F38" s="25"/>
      <c r="G38" s="25" t="s">
        <v>260</v>
      </c>
      <c r="H38" s="25"/>
      <c r="I38" s="25"/>
      <c r="J38" s="25" cm="1">
        <f t="array" ref="J38">SUMPRODUCT(1/COUNTIF(C38:I38,C38:I38&amp;""))</f>
        <v>2</v>
      </c>
      <c r="K38" s="25"/>
      <c r="L38" s="25"/>
      <c r="M38" s="25"/>
      <c r="N38" s="25"/>
      <c r="O38" s="25" cm="1">
        <f t="array" ref="O38">SUMPRODUCT(1/COUNTIF(C38:I38,C38:I38&amp;""))</f>
        <v>2</v>
      </c>
      <c r="P38" s="25"/>
      <c r="Q38" s="25"/>
      <c r="R38" s="25"/>
    </row>
    <row r="39" spans="1:18" ht="43.15">
      <c r="A39" s="31" t="s">
        <v>188</v>
      </c>
      <c r="B39" s="39" t="s">
        <v>189</v>
      </c>
      <c r="C39" s="25"/>
      <c r="D39" s="25"/>
      <c r="E39" s="25"/>
      <c r="F39" s="25"/>
      <c r="G39" s="25" t="s">
        <v>260</v>
      </c>
      <c r="H39" s="25"/>
      <c r="I39" s="25"/>
      <c r="J39" s="25" cm="1">
        <f t="array" ref="J39">SUMPRODUCT(1/COUNTIF(C39:I39,C39:I39&amp;""))</f>
        <v>2</v>
      </c>
      <c r="K39" s="25"/>
      <c r="L39" s="25"/>
      <c r="M39" s="25"/>
      <c r="N39" s="25"/>
      <c r="O39" s="25" cm="1">
        <f t="array" ref="O39">SUMPRODUCT(1/COUNTIF(C39:I39,C39:I39&amp;""))</f>
        <v>2</v>
      </c>
      <c r="P39" s="25"/>
      <c r="Q39" s="25"/>
      <c r="R39" s="25"/>
    </row>
    <row r="40" spans="1:18">
      <c r="A40" s="29" t="s">
        <v>125</v>
      </c>
      <c r="B40" s="42" t="s">
        <v>126</v>
      </c>
      <c r="C40" s="25"/>
      <c r="D40" s="25"/>
      <c r="E40" s="25"/>
      <c r="F40" s="25"/>
      <c r="G40" s="25"/>
      <c r="H40" s="25"/>
      <c r="I40" s="25"/>
      <c r="J40" s="25" cm="1">
        <f t="array" ref="J40">SUMPRODUCT(1/COUNTIF(C40:I40,C40:I40&amp;""))</f>
        <v>0.99999999999999978</v>
      </c>
      <c r="K40" s="25"/>
      <c r="L40" s="25"/>
      <c r="M40" s="25"/>
      <c r="N40" s="25"/>
      <c r="O40" s="25" cm="1">
        <f t="array" ref="O40">SUMPRODUCT(1/COUNTIF(C40:I40,C40:I40&amp;""))</f>
        <v>0.99999999999999978</v>
      </c>
      <c r="P40" s="25"/>
      <c r="Q40" s="25"/>
      <c r="R40" s="25"/>
    </row>
    <row r="41" spans="1:18">
      <c r="A41" s="31" t="s">
        <v>199</v>
      </c>
      <c r="B41" s="39" t="s">
        <v>200</v>
      </c>
      <c r="C41" s="25"/>
      <c r="D41" s="25"/>
      <c r="E41" s="25"/>
      <c r="F41" s="25"/>
      <c r="G41" s="25" t="s">
        <v>260</v>
      </c>
      <c r="H41" s="25"/>
      <c r="I41" s="25"/>
      <c r="J41" s="25" cm="1">
        <f t="array" ref="J41">SUMPRODUCT(1/COUNTIF(C41:I41,C41:I41&amp;""))</f>
        <v>2</v>
      </c>
      <c r="K41" s="25"/>
      <c r="L41" s="25"/>
      <c r="M41" s="25"/>
      <c r="N41" s="25"/>
      <c r="O41" s="25" cm="1">
        <f t="array" ref="O41">SUMPRODUCT(1/COUNTIF(C41:I41,C41:I41&amp;""))</f>
        <v>2</v>
      </c>
      <c r="P41" s="25"/>
      <c r="Q41" s="25"/>
      <c r="R41" s="25"/>
    </row>
    <row r="42" spans="1:18">
      <c r="A42" s="31" t="s">
        <v>203</v>
      </c>
      <c r="B42" s="39" t="s">
        <v>204</v>
      </c>
      <c r="C42" s="25"/>
      <c r="D42" s="25"/>
      <c r="E42" s="25"/>
      <c r="F42" s="25"/>
      <c r="G42" s="25" t="s">
        <v>260</v>
      </c>
      <c r="H42" s="25"/>
      <c r="I42" s="25"/>
      <c r="J42" s="25" cm="1">
        <f t="array" ref="J42">SUMPRODUCT(1/COUNTIF(C42:I42,C42:I42&amp;""))</f>
        <v>2</v>
      </c>
      <c r="K42" s="25"/>
      <c r="L42" s="25"/>
      <c r="M42" s="25"/>
      <c r="N42" s="25"/>
      <c r="O42" s="25" cm="1">
        <f t="array" ref="O42">SUMPRODUCT(1/COUNTIF(C42:I42,C42:I42&amp;""))</f>
        <v>2</v>
      </c>
      <c r="P42" s="25"/>
      <c r="Q42" s="25"/>
      <c r="R42" s="25"/>
    </row>
    <row r="43" spans="1:18">
      <c r="A43" s="29" t="s">
        <v>129</v>
      </c>
      <c r="B43" s="42" t="s">
        <v>130</v>
      </c>
      <c r="C43" s="25"/>
      <c r="D43" s="25"/>
      <c r="E43" s="25"/>
      <c r="F43" s="25"/>
      <c r="G43" s="25"/>
      <c r="H43" s="25"/>
      <c r="I43" s="25"/>
      <c r="J43" s="25" cm="1">
        <f t="array" ref="J43">SUMPRODUCT(1/COUNTIF(C43:I43,C43:I43&amp;""))</f>
        <v>0.99999999999999978</v>
      </c>
      <c r="K43" s="25"/>
      <c r="L43" s="25"/>
      <c r="M43" s="25"/>
      <c r="N43" s="25"/>
      <c r="O43" s="25" cm="1">
        <f t="array" ref="O43">SUMPRODUCT(1/COUNTIF(C43:I43,C43:I43&amp;""))</f>
        <v>0.99999999999999978</v>
      </c>
      <c r="P43" s="25"/>
      <c r="Q43" s="25"/>
      <c r="R43" s="25"/>
    </row>
    <row r="44" spans="1:18">
      <c r="A44" s="31" t="s">
        <v>214</v>
      </c>
      <c r="B44" s="39" t="s">
        <v>191</v>
      </c>
      <c r="C44" s="25"/>
      <c r="D44" s="25"/>
      <c r="E44" s="25"/>
      <c r="F44" s="25"/>
      <c r="G44" s="25" t="s">
        <v>261</v>
      </c>
      <c r="H44" s="25"/>
      <c r="I44" s="25"/>
      <c r="J44" s="25" cm="1">
        <f t="array" ref="J44">SUMPRODUCT(1/COUNTIF(C44:I44,C44:I44&amp;""))</f>
        <v>2</v>
      </c>
      <c r="K44" s="25"/>
      <c r="L44" s="25"/>
      <c r="M44" s="25"/>
      <c r="N44" s="25"/>
      <c r="O44" s="25" cm="1">
        <f t="array" ref="O44">SUMPRODUCT(1/COUNTIF(C44:I44,C44:I44&amp;""))</f>
        <v>2</v>
      </c>
      <c r="P44" s="25"/>
      <c r="Q44" s="25"/>
      <c r="R44" s="25"/>
    </row>
    <row r="45" spans="1:18">
      <c r="A45" s="31" t="s">
        <v>217</v>
      </c>
      <c r="B45" s="39" t="s">
        <v>194</v>
      </c>
      <c r="C45" s="25"/>
      <c r="D45" s="25"/>
      <c r="E45" s="25"/>
      <c r="F45" s="25"/>
      <c r="G45" s="25" t="s">
        <v>261</v>
      </c>
      <c r="H45" s="25"/>
      <c r="I45" s="25"/>
      <c r="J45" s="25" cm="1">
        <f t="array" ref="J45">SUMPRODUCT(1/COUNTIF(C45:I45,C45:I45&amp;""))</f>
        <v>2</v>
      </c>
      <c r="K45" s="25"/>
      <c r="L45" s="25"/>
      <c r="M45" s="25"/>
      <c r="N45" s="25"/>
      <c r="O45" s="25" cm="1">
        <f t="array" ref="O45">SUMPRODUCT(1/COUNTIF(C45:I45,C45:I45&amp;""))</f>
        <v>2</v>
      </c>
      <c r="P45" s="25"/>
      <c r="Q45" s="25"/>
      <c r="R45" s="25"/>
    </row>
    <row r="46" spans="1:18">
      <c r="A46" s="35" t="s">
        <v>132</v>
      </c>
      <c r="B46" s="43" t="s">
        <v>133</v>
      </c>
      <c r="C46" s="25"/>
      <c r="D46" s="25"/>
      <c r="E46" s="25"/>
      <c r="F46" s="25"/>
      <c r="G46" s="25"/>
      <c r="H46" s="25"/>
      <c r="I46" s="25"/>
      <c r="J46" s="25" cm="1">
        <f t="array" ref="J46">SUMPRODUCT(1/COUNTIF(C46:I46,C46:I46&amp;""))</f>
        <v>0.99999999999999978</v>
      </c>
      <c r="K46" s="25"/>
      <c r="L46" s="25"/>
      <c r="M46" s="25"/>
      <c r="N46" s="25"/>
      <c r="O46" s="25" cm="1">
        <f t="array" ref="O46">SUMPRODUCT(1/COUNTIF(C46:I46,C46:I46&amp;""))</f>
        <v>0.99999999999999978</v>
      </c>
      <c r="P46" s="25"/>
      <c r="Q46" s="25"/>
      <c r="R46" s="25"/>
    </row>
    <row r="47" spans="1:18">
      <c r="A47" s="25" t="s">
        <v>148</v>
      </c>
      <c r="B47" s="44" t="s">
        <v>149</v>
      </c>
      <c r="C47" s="25"/>
      <c r="D47" s="25"/>
      <c r="E47" s="25"/>
      <c r="F47" s="25"/>
      <c r="G47" s="25" t="s">
        <v>261</v>
      </c>
      <c r="H47" s="25"/>
      <c r="I47" s="25"/>
      <c r="J47" s="25" cm="1">
        <f t="array" ref="J47">SUMPRODUCT(1/COUNTIF(C47:I47,C47:I47&amp;""))</f>
        <v>2</v>
      </c>
      <c r="K47" s="25"/>
      <c r="L47" s="25"/>
      <c r="M47" s="25"/>
      <c r="N47" s="25"/>
      <c r="O47" s="25" cm="1">
        <f t="array" ref="O47">SUMPRODUCT(1/COUNTIF(C47:I47,C47:I47&amp;""))</f>
        <v>2</v>
      </c>
      <c r="P47" s="25"/>
      <c r="Q47" s="25"/>
      <c r="R47" s="25"/>
    </row>
    <row r="48" spans="1:18">
      <c r="A48" s="35" t="s">
        <v>135</v>
      </c>
      <c r="B48" s="43" t="s">
        <v>155</v>
      </c>
      <c r="C48" s="25"/>
      <c r="D48" s="25"/>
      <c r="E48" s="25"/>
      <c r="F48" s="25"/>
      <c r="G48" s="25"/>
      <c r="H48" s="25"/>
      <c r="I48" s="25"/>
      <c r="J48" s="25" cm="1">
        <f t="array" ref="J48">SUMPRODUCT(1/COUNTIF(C48:I48,C48:I48&amp;""))</f>
        <v>0.99999999999999978</v>
      </c>
      <c r="K48" s="25"/>
      <c r="L48" s="25"/>
      <c r="M48" s="25"/>
      <c r="N48" s="25"/>
      <c r="O48" s="25" cm="1">
        <f t="array" ref="O48">SUMPRODUCT(1/COUNTIF(C48:I48,C48:I48&amp;""))</f>
        <v>0.99999999999999978</v>
      </c>
      <c r="P48" s="25"/>
      <c r="Q48" s="25"/>
      <c r="R48" s="25"/>
    </row>
    <row r="49" spans="1:19" ht="57.6">
      <c r="A49" s="25" t="s">
        <v>156</v>
      </c>
      <c r="B49" s="44" t="s">
        <v>157</v>
      </c>
      <c r="C49" s="25"/>
      <c r="D49" s="25"/>
      <c r="E49" s="25"/>
      <c r="F49" s="25"/>
      <c r="G49" s="25" t="s">
        <v>261</v>
      </c>
      <c r="H49" s="25"/>
      <c r="I49" s="25"/>
      <c r="J49" s="25" cm="1">
        <f t="array" ref="J49">SUMPRODUCT(1/COUNTIF(C49:I49,C49:I49&amp;""))</f>
        <v>2</v>
      </c>
      <c r="K49" s="25"/>
      <c r="L49" s="25"/>
      <c r="M49" s="25"/>
      <c r="N49" s="25"/>
      <c r="O49" s="25" cm="1">
        <f t="array" ref="O49">SUMPRODUCT(1/COUNTIF(C49:I49,C49:I49&amp;""))</f>
        <v>2</v>
      </c>
      <c r="P49" s="25"/>
      <c r="Q49" s="25"/>
      <c r="R49" s="25"/>
    </row>
    <row r="50" spans="1:19" ht="28.9">
      <c r="A50" s="35" t="s">
        <v>138</v>
      </c>
      <c r="B50" s="43" t="s">
        <v>164</v>
      </c>
      <c r="C50" s="25"/>
      <c r="D50" s="25"/>
      <c r="E50" s="25"/>
      <c r="F50" s="25"/>
      <c r="G50" s="25"/>
      <c r="H50" s="25"/>
      <c r="I50" s="25"/>
      <c r="J50" s="25" cm="1">
        <f t="array" ref="J50">SUMPRODUCT(1/COUNTIF(C50:I50,C50:I50&amp;""))</f>
        <v>0.99999999999999978</v>
      </c>
      <c r="K50" s="25"/>
      <c r="L50" s="25"/>
      <c r="M50" s="25"/>
      <c r="N50" s="25"/>
      <c r="O50" s="25" cm="1">
        <f t="array" ref="O50">SUMPRODUCT(1/COUNTIF(C50:I50,C50:I50&amp;""))</f>
        <v>0.99999999999999978</v>
      </c>
      <c r="P50" s="25"/>
      <c r="Q50" s="25"/>
      <c r="R50" s="25"/>
    </row>
    <row r="51" spans="1:19" ht="28.9">
      <c r="A51" s="25" t="s">
        <v>168</v>
      </c>
      <c r="B51" s="44" t="s">
        <v>169</v>
      </c>
      <c r="C51" s="25"/>
      <c r="D51" s="25"/>
      <c r="E51" s="25"/>
      <c r="F51" s="25"/>
      <c r="G51" s="25" t="s">
        <v>260</v>
      </c>
      <c r="H51" s="25"/>
      <c r="I51" s="25"/>
      <c r="J51" s="25" cm="1">
        <f t="array" ref="J51">SUMPRODUCT(1/COUNTIF(C51:I51,C51:I51&amp;""))</f>
        <v>2</v>
      </c>
      <c r="K51" s="25"/>
      <c r="L51" s="25"/>
      <c r="M51" s="25"/>
      <c r="N51" s="25"/>
      <c r="O51" s="25" cm="1">
        <f t="array" ref="O51">SUMPRODUCT(1/COUNTIF(C51:I51,C51:I51&amp;""))</f>
        <v>2</v>
      </c>
      <c r="P51" s="25"/>
      <c r="Q51" s="25"/>
      <c r="R51" s="25"/>
    </row>
    <row r="52" spans="1:19">
      <c r="A52" s="25" t="s">
        <v>172</v>
      </c>
      <c r="B52" s="44" t="s">
        <v>173</v>
      </c>
      <c r="C52" s="25"/>
      <c r="D52" s="25"/>
      <c r="E52" s="25"/>
      <c r="F52" s="25"/>
      <c r="G52" s="25" t="s">
        <v>260</v>
      </c>
      <c r="H52" s="25"/>
      <c r="I52" s="25"/>
      <c r="J52" s="25" cm="1">
        <f t="array" ref="J52">SUMPRODUCT(1/COUNTIF(C52:I52,C52:I52&amp;""))</f>
        <v>2</v>
      </c>
      <c r="K52" s="25"/>
      <c r="L52" s="25"/>
      <c r="M52" s="25"/>
      <c r="N52" s="25"/>
      <c r="O52" s="25" cm="1">
        <f t="array" ref="O52">SUMPRODUCT(1/COUNTIF(C52:I52,C52:I52&amp;""))</f>
        <v>2</v>
      </c>
      <c r="P52" s="25"/>
      <c r="Q52" s="25"/>
      <c r="R52" s="25"/>
    </row>
    <row r="53" spans="1:19">
      <c r="A53" s="25" t="s">
        <v>176</v>
      </c>
      <c r="B53" s="44" t="s">
        <v>177</v>
      </c>
      <c r="C53" s="25"/>
      <c r="D53" s="25"/>
      <c r="E53" s="25"/>
      <c r="F53" s="25"/>
      <c r="G53" s="25" t="s">
        <v>260</v>
      </c>
      <c r="H53" s="25"/>
      <c r="I53" s="25"/>
      <c r="J53" s="25" cm="1">
        <f t="array" ref="J53">SUMPRODUCT(1/COUNTIF(C53:I53,C53:I53&amp;""))</f>
        <v>2</v>
      </c>
      <c r="K53" s="25"/>
      <c r="L53" s="25"/>
      <c r="M53" s="25"/>
      <c r="N53" s="25"/>
      <c r="O53" s="25" cm="1">
        <f t="array" ref="O53">SUMPRODUCT(1/COUNTIF(C53:I53,C53:I53&amp;""))</f>
        <v>2</v>
      </c>
      <c r="P53" s="25"/>
      <c r="Q53" s="25"/>
      <c r="R53" s="25"/>
    </row>
    <row r="54" spans="1:19">
      <c r="A54" s="35" t="s">
        <v>186</v>
      </c>
      <c r="B54" s="43" t="s">
        <v>187</v>
      </c>
      <c r="C54" s="25"/>
      <c r="D54" s="25"/>
      <c r="E54" s="25"/>
      <c r="F54" s="25"/>
      <c r="G54" s="25"/>
      <c r="H54" s="25"/>
      <c r="I54" s="25"/>
      <c r="J54" s="25" cm="1">
        <f t="array" ref="J54">SUMPRODUCT(1/COUNTIF(C54:I54,C54:I54&amp;""))</f>
        <v>0.99999999999999978</v>
      </c>
      <c r="K54" s="25"/>
      <c r="L54" s="25"/>
      <c r="M54" s="25"/>
      <c r="N54" s="25"/>
      <c r="O54" s="25" cm="1">
        <f t="array" ref="O54">SUMPRODUCT(1/COUNTIF(C54:I54,C54:I54&amp;""))</f>
        <v>0.99999999999999978</v>
      </c>
      <c r="P54" s="25"/>
      <c r="Q54" s="25"/>
      <c r="R54" s="25"/>
    </row>
    <row r="55" spans="1:19">
      <c r="A55" s="25" t="s">
        <v>190</v>
      </c>
      <c r="B55" s="44" t="s">
        <v>191</v>
      </c>
      <c r="C55" s="25"/>
      <c r="D55" s="25"/>
      <c r="E55" s="25"/>
      <c r="F55" s="25"/>
      <c r="G55" s="25" t="s">
        <v>261</v>
      </c>
      <c r="H55" s="25"/>
      <c r="I55" s="25" t="s">
        <v>265</v>
      </c>
      <c r="J55" s="25" cm="1">
        <f t="array" ref="J55">SUMPRODUCT(1/COUNTIF(C55:I55,C55:I55&amp;""))</f>
        <v>3</v>
      </c>
      <c r="K55" s="25"/>
      <c r="L55" s="25"/>
      <c r="M55" s="25"/>
      <c r="N55" s="25"/>
      <c r="O55" s="25" cm="1">
        <f t="array" ref="O55">SUMPRODUCT(1/COUNTIF(C55:I55,C55:I55&amp;""))</f>
        <v>3</v>
      </c>
      <c r="P55" s="25"/>
      <c r="Q55" s="25"/>
      <c r="R55" s="25"/>
    </row>
    <row r="56" spans="1:19">
      <c r="A56" s="25" t="s">
        <v>193</v>
      </c>
      <c r="B56" s="44" t="s">
        <v>194</v>
      </c>
      <c r="C56" s="25"/>
      <c r="D56" s="25"/>
      <c r="E56" s="25"/>
      <c r="F56" s="25"/>
      <c r="G56" s="25" t="s">
        <v>261</v>
      </c>
      <c r="H56" s="25"/>
      <c r="I56" s="25" t="s">
        <v>265</v>
      </c>
      <c r="J56" s="25" cm="1">
        <f t="array" ref="J56">SUMPRODUCT(1/COUNTIF(C56:I56,C56:I56&amp;""))</f>
        <v>3</v>
      </c>
      <c r="K56" s="25"/>
      <c r="L56" s="25"/>
      <c r="M56" s="25"/>
      <c r="N56" s="25"/>
      <c r="O56" s="25" cm="1">
        <f t="array" ref="O56">SUMPRODUCT(1/COUNTIF(C56:I56,C56:I56&amp;""))</f>
        <v>3</v>
      </c>
      <c r="P56" s="25"/>
      <c r="Q56" s="25"/>
      <c r="R56" s="25"/>
    </row>
    <row r="57" spans="1:19">
      <c r="A57" s="35">
        <v>3.5</v>
      </c>
      <c r="B57" s="36" t="s">
        <v>142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9">
      <c r="A58" s="25" t="s">
        <v>205</v>
      </c>
      <c r="B58" s="23" t="s">
        <v>206</v>
      </c>
      <c r="C58" s="25" t="s">
        <v>235</v>
      </c>
      <c r="D58" s="25" t="s">
        <v>237</v>
      </c>
      <c r="E58" s="25" t="s">
        <v>246</v>
      </c>
      <c r="F58" s="25"/>
      <c r="G58" s="25" t="s">
        <v>260</v>
      </c>
      <c r="H58" s="25"/>
      <c r="I58" s="25" t="s">
        <v>265</v>
      </c>
      <c r="J58" s="25"/>
      <c r="K58" s="25"/>
      <c r="L58" s="25"/>
      <c r="M58" s="25"/>
      <c r="N58" s="25"/>
      <c r="O58" s="25"/>
      <c r="P58" s="25"/>
      <c r="Q58" s="25"/>
      <c r="R58" s="25"/>
    </row>
    <row r="59" spans="1:19">
      <c r="A59" s="25" t="s">
        <v>209</v>
      </c>
      <c r="B59" s="23" t="s">
        <v>194</v>
      </c>
      <c r="C59" s="25" t="s">
        <v>236</v>
      </c>
      <c r="D59" s="25"/>
      <c r="E59" s="25"/>
      <c r="F59" s="25"/>
      <c r="G59" s="25" t="s">
        <v>261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19">
      <c r="A60" s="97" t="s">
        <v>310</v>
      </c>
      <c r="B60" s="97"/>
      <c r="C60" s="46" cm="1">
        <f t="array" ref="C60">SUMPRODUCT(1/COUNTIF(C3:C59,C3:C59&amp;""))-1</f>
        <v>2.000000000000004</v>
      </c>
      <c r="D60" s="46" cm="1">
        <f t="array" ref="D60">SUMPRODUCT(1/COUNTIF(D3:D59,D3:D59&amp;""))-1</f>
        <v>1.9999999999999969</v>
      </c>
      <c r="E60" s="46" cm="1">
        <f t="array" ref="E60">SUMPRODUCT(1/COUNTIF(E3:E59,E3:E59&amp;""))-1</f>
        <v>2.0000000000000018</v>
      </c>
      <c r="F60" s="46" cm="1">
        <f t="array" ref="F60">SUMPRODUCT(1/COUNTIF(F3:F59,F3:F59&amp;""))-1</f>
        <v>0.99999999999999889</v>
      </c>
      <c r="G60" s="46" cm="1">
        <f t="array" ref="G60">SUMPRODUCT(1/COUNTIF(G3:G59,G3:G59&amp;""))-1</f>
        <v>2</v>
      </c>
      <c r="H60" s="46" cm="1">
        <f t="array" ref="H60">SUMPRODUCT(1/COUNTIF(H3:H59,H3:H59&amp;""))-1</f>
        <v>1.0000000000000031</v>
      </c>
      <c r="I60" s="46" cm="1">
        <f t="array" ref="I60">SUMPRODUCT(1/COUNTIF(I3:I59,I3:I59&amp;""))-1</f>
        <v>2.0000000000000013</v>
      </c>
      <c r="J60" s="46">
        <f>MAX(J3:J59)</f>
        <v>5</v>
      </c>
      <c r="K60" s="46" cm="1">
        <f t="array" ref="K60">SUMPRODUCT(1/COUNTIF(K3:K59,K3:K59&amp;""))-1</f>
        <v>1.0000000000000031</v>
      </c>
      <c r="L60" s="46" cm="1">
        <f t="array" ref="L60">SUMPRODUCT(1/COUNTIF(L3:L59,L3:L59&amp;""))-1</f>
        <v>1.0000000000000031</v>
      </c>
      <c r="M60" s="46" cm="1">
        <f t="array" ref="M60">SUMPRODUCT(1/COUNTIF(M3:M59,M3:M59&amp;""))-1</f>
        <v>1.0000000000000031</v>
      </c>
      <c r="N60" s="46" cm="1">
        <f t="array" ref="N60">SUMPRODUCT(1/COUNTIF(N3:N59,N3:N59&amp;""))-1</f>
        <v>1.0000000000000031</v>
      </c>
      <c r="O60" s="46">
        <f>MAX(O3:O59)</f>
        <v>5</v>
      </c>
      <c r="P60" s="46" cm="1">
        <f t="array" ref="P60">SUMPRODUCT(1/COUNTIF(P3:P59,P3:P59&amp;""))-1</f>
        <v>0.99999999999999645</v>
      </c>
      <c r="Q60" s="46" cm="1">
        <f t="array" ref="Q60">SUMPRODUCT(1/COUNTIF(Q3:Q59,Q3:Q59&amp;""))-1</f>
        <v>0.99999999999999645</v>
      </c>
      <c r="R60" s="46" cm="1">
        <f t="array" ref="R60">SUMPRODUCT(1/COUNTIF(R3:R59,R3:R59&amp;""))-1</f>
        <v>3.0000000000000053</v>
      </c>
      <c r="S60">
        <f>SUM(C60:R60)</f>
        <v>31.000000000000021</v>
      </c>
    </row>
    <row r="62" spans="1:19">
      <c r="B62" t="s">
        <v>311</v>
      </c>
      <c r="C62">
        <f>SUM(C60:I60)</f>
        <v>12.000000000000007</v>
      </c>
    </row>
    <row r="63" spans="1:19">
      <c r="B63" t="s">
        <v>312</v>
      </c>
      <c r="C63">
        <f>SUM(J60:K60)</f>
        <v>6.0000000000000036</v>
      </c>
    </row>
    <row r="64" spans="1:19">
      <c r="B64" t="s">
        <v>313</v>
      </c>
      <c r="C64">
        <f>SUM(L60:O60)</f>
        <v>8.0000000000000089</v>
      </c>
    </row>
    <row r="65" spans="2:3">
      <c r="B65" t="s">
        <v>314</v>
      </c>
      <c r="C65">
        <f>SUM(P60:R60)</f>
        <v>4.9999999999999982</v>
      </c>
    </row>
  </sheetData>
  <mergeCells count="5">
    <mergeCell ref="C1:I1"/>
    <mergeCell ref="L1:O1"/>
    <mergeCell ref="P1:R1"/>
    <mergeCell ref="A60:B60"/>
    <mergeCell ref="J1:K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3E49-AAD2-411C-B5B9-A4ABFDC685A1}">
  <dimension ref="A2:N9"/>
  <sheetViews>
    <sheetView topLeftCell="D7" workbookViewId="0">
      <selection activeCell="N4" sqref="N4"/>
    </sheetView>
  </sheetViews>
  <sheetFormatPr defaultRowHeight="14.45"/>
  <cols>
    <col min="2" max="2" width="28.140625" customWidth="1"/>
    <col min="3" max="3" width="28.7109375" customWidth="1"/>
    <col min="4" max="5" width="13" customWidth="1"/>
    <col min="11" max="11" width="24.7109375" customWidth="1"/>
    <col min="12" max="12" width="20.5703125" customWidth="1"/>
    <col min="13" max="13" width="13.140625" customWidth="1"/>
    <col min="14" max="14" width="15.7109375" customWidth="1"/>
  </cols>
  <sheetData>
    <row r="2" spans="1:14" ht="28.9">
      <c r="A2" s="34" t="s">
        <v>47</v>
      </c>
      <c r="B2" s="34" t="s">
        <v>315</v>
      </c>
      <c r="C2" s="48" t="s">
        <v>316</v>
      </c>
      <c r="D2" s="48" t="s">
        <v>317</v>
      </c>
      <c r="E2" s="48" t="s">
        <v>318</v>
      </c>
      <c r="F2" s="48" t="s">
        <v>41</v>
      </c>
      <c r="G2" s="48" t="s">
        <v>231</v>
      </c>
      <c r="J2" s="34" t="s">
        <v>47</v>
      </c>
      <c r="K2" s="34" t="s">
        <v>315</v>
      </c>
      <c r="L2" s="34" t="s">
        <v>319</v>
      </c>
      <c r="M2" s="49" t="s">
        <v>320</v>
      </c>
      <c r="N2" s="49" t="s">
        <v>321</v>
      </c>
    </row>
    <row r="3" spans="1:14" ht="86.45">
      <c r="A3" s="32" t="s">
        <v>322</v>
      </c>
      <c r="B3" s="45" t="s">
        <v>323</v>
      </c>
      <c r="C3" s="45" t="s">
        <v>324</v>
      </c>
      <c r="D3" s="32">
        <f>1500*5</f>
        <v>7500</v>
      </c>
      <c r="E3" s="50">
        <v>44216</v>
      </c>
      <c r="F3" s="32" t="s">
        <v>325</v>
      </c>
      <c r="G3" s="32" t="s">
        <v>326</v>
      </c>
      <c r="H3" s="1"/>
      <c r="I3" s="1"/>
      <c r="J3" s="32" t="s">
        <v>322</v>
      </c>
      <c r="K3" s="45" t="s">
        <v>323</v>
      </c>
      <c r="L3" s="51" t="s">
        <v>327</v>
      </c>
      <c r="M3" s="51" t="s">
        <v>328</v>
      </c>
      <c r="N3" s="45" t="s">
        <v>329</v>
      </c>
    </row>
    <row r="4" spans="1:14" ht="72">
      <c r="A4" s="32" t="s">
        <v>322</v>
      </c>
      <c r="B4" s="45" t="s">
        <v>330</v>
      </c>
      <c r="C4" s="45" t="s">
        <v>324</v>
      </c>
      <c r="D4" s="32">
        <v>3568</v>
      </c>
      <c r="E4" s="50">
        <v>44229</v>
      </c>
      <c r="F4" s="32" t="s">
        <v>325</v>
      </c>
      <c r="G4" s="32" t="s">
        <v>326</v>
      </c>
      <c r="H4" s="1"/>
      <c r="I4" s="1"/>
      <c r="J4" s="32" t="s">
        <v>322</v>
      </c>
      <c r="K4" s="45" t="s">
        <v>331</v>
      </c>
      <c r="L4" s="51" t="s">
        <v>332</v>
      </c>
      <c r="M4" s="51" t="s">
        <v>333</v>
      </c>
      <c r="N4" s="45" t="s">
        <v>334</v>
      </c>
    </row>
    <row r="5" spans="1:14" ht="43.15">
      <c r="A5" s="32" t="s">
        <v>335</v>
      </c>
      <c r="B5" s="45" t="s">
        <v>336</v>
      </c>
      <c r="C5" s="32" t="s">
        <v>337</v>
      </c>
      <c r="D5" s="32">
        <f>5*649</f>
        <v>3245</v>
      </c>
      <c r="E5" s="50">
        <v>44229</v>
      </c>
      <c r="F5" s="32" t="s">
        <v>325</v>
      </c>
      <c r="G5" s="32" t="s">
        <v>338</v>
      </c>
      <c r="H5" s="1"/>
      <c r="I5" s="1"/>
      <c r="J5" s="32" t="s">
        <v>335</v>
      </c>
      <c r="K5" s="45" t="s">
        <v>336</v>
      </c>
      <c r="L5" s="45" t="s">
        <v>339</v>
      </c>
      <c r="M5" s="45" t="s">
        <v>340</v>
      </c>
      <c r="N5" s="45" t="s">
        <v>341</v>
      </c>
    </row>
    <row r="6" spans="1:14" ht="57.6">
      <c r="A6" s="32" t="s">
        <v>335</v>
      </c>
      <c r="B6" s="45" t="s">
        <v>342</v>
      </c>
      <c r="C6" s="32" t="s">
        <v>337</v>
      </c>
      <c r="D6" s="32">
        <f>2063.43*12</f>
        <v>24761.159999999996</v>
      </c>
      <c r="E6" s="50">
        <v>44229</v>
      </c>
      <c r="F6" s="32" t="s">
        <v>325</v>
      </c>
      <c r="G6" s="32" t="s">
        <v>343</v>
      </c>
      <c r="H6" s="1"/>
      <c r="I6" s="1"/>
      <c r="J6" s="32" t="s">
        <v>335</v>
      </c>
      <c r="K6" s="45" t="s">
        <v>342</v>
      </c>
      <c r="L6" s="45" t="s">
        <v>344</v>
      </c>
      <c r="M6" s="45" t="s">
        <v>345</v>
      </c>
      <c r="N6" s="45" t="s">
        <v>346</v>
      </c>
    </row>
    <row r="7" spans="1:14" ht="28.9">
      <c r="A7" s="32" t="s">
        <v>347</v>
      </c>
      <c r="B7" s="45" t="s">
        <v>348</v>
      </c>
      <c r="C7" s="32" t="s">
        <v>349</v>
      </c>
      <c r="D7" s="32">
        <f>1200*12</f>
        <v>14400</v>
      </c>
      <c r="E7" s="50">
        <v>44221</v>
      </c>
      <c r="F7" s="32" t="s">
        <v>350</v>
      </c>
      <c r="G7" s="32" t="s">
        <v>338</v>
      </c>
      <c r="H7" s="1"/>
      <c r="I7" s="1"/>
      <c r="J7" s="32" t="s">
        <v>347</v>
      </c>
      <c r="K7" s="45" t="s">
        <v>348</v>
      </c>
      <c r="L7" s="45" t="s">
        <v>351</v>
      </c>
      <c r="M7" s="45" t="s">
        <v>352</v>
      </c>
      <c r="N7" s="45" t="s">
        <v>353</v>
      </c>
    </row>
    <row r="8" spans="1:14" ht="43.15">
      <c r="A8" s="32" t="s">
        <v>347</v>
      </c>
      <c r="B8" s="45" t="s">
        <v>354</v>
      </c>
      <c r="C8" s="32" t="s">
        <v>349</v>
      </c>
      <c r="D8" s="32">
        <f>3000*12</f>
        <v>36000</v>
      </c>
      <c r="E8" s="50">
        <v>44221</v>
      </c>
      <c r="F8" s="32" t="s">
        <v>350</v>
      </c>
      <c r="G8" s="32" t="s">
        <v>338</v>
      </c>
      <c r="H8" s="1"/>
      <c r="I8" s="1"/>
      <c r="J8" s="32" t="s">
        <v>347</v>
      </c>
      <c r="K8" s="45" t="s">
        <v>354</v>
      </c>
      <c r="L8" s="45" t="s">
        <v>355</v>
      </c>
      <c r="M8" s="45" t="s">
        <v>356</v>
      </c>
      <c r="N8" s="45" t="s">
        <v>357</v>
      </c>
    </row>
    <row r="9" spans="1:14" ht="43.15">
      <c r="A9" s="32" t="s">
        <v>347</v>
      </c>
      <c r="B9" s="45" t="s">
        <v>358</v>
      </c>
      <c r="C9" s="32" t="s">
        <v>349</v>
      </c>
      <c r="D9" s="32">
        <f>2000*12</f>
        <v>24000</v>
      </c>
      <c r="E9" s="50">
        <v>44221</v>
      </c>
      <c r="F9" s="32" t="s">
        <v>350</v>
      </c>
      <c r="G9" s="32" t="s">
        <v>338</v>
      </c>
      <c r="H9" s="1"/>
      <c r="I9" s="1"/>
      <c r="J9" s="32" t="s">
        <v>347</v>
      </c>
      <c r="K9" s="45" t="s">
        <v>358</v>
      </c>
      <c r="L9" s="45" t="s">
        <v>355</v>
      </c>
      <c r="M9" s="45" t="s">
        <v>356</v>
      </c>
      <c r="N9" s="45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DBCD-DBE0-4B8D-AE50-31E603228740}">
  <dimension ref="A1:AA75"/>
  <sheetViews>
    <sheetView topLeftCell="B1" zoomScale="60" zoomScaleNormal="60" workbookViewId="0">
      <pane xSplit="2" ySplit="10" topLeftCell="D57" activePane="bottomRight" state="frozen"/>
      <selection pane="bottomRight" activeCell="Y73" sqref="Y73"/>
      <selection pane="bottomLeft" activeCell="B7" sqref="B7"/>
      <selection pane="topRight" activeCell="C1" sqref="C1"/>
    </sheetView>
  </sheetViews>
  <sheetFormatPr defaultRowHeight="14.45"/>
  <cols>
    <col min="1" max="1" width="16" bestFit="1" customWidth="1"/>
    <col min="2" max="2" width="12.7109375" customWidth="1"/>
    <col min="3" max="3" width="44.28515625" customWidth="1"/>
    <col min="4" max="4" width="29.28515625" style="21" customWidth="1"/>
    <col min="5" max="5" width="11.28515625" style="37" customWidth="1"/>
    <col min="6" max="6" width="8.5703125" style="37" customWidth="1"/>
    <col min="7" max="7" width="10.85546875" customWidth="1"/>
    <col min="8" max="8" width="11.5703125" customWidth="1"/>
    <col min="9" max="9" width="6.85546875" customWidth="1"/>
    <col min="10" max="10" width="5" customWidth="1"/>
    <col min="11" max="11" width="7.28515625" customWidth="1"/>
    <col min="12" max="12" width="7.140625" customWidth="1"/>
    <col min="13" max="13" width="8.140625" customWidth="1"/>
    <col min="14" max="14" width="6" customWidth="1"/>
    <col min="15" max="15" width="7.140625" customWidth="1"/>
    <col min="16" max="16" width="7.28515625" customWidth="1"/>
    <col min="17" max="17" width="8.42578125" customWidth="1"/>
    <col min="18" max="18" width="9" customWidth="1"/>
    <col min="19" max="19" width="8" customWidth="1"/>
    <col min="20" max="20" width="5.140625" customWidth="1"/>
    <col min="21" max="21" width="4.85546875" customWidth="1"/>
    <col min="22" max="22" width="4.5703125" customWidth="1"/>
    <col min="23" max="24" width="4.7109375" customWidth="1"/>
    <col min="25" max="25" width="24.140625" bestFit="1" customWidth="1"/>
    <col min="26" max="26" width="14.28515625" bestFit="1" customWidth="1"/>
    <col min="27" max="27" width="14.7109375" customWidth="1"/>
  </cols>
  <sheetData>
    <row r="1" spans="1:26">
      <c r="A1" s="86" t="s">
        <v>359</v>
      </c>
      <c r="B1" s="86" t="s">
        <v>359</v>
      </c>
      <c r="C1">
        <v>4</v>
      </c>
      <c r="E1" s="74"/>
      <c r="F1" s="74"/>
      <c r="G1" s="34"/>
      <c r="H1" s="34"/>
    </row>
    <row r="2" spans="1:26">
      <c r="A2" s="85" t="s">
        <v>360</v>
      </c>
      <c r="B2" s="85" t="s">
        <v>360</v>
      </c>
      <c r="C2">
        <v>10</v>
      </c>
      <c r="E2" s="32"/>
      <c r="F2" s="32"/>
      <c r="G2" s="33"/>
      <c r="H2" s="33"/>
    </row>
    <row r="3" spans="1:26" ht="13.15" customHeight="1">
      <c r="A3" t="s">
        <v>361</v>
      </c>
      <c r="B3" t="s">
        <v>362</v>
      </c>
      <c r="C3">
        <v>0.68</v>
      </c>
      <c r="E3" s="32"/>
      <c r="F3" s="32"/>
      <c r="G3" s="33"/>
      <c r="H3" s="25"/>
    </row>
    <row r="4" spans="1:26" ht="28.9" hidden="1">
      <c r="A4" t="s">
        <v>363</v>
      </c>
      <c r="B4" s="21" t="s">
        <v>364</v>
      </c>
      <c r="C4">
        <v>0.69399999999999995</v>
      </c>
      <c r="E4" s="59"/>
      <c r="F4" s="59"/>
      <c r="G4" s="60"/>
      <c r="H4" s="60"/>
    </row>
    <row r="5" spans="1:26" hidden="1">
      <c r="B5" t="s">
        <v>365</v>
      </c>
      <c r="C5">
        <f>733.51/30</f>
        <v>24.450333333333333</v>
      </c>
      <c r="E5" s="59"/>
      <c r="F5" s="59"/>
      <c r="G5" s="60"/>
      <c r="H5" s="60"/>
      <c r="I5" s="75"/>
      <c r="J5" s="75"/>
      <c r="K5" s="75"/>
      <c r="L5" s="75"/>
      <c r="M5" s="75"/>
      <c r="N5" s="75"/>
      <c r="O5" s="75"/>
      <c r="P5" s="76"/>
      <c r="Q5" s="77"/>
      <c r="R5" s="75"/>
      <c r="S5" s="75"/>
      <c r="T5" s="75"/>
      <c r="U5" s="75"/>
      <c r="V5" s="75"/>
      <c r="W5" s="75"/>
      <c r="X5" s="75"/>
    </row>
    <row r="6" spans="1:26" hidden="1">
      <c r="B6" t="s">
        <v>366</v>
      </c>
      <c r="C6">
        <f>216.79/30</f>
        <v>7.2263333333333328</v>
      </c>
      <c r="E6" s="59"/>
      <c r="F6" s="59"/>
      <c r="G6" s="60"/>
      <c r="H6" s="60"/>
      <c r="I6" s="75"/>
      <c r="J6" s="75"/>
      <c r="K6" s="75"/>
      <c r="L6" s="75"/>
      <c r="M6" s="75"/>
      <c r="N6" s="75"/>
      <c r="O6" s="75"/>
      <c r="P6" s="76"/>
      <c r="Q6" s="77"/>
      <c r="R6" s="75"/>
      <c r="S6" s="75"/>
      <c r="T6" s="75"/>
      <c r="U6" s="75"/>
      <c r="V6" s="75"/>
      <c r="W6" s="75"/>
      <c r="X6" s="75"/>
    </row>
    <row r="7" spans="1:26" hidden="1">
      <c r="B7" t="s">
        <v>367</v>
      </c>
      <c r="C7">
        <f>1914.45/30</f>
        <v>63.815000000000005</v>
      </c>
      <c r="E7" s="59"/>
      <c r="F7" s="59"/>
      <c r="G7" s="60"/>
      <c r="H7" s="60"/>
      <c r="I7" s="75"/>
      <c r="J7" s="75"/>
      <c r="K7" s="75"/>
      <c r="L7" s="75"/>
      <c r="M7" s="75"/>
      <c r="N7" s="75"/>
      <c r="O7" s="75"/>
      <c r="P7" s="76"/>
      <c r="Q7" s="77"/>
      <c r="R7" s="75"/>
      <c r="S7" s="75"/>
      <c r="T7" s="75"/>
      <c r="U7" s="75"/>
      <c r="V7" s="75"/>
      <c r="W7" s="75"/>
      <c r="X7" s="75"/>
    </row>
    <row r="8" spans="1:26" ht="28.9" customHeight="1">
      <c r="E8" s="59"/>
      <c r="F8" s="59"/>
      <c r="G8" s="60"/>
      <c r="H8" s="60"/>
      <c r="I8" s="100" t="s">
        <v>282</v>
      </c>
      <c r="J8" s="100"/>
      <c r="K8" s="100"/>
      <c r="L8" s="100"/>
      <c r="M8" s="100"/>
      <c r="N8" s="100"/>
      <c r="O8" s="100"/>
      <c r="P8" s="101" t="s">
        <v>283</v>
      </c>
      <c r="Q8" s="102"/>
      <c r="R8" s="100" t="s">
        <v>284</v>
      </c>
      <c r="S8" s="100"/>
      <c r="T8" s="100"/>
      <c r="U8" s="100"/>
      <c r="V8" s="103" t="s">
        <v>285</v>
      </c>
      <c r="W8" s="103"/>
      <c r="X8" s="103"/>
    </row>
    <row r="9" spans="1:26" ht="86.45">
      <c r="B9" s="25"/>
      <c r="C9" s="17" t="s">
        <v>368</v>
      </c>
      <c r="D9" s="48" t="s">
        <v>369</v>
      </c>
      <c r="E9" s="32"/>
      <c r="F9" s="32"/>
      <c r="G9" s="33"/>
      <c r="H9" s="33"/>
      <c r="I9" s="47" t="s">
        <v>286</v>
      </c>
      <c r="J9" s="47" t="s">
        <v>287</v>
      </c>
      <c r="K9" s="47" t="s">
        <v>288</v>
      </c>
      <c r="L9" s="47" t="s">
        <v>289</v>
      </c>
      <c r="M9" s="47" t="s">
        <v>290</v>
      </c>
      <c r="N9" s="47" t="s">
        <v>291</v>
      </c>
      <c r="O9" s="47" t="s">
        <v>292</v>
      </c>
      <c r="P9" s="47" t="s">
        <v>293</v>
      </c>
      <c r="Q9" s="47" t="s">
        <v>294</v>
      </c>
      <c r="R9" s="47" t="s">
        <v>295</v>
      </c>
      <c r="S9" s="47" t="s">
        <v>296</v>
      </c>
      <c r="T9" s="47" t="s">
        <v>297</v>
      </c>
      <c r="U9" s="47" t="s">
        <v>298</v>
      </c>
      <c r="V9" s="47" t="s">
        <v>299</v>
      </c>
      <c r="W9" s="47" t="s">
        <v>300</v>
      </c>
      <c r="X9" s="47" t="s">
        <v>301</v>
      </c>
      <c r="Y9" s="61" t="s">
        <v>370</v>
      </c>
      <c r="Z9" s="61" t="s">
        <v>317</v>
      </c>
    </row>
    <row r="10" spans="1:26">
      <c r="A10" s="40" t="s">
        <v>83</v>
      </c>
      <c r="B10" s="27" t="s">
        <v>83</v>
      </c>
      <c r="C10" s="28" t="s">
        <v>84</v>
      </c>
      <c r="D10" s="63"/>
      <c r="E10" s="92" t="s">
        <v>230</v>
      </c>
      <c r="F10" s="92" t="s">
        <v>231</v>
      </c>
      <c r="G10" s="93" t="s">
        <v>233</v>
      </c>
      <c r="H10" s="93" t="s">
        <v>234</v>
      </c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64">
        <f>SUM(Z11:Z12)</f>
        <v>1000</v>
      </c>
    </row>
    <row r="11" spans="1:26" ht="43.15">
      <c r="A11" s="87" t="s">
        <v>144</v>
      </c>
      <c r="B11" s="17" t="s">
        <v>144</v>
      </c>
      <c r="C11" s="14" t="s">
        <v>145</v>
      </c>
      <c r="D11" s="23" t="s">
        <v>371</v>
      </c>
      <c r="E11" s="32"/>
      <c r="F11" s="32">
        <v>1</v>
      </c>
      <c r="G11" s="33">
        <v>44212</v>
      </c>
      <c r="H11" s="33">
        <f>G11+F11</f>
        <v>44213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 t="s">
        <v>302</v>
      </c>
      <c r="W11" s="25" t="s">
        <v>303</v>
      </c>
      <c r="X11" s="25"/>
      <c r="Y11" s="23" t="s">
        <v>372</v>
      </c>
      <c r="Z11" s="62">
        <v>500</v>
      </c>
    </row>
    <row r="12" spans="1:26" ht="28.9">
      <c r="A12" s="87" t="s">
        <v>150</v>
      </c>
      <c r="B12" s="17" t="s">
        <v>150</v>
      </c>
      <c r="C12" s="14" t="s">
        <v>151</v>
      </c>
      <c r="D12" s="23" t="s">
        <v>373</v>
      </c>
      <c r="E12" s="32"/>
      <c r="F12" s="32">
        <v>1</v>
      </c>
      <c r="G12" s="3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3" t="s">
        <v>372</v>
      </c>
      <c r="Z12" s="62">
        <v>500</v>
      </c>
    </row>
    <row r="13" spans="1:26">
      <c r="A13" s="40" t="s">
        <v>94</v>
      </c>
      <c r="B13" s="27" t="s">
        <v>94</v>
      </c>
      <c r="C13" s="28" t="s">
        <v>95</v>
      </c>
      <c r="D13" s="63"/>
      <c r="E13" s="58"/>
      <c r="F13" s="5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64">
        <f>SUM(Z14:Z20)</f>
        <v>4671.04</v>
      </c>
    </row>
    <row r="14" spans="1:26" ht="43.15">
      <c r="A14" s="88" t="s">
        <v>158</v>
      </c>
      <c r="B14" s="22" t="s">
        <v>158</v>
      </c>
      <c r="C14" s="14" t="s">
        <v>159</v>
      </c>
      <c r="D14" s="23" t="s">
        <v>374</v>
      </c>
      <c r="E14" s="32" t="s">
        <v>150</v>
      </c>
      <c r="F14" s="32">
        <v>2</v>
      </c>
      <c r="G14" s="33">
        <f>H11</f>
        <v>44213</v>
      </c>
      <c r="H14" s="33">
        <f t="shared" ref="H14:H20" si="0">G14+F14</f>
        <v>44215</v>
      </c>
      <c r="I14" s="25">
        <f>F14*8*$C$1</f>
        <v>64</v>
      </c>
      <c r="J14" s="25">
        <f>F14*C1*8</f>
        <v>64</v>
      </c>
      <c r="K14" s="25">
        <f>F14*8*C1</f>
        <v>64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 t="s">
        <v>375</v>
      </c>
      <c r="Z14" s="62">
        <f>SUM(I14:X14)</f>
        <v>192</v>
      </c>
    </row>
    <row r="15" spans="1:26" ht="28.9">
      <c r="A15" s="88" t="s">
        <v>160</v>
      </c>
      <c r="B15" s="22" t="s">
        <v>160</v>
      </c>
      <c r="C15" s="14" t="s">
        <v>161</v>
      </c>
      <c r="D15" s="23" t="s">
        <v>376</v>
      </c>
      <c r="E15" s="32" t="s">
        <v>150</v>
      </c>
      <c r="F15" s="32">
        <v>2</v>
      </c>
      <c r="G15" s="33">
        <v>44213</v>
      </c>
      <c r="H15" s="33">
        <f t="shared" si="0"/>
        <v>44215</v>
      </c>
      <c r="I15" s="25">
        <f>F15*8*$C$1</f>
        <v>64</v>
      </c>
      <c r="J15" s="25">
        <f>F15*8*C1</f>
        <v>64</v>
      </c>
      <c r="K15" s="25">
        <f>F15*8*C1</f>
        <v>64</v>
      </c>
      <c r="L15" s="25"/>
      <c r="M15" s="25"/>
      <c r="N15" s="25">
        <f>F15*C1*8</f>
        <v>64</v>
      </c>
      <c r="O15" s="25">
        <f>F15*C2*8</f>
        <v>160</v>
      </c>
      <c r="P15" s="25"/>
      <c r="Q15" s="25"/>
      <c r="R15" s="25"/>
      <c r="S15" s="25"/>
      <c r="T15" s="25"/>
      <c r="U15" s="25"/>
      <c r="V15" s="25"/>
      <c r="W15" s="25"/>
      <c r="X15" s="25"/>
      <c r="Y15" s="25" t="s">
        <v>375</v>
      </c>
      <c r="Z15" s="62">
        <f>SUM(I15:X15)</f>
        <v>416</v>
      </c>
    </row>
    <row r="16" spans="1:26" ht="28.9">
      <c r="A16" s="88" t="s">
        <v>165</v>
      </c>
      <c r="B16" s="22" t="s">
        <v>165</v>
      </c>
      <c r="C16" s="14" t="s">
        <v>166</v>
      </c>
      <c r="D16" s="23" t="s">
        <v>377</v>
      </c>
      <c r="E16" s="32" t="s">
        <v>239</v>
      </c>
      <c r="F16" s="32">
        <v>3</v>
      </c>
      <c r="G16" s="33">
        <f>H14</f>
        <v>44215</v>
      </c>
      <c r="H16" s="33">
        <f t="shared" si="0"/>
        <v>44218</v>
      </c>
      <c r="I16" s="25"/>
      <c r="J16" s="25"/>
      <c r="K16" s="25"/>
      <c r="L16" s="25">
        <f>F16*8*C2</f>
        <v>240</v>
      </c>
      <c r="M16" s="25">
        <f>F16*8*C2</f>
        <v>240</v>
      </c>
      <c r="N16" s="25"/>
      <c r="O16" s="25">
        <f>F16*C2*8</f>
        <v>240</v>
      </c>
      <c r="P16" s="25"/>
      <c r="Q16" s="25"/>
      <c r="R16" s="25"/>
      <c r="S16" s="25"/>
      <c r="T16" s="25"/>
      <c r="U16" s="25"/>
      <c r="V16" s="25"/>
      <c r="W16" s="25"/>
      <c r="X16" s="25"/>
      <c r="Y16" s="25" t="s">
        <v>375</v>
      </c>
      <c r="Z16" s="62">
        <f t="shared" ref="Z16:Z66" si="1">SUM(I16:X16)</f>
        <v>720</v>
      </c>
    </row>
    <row r="17" spans="1:26">
      <c r="A17" s="88" t="s">
        <v>170</v>
      </c>
      <c r="B17" s="22" t="s">
        <v>170</v>
      </c>
      <c r="C17" s="14" t="s">
        <v>171</v>
      </c>
      <c r="D17" s="23"/>
      <c r="E17" s="32" t="s">
        <v>165</v>
      </c>
      <c r="F17" s="32">
        <v>3</v>
      </c>
      <c r="G17" s="33">
        <f>H16</f>
        <v>44218</v>
      </c>
      <c r="H17" s="33">
        <f t="shared" si="0"/>
        <v>44221</v>
      </c>
      <c r="I17" s="25"/>
      <c r="J17" s="25">
        <f>F17*8*C1</f>
        <v>96</v>
      </c>
      <c r="K17" s="25"/>
      <c r="L17" s="25"/>
      <c r="M17" s="25"/>
      <c r="N17" s="25"/>
      <c r="O17" s="25">
        <f>F17*8*C2</f>
        <v>240</v>
      </c>
      <c r="P17" s="25"/>
      <c r="Q17" s="25"/>
      <c r="R17" s="25"/>
      <c r="S17" s="25"/>
      <c r="T17" s="25"/>
      <c r="U17" s="25"/>
      <c r="V17" s="25"/>
      <c r="W17" s="25"/>
      <c r="X17" s="25"/>
      <c r="Y17" s="25" t="s">
        <v>375</v>
      </c>
      <c r="Z17" s="62">
        <f t="shared" si="1"/>
        <v>336</v>
      </c>
    </row>
    <row r="18" spans="1:26">
      <c r="A18" s="88" t="s">
        <v>174</v>
      </c>
      <c r="B18" s="22" t="s">
        <v>174</v>
      </c>
      <c r="C18" s="14" t="s">
        <v>175</v>
      </c>
      <c r="D18" s="23"/>
      <c r="E18" s="32" t="s">
        <v>170</v>
      </c>
      <c r="F18" s="32">
        <v>3</v>
      </c>
      <c r="G18" s="33">
        <f>H17</f>
        <v>44221</v>
      </c>
      <c r="H18" s="33">
        <f t="shared" si="0"/>
        <v>44224</v>
      </c>
      <c r="I18" s="25"/>
      <c r="J18" s="25">
        <f>F18*8*C1</f>
        <v>96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 t="s">
        <v>375</v>
      </c>
      <c r="Z18" s="62">
        <f t="shared" si="1"/>
        <v>96</v>
      </c>
    </row>
    <row r="19" spans="1:26" ht="28.9">
      <c r="A19" s="88" t="s">
        <v>178</v>
      </c>
      <c r="B19" s="22" t="s">
        <v>178</v>
      </c>
      <c r="C19" s="14" t="s">
        <v>179</v>
      </c>
      <c r="D19" s="23"/>
      <c r="E19" s="32" t="s">
        <v>174</v>
      </c>
      <c r="F19" s="32">
        <v>5</v>
      </c>
      <c r="G19" s="33">
        <f>H18</f>
        <v>44224</v>
      </c>
      <c r="H19" s="33">
        <f t="shared" si="0"/>
        <v>44229</v>
      </c>
      <c r="I19" s="25"/>
      <c r="J19" s="25"/>
      <c r="K19" s="25">
        <f>F19*8*C2</f>
        <v>400</v>
      </c>
      <c r="L19" s="25">
        <f>F19*8*C2</f>
        <v>400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 t="s">
        <v>378</v>
      </c>
      <c r="Z19" s="62">
        <f t="shared" si="1"/>
        <v>800</v>
      </c>
    </row>
    <row r="20" spans="1:26">
      <c r="A20" s="88" t="s">
        <v>182</v>
      </c>
      <c r="B20" s="22" t="s">
        <v>182</v>
      </c>
      <c r="C20" s="14" t="s">
        <v>183</v>
      </c>
      <c r="D20" s="23"/>
      <c r="E20" s="32" t="s">
        <v>178</v>
      </c>
      <c r="F20" s="32">
        <v>20</v>
      </c>
      <c r="G20" s="33">
        <f>H19</f>
        <v>44229</v>
      </c>
      <c r="H20" s="33">
        <f t="shared" si="0"/>
        <v>44249</v>
      </c>
      <c r="I20" s="25"/>
      <c r="J20" s="25"/>
      <c r="K20" s="25">
        <f>F19*8*C2</f>
        <v>400</v>
      </c>
      <c r="L20" s="25">
        <f>F20*8*C2</f>
        <v>1600</v>
      </c>
      <c r="M20" s="25"/>
      <c r="N20" s="25"/>
      <c r="O20" s="25"/>
      <c r="P20" s="25"/>
      <c r="Q20" s="25">
        <f>$C$4*8*F20</f>
        <v>111.03999999999999</v>
      </c>
      <c r="R20" s="25"/>
      <c r="S20" s="25"/>
      <c r="T20" s="25"/>
      <c r="U20" s="25"/>
      <c r="V20" s="25"/>
      <c r="W20" s="25"/>
      <c r="X20" s="25"/>
      <c r="Y20" s="25" t="s">
        <v>378</v>
      </c>
      <c r="Z20" s="62">
        <f t="shared" si="1"/>
        <v>2111.04</v>
      </c>
    </row>
    <row r="21" spans="1:26">
      <c r="A21" s="40" t="s">
        <v>100</v>
      </c>
      <c r="B21" s="27" t="s">
        <v>100</v>
      </c>
      <c r="C21" s="27" t="s">
        <v>192</v>
      </c>
      <c r="D21" s="63"/>
      <c r="E21" s="58"/>
      <c r="F21" s="58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64">
        <f>SUM(Z22:Z30)</f>
        <v>43033.956666666658</v>
      </c>
    </row>
    <row r="22" spans="1:26" ht="28.9">
      <c r="A22" s="88" t="s">
        <v>195</v>
      </c>
      <c r="B22" s="22" t="s">
        <v>195</v>
      </c>
      <c r="C22" s="14" t="s">
        <v>196</v>
      </c>
      <c r="D22" s="23"/>
      <c r="E22" s="32" t="s">
        <v>245</v>
      </c>
      <c r="F22" s="32">
        <v>5</v>
      </c>
      <c r="G22" s="33">
        <f>H20</f>
        <v>44249</v>
      </c>
      <c r="H22" s="33">
        <f t="shared" ref="H22:H30" si="2">G22+F22</f>
        <v>44254</v>
      </c>
      <c r="I22" s="25">
        <f>F22*8*C1</f>
        <v>160</v>
      </c>
      <c r="J22" s="25"/>
      <c r="K22" s="25"/>
      <c r="L22" s="25"/>
      <c r="M22" s="25"/>
      <c r="N22" s="25"/>
      <c r="O22" s="25"/>
      <c r="P22" s="25">
        <f>0.68*F22*8</f>
        <v>27.200000000000003</v>
      </c>
      <c r="Q22" s="25"/>
      <c r="R22" s="25"/>
      <c r="S22" s="25"/>
      <c r="T22" s="25"/>
      <c r="U22" s="25" cm="1">
        <f t="array" ref="U22">SUMPRODUCT(1/COUNTIF(I22:O22,I22:O22&amp;""))</f>
        <v>2.0000000000000004</v>
      </c>
      <c r="V22" s="25"/>
      <c r="W22" s="25"/>
      <c r="X22" s="25">
        <v>200</v>
      </c>
      <c r="Y22" s="25" t="s">
        <v>375</v>
      </c>
      <c r="Z22" s="62">
        <f t="shared" si="1"/>
        <v>389.2</v>
      </c>
    </row>
    <row r="23" spans="1:26">
      <c r="A23" s="88" t="s">
        <v>197</v>
      </c>
      <c r="B23" s="22" t="s">
        <v>197</v>
      </c>
      <c r="C23" s="14" t="s">
        <v>198</v>
      </c>
      <c r="D23" s="23"/>
      <c r="E23" s="32" t="s">
        <v>195</v>
      </c>
      <c r="F23" s="32">
        <v>30</v>
      </c>
      <c r="G23" s="33">
        <f>H22</f>
        <v>44254</v>
      </c>
      <c r="H23" s="33">
        <f t="shared" si="2"/>
        <v>44284</v>
      </c>
      <c r="I23" s="25"/>
      <c r="J23" s="25">
        <f>F23*8*C1</f>
        <v>960</v>
      </c>
      <c r="K23" s="25"/>
      <c r="L23" s="25"/>
      <c r="M23" s="25"/>
      <c r="N23" s="25"/>
      <c r="O23" s="25"/>
      <c r="P23" s="25" cm="1">
        <f t="array" ref="P23">SUMPRODUCT(1/COUNTIF(I23:O23,I23:O23&amp;""))*0.68*F23*8</f>
        <v>326.40000000000009</v>
      </c>
      <c r="Q23" s="25"/>
      <c r="R23" s="25"/>
      <c r="S23" s="25"/>
      <c r="T23" s="25"/>
      <c r="U23" s="25" cm="1">
        <f t="array" ref="U23">SUMPRODUCT(1/COUNTIF(I23:O23,I23:O23&amp;""))</f>
        <v>2.0000000000000004</v>
      </c>
      <c r="V23" s="25"/>
      <c r="W23" s="25"/>
      <c r="X23" s="25">
        <v>200</v>
      </c>
      <c r="Y23" s="25" t="s">
        <v>375</v>
      </c>
      <c r="Z23" s="62">
        <f t="shared" si="1"/>
        <v>1488.4</v>
      </c>
    </row>
    <row r="24" spans="1:26">
      <c r="A24" s="88" t="s">
        <v>201</v>
      </c>
      <c r="B24" s="22" t="s">
        <v>201</v>
      </c>
      <c r="C24" s="14" t="s">
        <v>202</v>
      </c>
      <c r="D24" s="23"/>
      <c r="E24" s="32" t="s">
        <v>245</v>
      </c>
      <c r="F24" s="32">
        <v>45</v>
      </c>
      <c r="G24" s="33">
        <f>H20</f>
        <v>44249</v>
      </c>
      <c r="H24" s="33">
        <f t="shared" si="2"/>
        <v>44294</v>
      </c>
      <c r="I24" s="25"/>
      <c r="J24" s="25"/>
      <c r="K24" s="25">
        <f>F24*8*C2</f>
        <v>3600</v>
      </c>
      <c r="L24" s="25"/>
      <c r="M24" s="25"/>
      <c r="N24" s="25">
        <f>F24*8*C1</f>
        <v>1440</v>
      </c>
      <c r="O24" s="25">
        <f>F24*8*40</f>
        <v>14400</v>
      </c>
      <c r="P24" s="25" cm="1">
        <f t="array" ref="P24">SUMPRODUCT(1/COUNTIF(I24:O24,I24:O24&amp;""))*0.68*8*F24</f>
        <v>979.2</v>
      </c>
      <c r="Q24" s="25">
        <f>$C$4*8*F24</f>
        <v>249.83999999999997</v>
      </c>
      <c r="R24" s="25">
        <f>$C$5*F24</f>
        <v>1100.2649999999999</v>
      </c>
      <c r="S24" s="25">
        <f>$C$6*F24</f>
        <v>325.185</v>
      </c>
      <c r="T24" s="25">
        <f>$C$7*F24</f>
        <v>2871.6750000000002</v>
      </c>
      <c r="U24" s="25" cm="1">
        <f t="array" ref="U24">SUMPRODUCT(1/COUNTIF(I24:O24,I24:O24&amp;""))</f>
        <v>4</v>
      </c>
      <c r="V24" s="25"/>
      <c r="W24" s="25"/>
      <c r="X24" s="25">
        <v>200</v>
      </c>
      <c r="Y24" s="25" t="s">
        <v>378</v>
      </c>
      <c r="Z24" s="62">
        <f t="shared" si="1"/>
        <v>25170.165000000001</v>
      </c>
    </row>
    <row r="25" spans="1:26">
      <c r="A25" s="88" t="s">
        <v>207</v>
      </c>
      <c r="B25" s="22" t="s">
        <v>207</v>
      </c>
      <c r="C25" s="14" t="s">
        <v>208</v>
      </c>
      <c r="D25" s="23"/>
      <c r="E25" s="32" t="s">
        <v>201</v>
      </c>
      <c r="F25" s="32">
        <v>5</v>
      </c>
      <c r="G25" s="33">
        <f>H24</f>
        <v>44294</v>
      </c>
      <c r="H25" s="33">
        <f t="shared" si="2"/>
        <v>44299</v>
      </c>
      <c r="I25" s="25"/>
      <c r="J25" s="25">
        <f>F25*8*C1</f>
        <v>160</v>
      </c>
      <c r="K25" s="25">
        <f>F25*8*C2</f>
        <v>400</v>
      </c>
      <c r="L25" s="25"/>
      <c r="M25" s="25"/>
      <c r="N25" s="25">
        <f>F24*8*C2</f>
        <v>3600</v>
      </c>
      <c r="O25" s="25">
        <f>F24*8*C2</f>
        <v>3600</v>
      </c>
      <c r="P25" s="25" cm="1">
        <f t="array" ref="P25">SUMPRODUCT(1/COUNTIF(I25:O25,I25:O25&amp;""))*F25*0.68*8</f>
        <v>108.80000000000001</v>
      </c>
      <c r="Q25" s="25">
        <f>$C$4*8*F25</f>
        <v>27.759999999999998</v>
      </c>
      <c r="R25" s="25">
        <f t="shared" ref="R25:R26" si="3">$C$5*F25</f>
        <v>122.25166666666667</v>
      </c>
      <c r="S25" s="25">
        <f t="shared" ref="S25:S26" si="4">$C$6*F25</f>
        <v>36.131666666666661</v>
      </c>
      <c r="T25" s="25">
        <f t="shared" ref="T25:T26" si="5">$C$7*F25</f>
        <v>319.07500000000005</v>
      </c>
      <c r="U25" s="25" cm="1">
        <f t="array" ref="U25">SUMPRODUCT(1/COUNTIF(I25:O25,I25:O25&amp;""))</f>
        <v>4</v>
      </c>
      <c r="V25" s="25"/>
      <c r="W25" s="25"/>
      <c r="X25" s="25">
        <v>200</v>
      </c>
      <c r="Y25" s="25" t="s">
        <v>378</v>
      </c>
      <c r="Z25" s="62">
        <f t="shared" si="1"/>
        <v>8578.0183333333352</v>
      </c>
    </row>
    <row r="26" spans="1:26">
      <c r="A26" s="88" t="s">
        <v>210</v>
      </c>
      <c r="B26" s="22" t="s">
        <v>210</v>
      </c>
      <c r="C26" s="14" t="s">
        <v>211</v>
      </c>
      <c r="D26" s="23"/>
      <c r="E26" s="32" t="s">
        <v>207</v>
      </c>
      <c r="F26" s="32">
        <v>8</v>
      </c>
      <c r="G26" s="33">
        <f>H25</f>
        <v>44299</v>
      </c>
      <c r="H26" s="33">
        <f t="shared" si="2"/>
        <v>44307</v>
      </c>
      <c r="I26" s="25"/>
      <c r="J26" s="25"/>
      <c r="K26" s="25"/>
      <c r="L26" s="25"/>
      <c r="M26" s="25"/>
      <c r="N26" s="25"/>
      <c r="O26" s="25">
        <f>F26*8*C2</f>
        <v>640</v>
      </c>
      <c r="P26" s="25" cm="1">
        <f t="array" ref="P26">SUMPRODUCT(1/COUNTIF(I26:O26,I26:O26&amp;""))*F26*0.68*8</f>
        <v>87.04</v>
      </c>
      <c r="Q26" s="25"/>
      <c r="R26" s="25">
        <f t="shared" si="3"/>
        <v>195.60266666666666</v>
      </c>
      <c r="S26" s="25">
        <f t="shared" si="4"/>
        <v>57.810666666666663</v>
      </c>
      <c r="T26" s="25">
        <f t="shared" si="5"/>
        <v>510.52000000000004</v>
      </c>
      <c r="U26" s="25" cm="1">
        <f t="array" ref="U26">SUMPRODUCT(1/COUNTIF(I26:O26,I26:O26&amp;""))</f>
        <v>2</v>
      </c>
      <c r="V26" s="25"/>
      <c r="W26" s="25"/>
      <c r="X26" s="25">
        <v>200</v>
      </c>
      <c r="Y26" s="25" t="s">
        <v>379</v>
      </c>
      <c r="Z26" s="62">
        <f t="shared" si="1"/>
        <v>1692.9733333333334</v>
      </c>
    </row>
    <row r="27" spans="1:26">
      <c r="A27" s="88" t="s">
        <v>212</v>
      </c>
      <c r="B27" s="22" t="s">
        <v>212</v>
      </c>
      <c r="C27" s="14" t="s">
        <v>213</v>
      </c>
      <c r="D27" s="23"/>
      <c r="E27" s="32" t="s">
        <v>195</v>
      </c>
      <c r="F27" s="32">
        <v>15</v>
      </c>
      <c r="G27" s="33">
        <f>H23</f>
        <v>44284</v>
      </c>
      <c r="H27" s="33">
        <f t="shared" si="2"/>
        <v>44299</v>
      </c>
      <c r="I27" s="25">
        <f>F27*8*C1</f>
        <v>480</v>
      </c>
      <c r="J27" s="25">
        <f>F27*8*C1</f>
        <v>480</v>
      </c>
      <c r="K27" s="25"/>
      <c r="L27" s="25"/>
      <c r="M27" s="25"/>
      <c r="N27" s="25"/>
      <c r="O27" s="25"/>
      <c r="P27" s="25" cm="1">
        <f t="array" ref="P27">SUMPRODUCT(1/COUNTIF(I27:O27,I27:O27&amp;""))*0.68*8*F27</f>
        <v>163.19999999999999</v>
      </c>
      <c r="Q27" s="25"/>
      <c r="R27" s="25"/>
      <c r="S27" s="25"/>
      <c r="T27" s="25"/>
      <c r="U27" s="25" cm="1">
        <f t="array" ref="U27">SUMPRODUCT(1/COUNTIF(I27:O27,I27:O27&amp;""))</f>
        <v>1.9999999999999998</v>
      </c>
      <c r="V27" s="25"/>
      <c r="W27" s="25"/>
      <c r="X27" s="25">
        <v>200</v>
      </c>
      <c r="Y27" s="25" t="s">
        <v>375</v>
      </c>
      <c r="Z27" s="62">
        <f t="shared" si="1"/>
        <v>1325.2</v>
      </c>
    </row>
    <row r="28" spans="1:26">
      <c r="A28" s="88" t="s">
        <v>215</v>
      </c>
      <c r="B28" s="22" t="s">
        <v>215</v>
      </c>
      <c r="C28" s="14" t="s">
        <v>216</v>
      </c>
      <c r="D28" s="23"/>
      <c r="E28" s="32" t="s">
        <v>195</v>
      </c>
      <c r="F28" s="32">
        <v>15</v>
      </c>
      <c r="G28" s="33">
        <f>H23</f>
        <v>44284</v>
      </c>
      <c r="H28" s="33">
        <f t="shared" si="2"/>
        <v>44299</v>
      </c>
      <c r="I28" s="25">
        <f>F28*8*C1</f>
        <v>480</v>
      </c>
      <c r="J28" s="25">
        <f>F28*8*C1</f>
        <v>480</v>
      </c>
      <c r="K28" s="25"/>
      <c r="L28" s="25"/>
      <c r="M28" s="25"/>
      <c r="N28" s="25"/>
      <c r="O28" s="25"/>
      <c r="P28" s="25" cm="1">
        <f t="array" ref="P28">SUMPRODUCT(1/COUNTIF(I28:O28,I28:O28&amp;""))*F28*8*0.68</f>
        <v>163.19999999999999</v>
      </c>
      <c r="Q28" s="25"/>
      <c r="R28" s="25"/>
      <c r="S28" s="25"/>
      <c r="T28" s="25"/>
      <c r="U28" s="25" cm="1">
        <f t="array" ref="U28">SUMPRODUCT(1/COUNTIF(I28:O28,I28:O28&amp;""))</f>
        <v>1.9999999999999998</v>
      </c>
      <c r="V28" s="25"/>
      <c r="W28" s="25"/>
      <c r="X28" s="25"/>
      <c r="Y28" s="25" t="s">
        <v>375</v>
      </c>
      <c r="Z28" s="62">
        <f t="shared" si="1"/>
        <v>1125.2</v>
      </c>
    </row>
    <row r="29" spans="1:26">
      <c r="A29" s="88" t="s">
        <v>218</v>
      </c>
      <c r="B29" s="22" t="s">
        <v>218</v>
      </c>
      <c r="C29" s="14" t="s">
        <v>219</v>
      </c>
      <c r="D29" s="23"/>
      <c r="E29" s="32" t="s">
        <v>210</v>
      </c>
      <c r="F29" s="32">
        <v>15</v>
      </c>
      <c r="G29" s="33">
        <f>H26</f>
        <v>44307</v>
      </c>
      <c r="H29" s="33">
        <f t="shared" si="2"/>
        <v>44322</v>
      </c>
      <c r="I29" s="25"/>
      <c r="J29" s="25">
        <f>F29*8*C1</f>
        <v>480</v>
      </c>
      <c r="K29" s="25">
        <f>F29*8*C1</f>
        <v>480</v>
      </c>
      <c r="L29" s="25"/>
      <c r="M29" s="25"/>
      <c r="N29" s="25"/>
      <c r="O29" s="25"/>
      <c r="P29" s="25" cm="1">
        <f t="array" ref="P29">SUMPRODUCT(1/COUNTIF(I29:O29,I29:O29&amp;""))*8*0.68*F29</f>
        <v>163.19999999999999</v>
      </c>
      <c r="Q29" s="25"/>
      <c r="R29" s="25"/>
      <c r="S29" s="25"/>
      <c r="T29" s="25"/>
      <c r="U29" s="25" cm="1">
        <f t="array" ref="U29">SUMPRODUCT(1/COUNTIF(I29:O29,I29:O29&amp;""))</f>
        <v>1.9999999999999998</v>
      </c>
      <c r="V29" s="25"/>
      <c r="W29" s="25"/>
      <c r="X29" s="25"/>
      <c r="Y29" s="25" t="s">
        <v>375</v>
      </c>
      <c r="Z29" s="62">
        <f t="shared" si="1"/>
        <v>1125.2</v>
      </c>
    </row>
    <row r="30" spans="1:26">
      <c r="A30" s="88" t="s">
        <v>220</v>
      </c>
      <c r="B30" s="22" t="s">
        <v>220</v>
      </c>
      <c r="C30" s="14" t="s">
        <v>221</v>
      </c>
      <c r="D30" s="23"/>
      <c r="E30" s="32" t="s">
        <v>254</v>
      </c>
      <c r="F30" s="32">
        <v>20</v>
      </c>
      <c r="G30" s="33">
        <f>H29</f>
        <v>44322</v>
      </c>
      <c r="H30" s="33">
        <f t="shared" si="2"/>
        <v>44342</v>
      </c>
      <c r="I30" s="25">
        <f>F30*8*C1</f>
        <v>640</v>
      </c>
      <c r="J30" s="25">
        <f>F30*8*C1</f>
        <v>640</v>
      </c>
      <c r="K30" s="25">
        <f>F30*8*C1</f>
        <v>640</v>
      </c>
      <c r="L30" s="25"/>
      <c r="M30" s="25"/>
      <c r="N30" s="25"/>
      <c r="O30" s="25"/>
      <c r="P30" s="25" cm="1">
        <f t="array" ref="P30">SUMPRODUCT(1/COUNTIF(I30:O30,I30:O30&amp;""))*0.68*8*F30</f>
        <v>217.60000000000002</v>
      </c>
      <c r="Q30" s="25"/>
      <c r="R30" s="25"/>
      <c r="S30" s="25"/>
      <c r="T30" s="25"/>
      <c r="U30" s="25" cm="1">
        <f t="array" ref="U30">SUMPRODUCT(1/COUNTIF(I30:O30,I30:O30&amp;""))</f>
        <v>2</v>
      </c>
      <c r="V30" s="25"/>
      <c r="W30" s="25"/>
      <c r="X30" s="25"/>
      <c r="Y30" s="25" t="s">
        <v>375</v>
      </c>
      <c r="Z30" s="62">
        <f t="shared" si="1"/>
        <v>2139.6</v>
      </c>
    </row>
    <row r="31" spans="1:26">
      <c r="A31" s="40" t="s">
        <v>104</v>
      </c>
      <c r="B31" s="27" t="s">
        <v>104</v>
      </c>
      <c r="C31" s="27" t="s">
        <v>105</v>
      </c>
      <c r="D31" s="63"/>
      <c r="E31" s="58"/>
      <c r="F31" s="58"/>
      <c r="G31" s="46"/>
      <c r="H31" s="46"/>
      <c r="I31" s="46"/>
      <c r="J31" s="46"/>
      <c r="K31" s="46"/>
      <c r="L31" s="46"/>
      <c r="M31" s="46"/>
      <c r="N31" s="46"/>
      <c r="O31" s="46"/>
      <c r="P31" s="46" cm="1">
        <f t="array" ref="P31">SUMPRODUCT(1/COUNTIF(I31:O31,I31:O31&amp;""))*0.68*F31</f>
        <v>0</v>
      </c>
      <c r="Q31" s="46"/>
      <c r="R31" s="46"/>
      <c r="S31" s="46"/>
      <c r="T31" s="46"/>
      <c r="U31" s="46" cm="1">
        <f t="array" ref="U31">SUMPRODUCT(1/COUNTIF(I31:O31,I31:O31&amp;""))</f>
        <v>0.99999999999999978</v>
      </c>
      <c r="V31" s="46"/>
      <c r="W31" s="46"/>
      <c r="X31" s="46"/>
      <c r="Y31" s="46"/>
      <c r="Z31" s="64">
        <f>SUM(Z32:Z35)</f>
        <v>2630.2</v>
      </c>
    </row>
    <row r="32" spans="1:26">
      <c r="A32" s="88" t="s">
        <v>222</v>
      </c>
      <c r="B32" s="22" t="s">
        <v>222</v>
      </c>
      <c r="C32" s="14" t="s">
        <v>223</v>
      </c>
      <c r="D32" s="23"/>
      <c r="E32" s="32" t="s">
        <v>212</v>
      </c>
      <c r="F32" s="32">
        <v>5</v>
      </c>
      <c r="G32" s="33">
        <f>H27</f>
        <v>44299</v>
      </c>
      <c r="H32" s="33">
        <f>G32+F32</f>
        <v>44304</v>
      </c>
      <c r="I32" s="25">
        <f>F32*8*C1</f>
        <v>160</v>
      </c>
      <c r="J32" s="25">
        <f>F32*8*C1</f>
        <v>160</v>
      </c>
      <c r="K32" s="25">
        <f>F32*8*C1</f>
        <v>160</v>
      </c>
      <c r="L32" s="25"/>
      <c r="M32" s="25"/>
      <c r="N32" s="25"/>
      <c r="O32" s="25"/>
      <c r="P32" s="25" cm="1">
        <f t="array" ref="P32">SUMPRODUCT(1/COUNTIF(I32:O32,I32:O32&amp;""))*0.68*F32*8</f>
        <v>54.400000000000006</v>
      </c>
      <c r="Q32" s="25"/>
      <c r="R32" s="25"/>
      <c r="S32" s="25"/>
      <c r="T32" s="25"/>
      <c r="U32" s="25" cm="1">
        <f t="array" ref="U32">SUMPRODUCT(1/COUNTIF(I32:O32,I32:O32&amp;""))</f>
        <v>2</v>
      </c>
      <c r="V32" s="25"/>
      <c r="W32" s="25"/>
      <c r="X32" s="25"/>
      <c r="Y32" s="25" t="s">
        <v>375</v>
      </c>
      <c r="Z32" s="62">
        <f t="shared" si="1"/>
        <v>536.4</v>
      </c>
    </row>
    <row r="33" spans="1:26">
      <c r="A33" s="88" t="s">
        <v>224</v>
      </c>
      <c r="B33" s="22" t="s">
        <v>224</v>
      </c>
      <c r="C33" s="14" t="s">
        <v>225</v>
      </c>
      <c r="D33" s="23"/>
      <c r="E33" s="32" t="s">
        <v>215</v>
      </c>
      <c r="F33" s="32">
        <v>5</v>
      </c>
      <c r="G33" s="33">
        <f>H28</f>
        <v>44299</v>
      </c>
      <c r="H33" s="33">
        <f>G33+F33</f>
        <v>44304</v>
      </c>
      <c r="I33" s="25">
        <f>$C$1*F33*8</f>
        <v>160</v>
      </c>
      <c r="J33" s="25">
        <f>F33*8*C1</f>
        <v>160</v>
      </c>
      <c r="K33" s="25">
        <f>F33*8*C2</f>
        <v>400</v>
      </c>
      <c r="L33" s="25"/>
      <c r="M33" s="25"/>
      <c r="N33" s="25"/>
      <c r="O33" s="25"/>
      <c r="P33" s="25" cm="1">
        <f t="array" ref="P33">SUMPRODUCT(1/COUNTIF(I33:O33,I33:O33&amp;""))*0.68*8*F33</f>
        <v>81.599999999999994</v>
      </c>
      <c r="Q33" s="25"/>
      <c r="R33" s="25"/>
      <c r="S33" s="25"/>
      <c r="T33" s="25"/>
      <c r="U33" s="25" cm="1">
        <f t="array" ref="U33">SUMPRODUCT(1/COUNTIF(I33:O33,I33:O33&amp;""))</f>
        <v>3</v>
      </c>
      <c r="V33" s="25"/>
      <c r="W33" s="25"/>
      <c r="X33" s="25"/>
      <c r="Y33" s="25" t="s">
        <v>375</v>
      </c>
      <c r="Z33" s="62">
        <f t="shared" si="1"/>
        <v>804.6</v>
      </c>
    </row>
    <row r="34" spans="1:26">
      <c r="A34" s="88" t="s">
        <v>226</v>
      </c>
      <c r="B34" s="22" t="s">
        <v>226</v>
      </c>
      <c r="C34" s="14" t="s">
        <v>227</v>
      </c>
      <c r="D34" s="23"/>
      <c r="E34" s="32" t="s">
        <v>220</v>
      </c>
      <c r="F34" s="32">
        <v>5</v>
      </c>
      <c r="G34" s="33">
        <f>H30</f>
        <v>44342</v>
      </c>
      <c r="H34" s="33">
        <f>G34+F34</f>
        <v>44347</v>
      </c>
      <c r="I34" s="25"/>
      <c r="J34" s="25">
        <f>F34*8*C1</f>
        <v>160</v>
      </c>
      <c r="K34" s="25">
        <f>F34*8*C2</f>
        <v>400</v>
      </c>
      <c r="L34" s="25"/>
      <c r="M34" s="25"/>
      <c r="N34" s="25"/>
      <c r="O34" s="25"/>
      <c r="P34" s="25" cm="1">
        <f t="array" ref="P34">SUMPRODUCT(1/COUNTIF(I34:O34,I34:O34&amp;""))*0.68*8*F34</f>
        <v>81.600000000000037</v>
      </c>
      <c r="Q34" s="25"/>
      <c r="R34" s="25"/>
      <c r="S34" s="25"/>
      <c r="T34" s="25"/>
      <c r="U34" s="25" cm="1">
        <f t="array" ref="U34">SUMPRODUCT(1/COUNTIF(I34:O34,I34:O34&amp;""))</f>
        <v>3.0000000000000009</v>
      </c>
      <c r="V34" s="25"/>
      <c r="W34" s="25"/>
      <c r="X34" s="25"/>
      <c r="Y34" s="25" t="s">
        <v>375</v>
      </c>
      <c r="Z34" s="62">
        <f t="shared" si="1"/>
        <v>644.6</v>
      </c>
    </row>
    <row r="35" spans="1:26">
      <c r="A35" s="88" t="s">
        <v>228</v>
      </c>
      <c r="B35" s="22" t="s">
        <v>228</v>
      </c>
      <c r="C35" s="14" t="s">
        <v>229</v>
      </c>
      <c r="D35" s="23"/>
      <c r="E35" s="32" t="s">
        <v>226</v>
      </c>
      <c r="F35" s="32">
        <v>5</v>
      </c>
      <c r="G35" s="33">
        <f>H34</f>
        <v>44347</v>
      </c>
      <c r="H35" s="33">
        <f>G35+F35</f>
        <v>44352</v>
      </c>
      <c r="I35" s="25"/>
      <c r="J35" s="25">
        <f>F35*8*C1</f>
        <v>160</v>
      </c>
      <c r="K35" s="25">
        <f>F35*8*C2</f>
        <v>400</v>
      </c>
      <c r="L35" s="25"/>
      <c r="M35" s="25"/>
      <c r="N35" s="25"/>
      <c r="O35" s="25"/>
      <c r="P35" s="25" cm="1">
        <f t="array" ref="P35">SUMPRODUCT(1/COUNTIF(I35:O35,I35:O35&amp;""))*0.68*F35*8</f>
        <v>81.600000000000037</v>
      </c>
      <c r="Q35" s="25"/>
      <c r="R35" s="25"/>
      <c r="S35" s="25"/>
      <c r="T35" s="25"/>
      <c r="U35" s="25" cm="1">
        <f t="array" ref="U35">SUMPRODUCT(1/COUNTIF(I35:O35,I35:O35&amp;""))</f>
        <v>3.0000000000000009</v>
      </c>
      <c r="V35" s="25"/>
      <c r="W35" s="25"/>
      <c r="X35" s="25"/>
      <c r="Y35" s="25" t="s">
        <v>375</v>
      </c>
      <c r="Z35" s="62">
        <f t="shared" si="1"/>
        <v>644.6</v>
      </c>
    </row>
    <row r="36" spans="1:26">
      <c r="A36" s="42" t="s">
        <v>110</v>
      </c>
      <c r="B36" s="29" t="s">
        <v>110</v>
      </c>
      <c r="C36" s="30" t="s">
        <v>111</v>
      </c>
      <c r="D36" s="65"/>
      <c r="E36" s="55"/>
      <c r="F36" s="55"/>
      <c r="G36" s="56"/>
      <c r="H36" s="57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 cm="1">
        <f t="array" ref="U36">SUMPRODUCT(1/COUNTIF(I36:O36,I36:O36&amp;""))</f>
        <v>0.99999999999999978</v>
      </c>
      <c r="V36" s="56"/>
      <c r="W36" s="56"/>
      <c r="X36" s="56">
        <v>200</v>
      </c>
      <c r="Y36" s="56"/>
      <c r="Z36" s="66">
        <f>SUM(Z37:Z39)</f>
        <v>5908.6959999999999</v>
      </c>
    </row>
    <row r="37" spans="1:26">
      <c r="A37" s="89" t="s">
        <v>146</v>
      </c>
      <c r="B37" s="31" t="s">
        <v>146</v>
      </c>
      <c r="C37" s="14" t="s">
        <v>147</v>
      </c>
      <c r="D37" s="23"/>
      <c r="E37" s="32" t="s">
        <v>228</v>
      </c>
      <c r="F37" s="32">
        <v>8</v>
      </c>
      <c r="G37" s="33">
        <f>H35</f>
        <v>44352</v>
      </c>
      <c r="H37" s="33">
        <f t="shared" ref="H37:H63" si="6">G37+F37</f>
        <v>44360</v>
      </c>
      <c r="I37" s="25"/>
      <c r="J37" s="25"/>
      <c r="K37" s="25">
        <f>F37*8*C2</f>
        <v>640</v>
      </c>
      <c r="L37" s="25"/>
      <c r="M37" s="25">
        <f>F37*8*C2</f>
        <v>640</v>
      </c>
      <c r="N37" s="25"/>
      <c r="O37" s="25"/>
      <c r="P37" s="25" cm="1">
        <f t="array" ref="P37">SUMPRODUCT(1/COUNTIF(I37:O37,I37:O37&amp;""))*0.68*8*F37</f>
        <v>87.04</v>
      </c>
      <c r="Q37" s="25"/>
      <c r="R37" s="25"/>
      <c r="S37" s="25"/>
      <c r="T37" s="25"/>
      <c r="U37" s="25" cm="1">
        <f t="array" ref="U37">SUMPRODUCT(1/COUNTIF(I37:O37,I37:O37&amp;""))</f>
        <v>2</v>
      </c>
      <c r="V37" s="25"/>
      <c r="W37" s="25"/>
      <c r="X37" s="25">
        <v>200</v>
      </c>
      <c r="Y37" s="25" t="s">
        <v>380</v>
      </c>
      <c r="Z37" s="62">
        <f t="shared" si="1"/>
        <v>1569.04</v>
      </c>
    </row>
    <row r="38" spans="1:26">
      <c r="A38" s="89" t="s">
        <v>152</v>
      </c>
      <c r="B38" s="31" t="s">
        <v>152</v>
      </c>
      <c r="C38" s="14" t="s">
        <v>153</v>
      </c>
      <c r="D38" s="23"/>
      <c r="E38" s="32" t="s">
        <v>146</v>
      </c>
      <c r="F38" s="32">
        <v>10</v>
      </c>
      <c r="G38" s="33">
        <f>H37</f>
        <v>44360</v>
      </c>
      <c r="H38" s="33">
        <f t="shared" si="6"/>
        <v>44370</v>
      </c>
      <c r="I38" s="25"/>
      <c r="J38" s="25"/>
      <c r="K38" s="25"/>
      <c r="L38" s="25">
        <f>F38*60*C1</f>
        <v>2400</v>
      </c>
      <c r="M38" s="25">
        <f>F38*8*C2</f>
        <v>800</v>
      </c>
      <c r="N38" s="25"/>
      <c r="O38" s="25"/>
      <c r="P38" s="25" cm="1">
        <f t="array" ref="P38">SUMPRODUCT(1/COUNTIF(I38:O38,I38:O38&amp;""))*0.68*8*F38</f>
        <v>163.20000000000005</v>
      </c>
      <c r="Q38" s="25"/>
      <c r="R38" s="25"/>
      <c r="S38" s="25"/>
      <c r="T38" s="25"/>
      <c r="U38" s="25" cm="1">
        <f t="array" ref="U38">SUMPRODUCT(1/COUNTIF(I38:O38,I38:O38&amp;""))</f>
        <v>3.0000000000000004</v>
      </c>
      <c r="V38" s="25"/>
      <c r="W38" s="25"/>
      <c r="X38" s="25">
        <v>200</v>
      </c>
      <c r="Y38" s="25" t="s">
        <v>380</v>
      </c>
      <c r="Z38" s="62">
        <f t="shared" si="1"/>
        <v>3566.2</v>
      </c>
    </row>
    <row r="39" spans="1:26">
      <c r="A39" s="89" t="s">
        <v>154</v>
      </c>
      <c r="B39" s="31" t="s">
        <v>154</v>
      </c>
      <c r="C39" s="14" t="s">
        <v>149</v>
      </c>
      <c r="D39" s="23"/>
      <c r="E39" s="32" t="s">
        <v>152</v>
      </c>
      <c r="F39" s="32">
        <v>8</v>
      </c>
      <c r="G39" s="33">
        <f>H38</f>
        <v>44370</v>
      </c>
      <c r="H39" s="33">
        <f t="shared" si="6"/>
        <v>44378</v>
      </c>
      <c r="I39" s="25"/>
      <c r="J39" s="25"/>
      <c r="K39" s="25"/>
      <c r="L39" s="25"/>
      <c r="M39" s="25">
        <f>F39*8*C2</f>
        <v>640</v>
      </c>
      <c r="N39" s="25"/>
      <c r="O39" s="25"/>
      <c r="P39" s="25" cm="1">
        <f t="array" ref="P39">SUMPRODUCT(1/COUNTIF(I39:O39,I39:O39&amp;""))*0.68*8*F39</f>
        <v>87.04</v>
      </c>
      <c r="Q39" s="25">
        <f>$C$4*8*F39</f>
        <v>44.415999999999997</v>
      </c>
      <c r="R39" s="25"/>
      <c r="S39" s="25"/>
      <c r="T39" s="25"/>
      <c r="U39" s="25" cm="1">
        <f t="array" ref="U39">SUMPRODUCT(1/COUNTIF(I39:O39,I39:O39&amp;""))</f>
        <v>2</v>
      </c>
      <c r="V39" s="25"/>
      <c r="W39" s="25"/>
      <c r="X39" s="25"/>
      <c r="Y39" s="25" t="s">
        <v>380</v>
      </c>
      <c r="Z39" s="62">
        <f t="shared" si="1"/>
        <v>773.4559999999999</v>
      </c>
    </row>
    <row r="40" spans="1:26">
      <c r="A40" s="42" t="s">
        <v>115</v>
      </c>
      <c r="B40" s="29" t="s">
        <v>115</v>
      </c>
      <c r="C40" s="30" t="s">
        <v>116</v>
      </c>
      <c r="D40" s="65"/>
      <c r="E40" s="55"/>
      <c r="F40" s="55"/>
      <c r="G40" s="56"/>
      <c r="H40" s="57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 cm="1">
        <f t="array" ref="U40">SUMPRODUCT(1/COUNTIF(I40:O40,I40:O40&amp;""))</f>
        <v>0.99999999999999978</v>
      </c>
      <c r="V40" s="56"/>
      <c r="W40" s="56"/>
      <c r="X40" s="56"/>
      <c r="Y40" s="56"/>
      <c r="Z40" s="66">
        <f>SUM(Z41:Z42)</f>
        <v>4193.0559999999996</v>
      </c>
    </row>
    <row r="41" spans="1:26">
      <c r="A41" s="89" t="s">
        <v>162</v>
      </c>
      <c r="B41" s="31" t="s">
        <v>162</v>
      </c>
      <c r="C41" s="14" t="s">
        <v>163</v>
      </c>
      <c r="D41" s="23"/>
      <c r="E41" s="32" t="s">
        <v>154</v>
      </c>
      <c r="F41" s="32">
        <v>20</v>
      </c>
      <c r="G41" s="33">
        <f>H39</f>
        <v>44378</v>
      </c>
      <c r="H41" s="33">
        <f t="shared" si="6"/>
        <v>44398</v>
      </c>
      <c r="I41" s="25"/>
      <c r="J41" s="25"/>
      <c r="K41" s="25"/>
      <c r="L41" s="25">
        <f>F41*8*C2</f>
        <v>1600</v>
      </c>
      <c r="M41" s="25">
        <f>F41*8*C2</f>
        <v>1600</v>
      </c>
      <c r="N41" s="25"/>
      <c r="O41" s="25"/>
      <c r="P41" s="25" cm="1">
        <f t="array" ref="P41">SUMPRODUCT(1/COUNTIF(I41:O41,I41:O41&amp;""))*0.68*8*F41</f>
        <v>217.60000000000002</v>
      </c>
      <c r="Q41" s="25"/>
      <c r="R41" s="25"/>
      <c r="S41" s="25"/>
      <c r="T41" s="25"/>
      <c r="U41" s="25" cm="1">
        <f t="array" ref="U41">SUMPRODUCT(1/COUNTIF(I41:O41,I41:O41&amp;""))</f>
        <v>2</v>
      </c>
      <c r="V41" s="25"/>
      <c r="W41" s="25"/>
      <c r="X41" s="25"/>
      <c r="Y41" s="25" t="s">
        <v>381</v>
      </c>
      <c r="Z41" s="62">
        <f t="shared" si="1"/>
        <v>3419.6</v>
      </c>
    </row>
    <row r="42" spans="1:26" ht="28.9">
      <c r="A42" s="89" t="s">
        <v>167</v>
      </c>
      <c r="B42" s="31" t="s">
        <v>167</v>
      </c>
      <c r="C42" s="14" t="s">
        <v>157</v>
      </c>
      <c r="D42" s="23"/>
      <c r="E42" s="32" t="s">
        <v>162</v>
      </c>
      <c r="F42" s="32">
        <v>8</v>
      </c>
      <c r="G42" s="33">
        <f>H41</f>
        <v>44398</v>
      </c>
      <c r="H42" s="33">
        <f t="shared" si="6"/>
        <v>44406</v>
      </c>
      <c r="I42" s="25"/>
      <c r="J42" s="25"/>
      <c r="K42" s="25"/>
      <c r="L42" s="25"/>
      <c r="M42" s="25">
        <f>F42*8*C2</f>
        <v>640</v>
      </c>
      <c r="N42" s="25"/>
      <c r="O42" s="25"/>
      <c r="P42" s="25" cm="1">
        <f t="array" ref="P42">SUMPRODUCT(1/COUNTIF(I42:O42,I42:O42&amp;""))*0.68*8*F42</f>
        <v>87.04</v>
      </c>
      <c r="Q42" s="25">
        <f>$C$4*8*F42</f>
        <v>44.415999999999997</v>
      </c>
      <c r="R42" s="25"/>
      <c r="S42" s="25"/>
      <c r="T42" s="25"/>
      <c r="U42" s="25" cm="1">
        <f t="array" ref="U42">SUMPRODUCT(1/COUNTIF(I42:O42,I42:O42&amp;""))</f>
        <v>2</v>
      </c>
      <c r="V42" s="25"/>
      <c r="W42" s="25"/>
      <c r="X42" s="25"/>
      <c r="Y42" s="25" t="s">
        <v>382</v>
      </c>
      <c r="Z42" s="62">
        <f t="shared" si="1"/>
        <v>773.4559999999999</v>
      </c>
    </row>
    <row r="43" spans="1:26">
      <c r="A43" s="42" t="s">
        <v>120</v>
      </c>
      <c r="B43" s="29" t="s">
        <v>120</v>
      </c>
      <c r="C43" s="29" t="s">
        <v>121</v>
      </c>
      <c r="D43" s="65"/>
      <c r="E43" s="55"/>
      <c r="F43" s="55"/>
      <c r="G43" s="56"/>
      <c r="H43" s="57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 cm="1">
        <f t="array" ref="U43">SUMPRODUCT(1/COUNTIF(I43:O43,I43:O43&amp;""))</f>
        <v>0.99999999999999978</v>
      </c>
      <c r="V43" s="56"/>
      <c r="W43" s="56"/>
      <c r="X43" s="56"/>
      <c r="Y43" s="56"/>
      <c r="Z43" s="66">
        <f>SUM(Z44:Z46)</f>
        <v>1866.52</v>
      </c>
    </row>
    <row r="44" spans="1:26">
      <c r="A44" s="89" t="s">
        <v>180</v>
      </c>
      <c r="B44" s="31" t="s">
        <v>180</v>
      </c>
      <c r="C44" s="14" t="s">
        <v>181</v>
      </c>
      <c r="D44" s="23"/>
      <c r="E44" s="32" t="s">
        <v>104</v>
      </c>
      <c r="F44" s="32">
        <v>1</v>
      </c>
      <c r="G44" s="33">
        <f>H35</f>
        <v>44352</v>
      </c>
      <c r="H44" s="33">
        <f t="shared" si="6"/>
        <v>44353</v>
      </c>
      <c r="I44" s="25"/>
      <c r="J44" s="25"/>
      <c r="K44" s="25"/>
      <c r="L44" s="25">
        <f>F44*8*C2</f>
        <v>80</v>
      </c>
      <c r="M44" s="25">
        <f>F44*8*C2</f>
        <v>80</v>
      </c>
      <c r="N44" s="25"/>
      <c r="O44" s="25">
        <f>F44*8*40</f>
        <v>320</v>
      </c>
      <c r="P44" s="25" cm="1">
        <f t="array" ref="P44">SUMPRODUCT(1/COUNTIF(I44:O44,I44:O44&amp;""))*F44*8*0.68</f>
        <v>16.32</v>
      </c>
      <c r="Q44" s="25"/>
      <c r="R44" s="25"/>
      <c r="S44" s="25"/>
      <c r="T44" s="25"/>
      <c r="U44" s="25" cm="1">
        <f t="array" ref="U44">SUMPRODUCT(1/COUNTIF(I44:O44,I44:O44&amp;""))</f>
        <v>3</v>
      </c>
      <c r="V44" s="25"/>
      <c r="W44" s="25"/>
      <c r="X44" s="25"/>
      <c r="Y44" s="25" t="s">
        <v>383</v>
      </c>
      <c r="Z44" s="62">
        <f t="shared" si="1"/>
        <v>499.32</v>
      </c>
    </row>
    <row r="45" spans="1:26">
      <c r="A45" s="89" t="s">
        <v>184</v>
      </c>
      <c r="B45" s="31" t="s">
        <v>184</v>
      </c>
      <c r="C45" s="14" t="s">
        <v>185</v>
      </c>
      <c r="D45" s="23"/>
      <c r="E45" s="32" t="s">
        <v>180</v>
      </c>
      <c r="F45" s="32">
        <v>5</v>
      </c>
      <c r="G45" s="33">
        <f>H44</f>
        <v>44353</v>
      </c>
      <c r="H45" s="33">
        <f t="shared" si="6"/>
        <v>44358</v>
      </c>
      <c r="I45" s="25"/>
      <c r="J45" s="25"/>
      <c r="K45" s="25"/>
      <c r="L45" s="25"/>
      <c r="M45" s="25">
        <f>F45*8*C2</f>
        <v>400</v>
      </c>
      <c r="N45" s="25"/>
      <c r="O45" s="25"/>
      <c r="P45" s="25" cm="1">
        <f t="array" ref="P45">SUMPRODUCT(1/COUNTIF(I45:O45,I45:O45&amp;""))*0.68*F45*8</f>
        <v>54.400000000000006</v>
      </c>
      <c r="Q45" s="25"/>
      <c r="R45" s="25"/>
      <c r="S45" s="25"/>
      <c r="T45" s="25"/>
      <c r="U45" s="25" cm="1">
        <f t="array" ref="U45">SUMPRODUCT(1/COUNTIF(I45:O45,I45:O45&amp;""))</f>
        <v>2</v>
      </c>
      <c r="V45" s="25"/>
      <c r="W45" s="25"/>
      <c r="X45" s="25"/>
      <c r="Y45" s="25" t="s">
        <v>384</v>
      </c>
      <c r="Z45" s="62">
        <f t="shared" si="1"/>
        <v>456.4</v>
      </c>
    </row>
    <row r="46" spans="1:26" ht="28.9">
      <c r="A46" s="89" t="s">
        <v>188</v>
      </c>
      <c r="B46" s="31" t="s">
        <v>188</v>
      </c>
      <c r="C46" s="14" t="s">
        <v>189</v>
      </c>
      <c r="D46" s="23"/>
      <c r="E46" s="32" t="s">
        <v>184</v>
      </c>
      <c r="F46" s="32">
        <v>10</v>
      </c>
      <c r="G46" s="33">
        <f>H45</f>
        <v>44358</v>
      </c>
      <c r="H46" s="33">
        <f t="shared" si="6"/>
        <v>44368</v>
      </c>
      <c r="I46" s="25"/>
      <c r="J46" s="25"/>
      <c r="K46" s="25"/>
      <c r="L46" s="25"/>
      <c r="M46" s="25">
        <f>F46*8*C2</f>
        <v>800</v>
      </c>
      <c r="N46" s="25"/>
      <c r="O46" s="25"/>
      <c r="P46" s="25" cm="1">
        <f t="array" ref="P46">SUMPRODUCT(1/COUNTIF(I46:O46,I46:O46&amp;""))*F46*8*0.68</f>
        <v>108.80000000000001</v>
      </c>
      <c r="Q46" s="25"/>
      <c r="R46" s="25"/>
      <c r="S46" s="25"/>
      <c r="T46" s="25"/>
      <c r="U46" s="25" cm="1">
        <f t="array" ref="U46">SUMPRODUCT(1/COUNTIF(I46:O46,I46:O46&amp;""))</f>
        <v>2</v>
      </c>
      <c r="V46" s="25"/>
      <c r="W46" s="25"/>
      <c r="X46" s="25"/>
      <c r="Y46" s="25" t="s">
        <v>384</v>
      </c>
      <c r="Z46" s="62">
        <f t="shared" si="1"/>
        <v>910.8</v>
      </c>
    </row>
    <row r="47" spans="1:26">
      <c r="A47" s="42" t="s">
        <v>125</v>
      </c>
      <c r="B47" s="29" t="s">
        <v>125</v>
      </c>
      <c r="C47" s="29" t="s">
        <v>126</v>
      </c>
      <c r="D47" s="65"/>
      <c r="E47" s="55"/>
      <c r="F47" s="55"/>
      <c r="G47" s="56"/>
      <c r="H47" s="57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 cm="1">
        <f t="array" ref="U47">SUMPRODUCT(1/COUNTIF(I47:O47,I47:O47&amp;""))</f>
        <v>0.99999999999999978</v>
      </c>
      <c r="V47" s="56"/>
      <c r="W47" s="56"/>
      <c r="X47" s="56"/>
      <c r="Y47" s="56"/>
      <c r="Z47" s="66">
        <f>SUM(Z48:Z49)</f>
        <v>7385.4400000000005</v>
      </c>
    </row>
    <row r="48" spans="1:26">
      <c r="A48" s="89" t="s">
        <v>199</v>
      </c>
      <c r="B48" s="31" t="s">
        <v>199</v>
      </c>
      <c r="C48" s="14" t="s">
        <v>200</v>
      </c>
      <c r="D48" s="23"/>
      <c r="E48" s="32" t="s">
        <v>188</v>
      </c>
      <c r="F48" s="32">
        <v>60</v>
      </c>
      <c r="G48" s="33">
        <f>H46</f>
        <v>44368</v>
      </c>
      <c r="H48" s="33">
        <f t="shared" si="6"/>
        <v>44428</v>
      </c>
      <c r="I48" s="25"/>
      <c r="J48" s="25"/>
      <c r="K48" s="25"/>
      <c r="L48" s="25"/>
      <c r="M48" s="25">
        <f>F48*8*C2</f>
        <v>4800</v>
      </c>
      <c r="N48" s="25"/>
      <c r="O48" s="25"/>
      <c r="P48" s="25" cm="1">
        <f t="array" ref="P48">SUMPRODUCT(1/COUNTIF(I48:O48,I48:O48&amp;""))*0.68*8*F48</f>
        <v>652.80000000000007</v>
      </c>
      <c r="Q48" s="25"/>
      <c r="R48" s="25"/>
      <c r="S48" s="25"/>
      <c r="T48" s="25"/>
      <c r="U48" s="25" cm="1">
        <f t="array" ref="U48">SUMPRODUCT(1/COUNTIF(I48:O48,I48:O48&amp;""))</f>
        <v>2</v>
      </c>
      <c r="V48" s="25"/>
      <c r="W48" s="25"/>
      <c r="X48" s="25"/>
      <c r="Y48" s="25" t="s">
        <v>381</v>
      </c>
      <c r="Z48" s="62">
        <f t="shared" si="1"/>
        <v>5454.8</v>
      </c>
    </row>
    <row r="49" spans="1:26">
      <c r="A49" s="89" t="s">
        <v>203</v>
      </c>
      <c r="B49" s="31" t="s">
        <v>203</v>
      </c>
      <c r="C49" s="14" t="s">
        <v>204</v>
      </c>
      <c r="D49" s="23"/>
      <c r="E49" s="32" t="s">
        <v>199</v>
      </c>
      <c r="F49" s="32">
        <v>20</v>
      </c>
      <c r="G49" s="33">
        <f>H48</f>
        <v>44428</v>
      </c>
      <c r="H49" s="33">
        <f t="shared" si="6"/>
        <v>44448</v>
      </c>
      <c r="I49" s="25"/>
      <c r="J49" s="25"/>
      <c r="K49" s="25"/>
      <c r="L49" s="25"/>
      <c r="M49" s="25">
        <f>F49*8*C2</f>
        <v>1600</v>
      </c>
      <c r="N49" s="25"/>
      <c r="O49" s="25"/>
      <c r="P49" s="25" cm="1">
        <f t="array" ref="P49">SUMPRODUCT(1/COUNTIF(I49:O49,I49:O49&amp;""))*8*0.68*F49</f>
        <v>217.60000000000002</v>
      </c>
      <c r="Q49" s="25">
        <f>$C$4*8*F49</f>
        <v>111.03999999999999</v>
      </c>
      <c r="R49" s="25"/>
      <c r="S49" s="25"/>
      <c r="T49" s="25"/>
      <c r="U49" s="25" cm="1">
        <f t="array" ref="U49">SUMPRODUCT(1/COUNTIF(I49:O49,I49:O49&amp;""))</f>
        <v>2</v>
      </c>
      <c r="V49" s="25"/>
      <c r="W49" s="25"/>
      <c r="X49" s="25"/>
      <c r="Y49" s="25" t="s">
        <v>382</v>
      </c>
      <c r="Z49" s="62">
        <f t="shared" si="1"/>
        <v>1930.6399999999999</v>
      </c>
    </row>
    <row r="50" spans="1:26">
      <c r="A50" s="42" t="s">
        <v>129</v>
      </c>
      <c r="B50" s="29" t="s">
        <v>129</v>
      </c>
      <c r="C50" s="29" t="s">
        <v>130</v>
      </c>
      <c r="D50" s="65"/>
      <c r="E50" s="55"/>
      <c r="F50" s="55"/>
      <c r="G50" s="56"/>
      <c r="H50" s="57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 cm="1">
        <f t="array" ref="U50">SUMPRODUCT(1/COUNTIF(I50:O50,I50:O50&amp;""))</f>
        <v>0.99999999999999978</v>
      </c>
      <c r="V50" s="56"/>
      <c r="W50" s="56"/>
      <c r="X50" s="56"/>
      <c r="Y50" s="56"/>
      <c r="Z50" s="66">
        <f>SUM(Z51:Z52)</f>
        <v>912.8</v>
      </c>
    </row>
    <row r="51" spans="1:26">
      <c r="A51" s="89" t="s">
        <v>214</v>
      </c>
      <c r="B51" s="31" t="s">
        <v>214</v>
      </c>
      <c r="C51" s="14" t="s">
        <v>191</v>
      </c>
      <c r="D51" s="23"/>
      <c r="E51" s="32" t="s">
        <v>203</v>
      </c>
      <c r="F51" s="32">
        <v>5</v>
      </c>
      <c r="G51" s="33">
        <f>H49</f>
        <v>44448</v>
      </c>
      <c r="H51" s="33">
        <f t="shared" si="6"/>
        <v>44453</v>
      </c>
      <c r="I51" s="25"/>
      <c r="J51" s="25"/>
      <c r="K51" s="25"/>
      <c r="L51" s="25"/>
      <c r="M51" s="25">
        <f>F51*8*C2</f>
        <v>400</v>
      </c>
      <c r="N51" s="25"/>
      <c r="O51" s="25"/>
      <c r="P51" s="25" cm="1">
        <f t="array" ref="P51">SUMPRODUCT(1/COUNTIF(I51:O51,I51:O51&amp;""))*0.68*8*F51</f>
        <v>54.400000000000006</v>
      </c>
      <c r="Q51" s="25"/>
      <c r="R51" s="25"/>
      <c r="S51" s="25"/>
      <c r="T51" s="25"/>
      <c r="U51" s="25" cm="1">
        <f t="array" ref="U51">SUMPRODUCT(1/COUNTIF(I51:O51,I51:O51&amp;""))</f>
        <v>2</v>
      </c>
      <c r="V51" s="25"/>
      <c r="W51" s="25"/>
      <c r="X51" s="25"/>
      <c r="Y51" s="25" t="s">
        <v>384</v>
      </c>
      <c r="Z51" s="62">
        <f t="shared" si="1"/>
        <v>456.4</v>
      </c>
    </row>
    <row r="52" spans="1:26">
      <c r="A52" s="89" t="s">
        <v>217</v>
      </c>
      <c r="B52" s="31" t="s">
        <v>217</v>
      </c>
      <c r="C52" s="14" t="s">
        <v>194</v>
      </c>
      <c r="D52" s="23"/>
      <c r="E52" s="32" t="s">
        <v>214</v>
      </c>
      <c r="F52" s="32">
        <v>5</v>
      </c>
      <c r="G52" s="33">
        <f>H51</f>
        <v>44453</v>
      </c>
      <c r="H52" s="33">
        <f t="shared" si="6"/>
        <v>44458</v>
      </c>
      <c r="I52" s="25"/>
      <c r="J52" s="25"/>
      <c r="K52" s="25"/>
      <c r="L52" s="25"/>
      <c r="M52" s="25">
        <f>F52*8*C2</f>
        <v>400</v>
      </c>
      <c r="N52" s="25"/>
      <c r="O52" s="25"/>
      <c r="P52" s="25" cm="1">
        <f t="array" ref="P52">SUMPRODUCT(1/COUNTIF(I52:O52,I52:O52&amp;""))*0.68*8*F52</f>
        <v>54.400000000000006</v>
      </c>
      <c r="Q52" s="25"/>
      <c r="R52" s="25"/>
      <c r="S52" s="25"/>
      <c r="T52" s="25"/>
      <c r="U52" s="25" cm="1">
        <f t="array" ref="U52">SUMPRODUCT(1/COUNTIF(I52:O52,I52:O52&amp;""))</f>
        <v>2</v>
      </c>
      <c r="V52" s="25"/>
      <c r="W52" s="25"/>
      <c r="X52" s="25"/>
      <c r="Y52" s="25" t="s">
        <v>383</v>
      </c>
      <c r="Z52" s="62">
        <f t="shared" si="1"/>
        <v>456.4</v>
      </c>
    </row>
    <row r="53" spans="1:26">
      <c r="A53" s="90" t="s">
        <v>132</v>
      </c>
      <c r="B53" s="35" t="s">
        <v>132</v>
      </c>
      <c r="C53" s="36" t="s">
        <v>133</v>
      </c>
      <c r="D53" s="67"/>
      <c r="E53" s="52"/>
      <c r="F53" s="52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 cm="1">
        <f t="array" ref="U53">SUMPRODUCT(1/COUNTIF(I53:O53,I53:O53&amp;""))</f>
        <v>0.99999999999999978</v>
      </c>
      <c r="V53" s="53"/>
      <c r="W53" s="53"/>
      <c r="X53" s="53"/>
      <c r="Y53" s="53"/>
      <c r="Z53" s="68">
        <f>SUM(Z54)</f>
        <v>1930.6399999999999</v>
      </c>
    </row>
    <row r="54" spans="1:26">
      <c r="A54" s="91" t="s">
        <v>148</v>
      </c>
      <c r="B54" s="25" t="s">
        <v>148</v>
      </c>
      <c r="C54" s="23" t="s">
        <v>149</v>
      </c>
      <c r="D54" s="23"/>
      <c r="E54" s="82" t="s">
        <v>217</v>
      </c>
      <c r="F54" s="82">
        <v>20</v>
      </c>
      <c r="G54" s="33">
        <f>H52</f>
        <v>44458</v>
      </c>
      <c r="H54" s="33">
        <f t="shared" si="6"/>
        <v>44478</v>
      </c>
      <c r="I54" s="25"/>
      <c r="J54" s="25"/>
      <c r="K54" s="25"/>
      <c r="L54" s="25"/>
      <c r="M54" s="25">
        <f>F54*8*C2</f>
        <v>1600</v>
      </c>
      <c r="N54" s="25"/>
      <c r="O54" s="25"/>
      <c r="P54" s="25" cm="1">
        <f t="array" ref="P54">SUMPRODUCT(1/COUNTIF(I54:O54,I54:O54&amp;""))*0.68*8*F54</f>
        <v>217.60000000000002</v>
      </c>
      <c r="Q54" s="25">
        <f>$C$4*8*F54</f>
        <v>111.03999999999999</v>
      </c>
      <c r="R54" s="25"/>
      <c r="S54" s="25"/>
      <c r="T54" s="25"/>
      <c r="U54" s="25" cm="1">
        <f t="array" ref="U54">SUMPRODUCT(1/COUNTIF(I54:O54,I54:O54&amp;""))</f>
        <v>2</v>
      </c>
      <c r="V54" s="25"/>
      <c r="W54" s="25"/>
      <c r="X54" s="25"/>
      <c r="Y54" s="25" t="s">
        <v>382</v>
      </c>
      <c r="Z54" s="62">
        <f t="shared" si="1"/>
        <v>1930.6399999999999</v>
      </c>
    </row>
    <row r="55" spans="1:26">
      <c r="A55" s="90" t="s">
        <v>135</v>
      </c>
      <c r="B55" s="35" t="s">
        <v>135</v>
      </c>
      <c r="C55" s="36" t="s">
        <v>155</v>
      </c>
      <c r="D55" s="67"/>
      <c r="E55" s="52"/>
      <c r="F55" s="52"/>
      <c r="G55" s="53"/>
      <c r="H55" s="54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 cm="1">
        <f t="array" ref="U55">SUMPRODUCT(1/COUNTIF(I55:O55,I55:O55&amp;""))</f>
        <v>0.99999999999999978</v>
      </c>
      <c r="V55" s="53"/>
      <c r="W55" s="53"/>
      <c r="X55" s="53"/>
      <c r="Y55" s="53"/>
      <c r="Z55" s="68">
        <f>SUM(Z56)</f>
        <v>2894.96</v>
      </c>
    </row>
    <row r="56" spans="1:26" ht="28.9">
      <c r="A56" s="91" t="s">
        <v>156</v>
      </c>
      <c r="B56" s="25" t="s">
        <v>156</v>
      </c>
      <c r="C56" s="23" t="s">
        <v>157</v>
      </c>
      <c r="D56" s="23"/>
      <c r="E56" s="82" t="s">
        <v>148</v>
      </c>
      <c r="F56" s="82">
        <v>30</v>
      </c>
      <c r="G56" s="33">
        <f>H54</f>
        <v>44478</v>
      </c>
      <c r="H56" s="33">
        <f t="shared" si="6"/>
        <v>44508</v>
      </c>
      <c r="I56" s="25"/>
      <c r="J56" s="25"/>
      <c r="K56" s="25"/>
      <c r="L56" s="25"/>
      <c r="M56" s="25">
        <f>F56*8*C2</f>
        <v>2400</v>
      </c>
      <c r="N56" s="25"/>
      <c r="O56" s="25"/>
      <c r="P56" s="25" cm="1">
        <f t="array" ref="P56">SUMPRODUCT(1/COUNTIF(I56:O56,I56:O56&amp;""))*0.68*8*F56</f>
        <v>326.40000000000003</v>
      </c>
      <c r="Q56" s="25">
        <f>$C$4*8*F56</f>
        <v>166.56</v>
      </c>
      <c r="R56" s="25"/>
      <c r="S56" s="25"/>
      <c r="T56" s="25"/>
      <c r="U56" s="25" cm="1">
        <f t="array" ref="U56">SUMPRODUCT(1/COUNTIF(I56:O56,I56:O56&amp;""))</f>
        <v>2</v>
      </c>
      <c r="V56" s="25"/>
      <c r="W56" s="25"/>
      <c r="X56" s="25"/>
      <c r="Y56" s="25" t="s">
        <v>382</v>
      </c>
      <c r="Z56" s="62">
        <f t="shared" si="1"/>
        <v>2894.96</v>
      </c>
    </row>
    <row r="57" spans="1:26">
      <c r="A57" s="90" t="s">
        <v>138</v>
      </c>
      <c r="B57" s="35" t="s">
        <v>138</v>
      </c>
      <c r="C57" s="36" t="s">
        <v>164</v>
      </c>
      <c r="D57" s="67"/>
      <c r="E57" s="52"/>
      <c r="F57" s="52"/>
      <c r="G57" s="53"/>
      <c r="H57" s="54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 cm="1">
        <f t="array" ref="U57">SUMPRODUCT(1/COUNTIF(I57:O57,I57:O57&amp;""))</f>
        <v>0.99999999999999978</v>
      </c>
      <c r="V57" s="53"/>
      <c r="W57" s="53"/>
      <c r="X57" s="53"/>
      <c r="Y57" s="53"/>
      <c r="Z57" s="68">
        <f>SUM(Z58:Z60)</f>
        <v>10169.36</v>
      </c>
    </row>
    <row r="58" spans="1:26">
      <c r="A58" s="91" t="s">
        <v>168</v>
      </c>
      <c r="B58" s="25" t="s">
        <v>168</v>
      </c>
      <c r="C58" s="23" t="s">
        <v>169</v>
      </c>
      <c r="D58" s="23"/>
      <c r="E58" s="82" t="s">
        <v>217</v>
      </c>
      <c r="F58" s="82">
        <v>60</v>
      </c>
      <c r="G58" s="33">
        <f>H52</f>
        <v>44458</v>
      </c>
      <c r="H58" s="33">
        <f t="shared" si="6"/>
        <v>44518</v>
      </c>
      <c r="I58" s="25"/>
      <c r="J58" s="25"/>
      <c r="K58" s="25"/>
      <c r="L58" s="25"/>
      <c r="M58" s="25">
        <f>F58*8*C2</f>
        <v>4800</v>
      </c>
      <c r="N58" s="25"/>
      <c r="O58" s="25"/>
      <c r="P58" s="25" cm="1">
        <f t="array" ref="P58">SUMPRODUCT(1/COUNTIF(I58:O58,I58:O58&amp;""))*0.68*8*F58</f>
        <v>652.80000000000007</v>
      </c>
      <c r="Q58" s="25"/>
      <c r="R58" s="25"/>
      <c r="S58" s="25"/>
      <c r="T58" s="25"/>
      <c r="U58" s="25" cm="1">
        <f t="array" ref="U58">SUMPRODUCT(1/COUNTIF(I58:O58,I58:O58&amp;""))</f>
        <v>2</v>
      </c>
      <c r="V58" s="25"/>
      <c r="W58" s="25"/>
      <c r="X58" s="25"/>
      <c r="Y58" s="25" t="s">
        <v>384</v>
      </c>
      <c r="Z58" s="62">
        <f t="shared" si="1"/>
        <v>5454.8</v>
      </c>
    </row>
    <row r="59" spans="1:26">
      <c r="A59" s="91" t="s">
        <v>172</v>
      </c>
      <c r="B59" s="25" t="s">
        <v>172</v>
      </c>
      <c r="C59" s="23" t="s">
        <v>173</v>
      </c>
      <c r="D59" s="23"/>
      <c r="E59" s="82" t="s">
        <v>168</v>
      </c>
      <c r="F59" s="82">
        <v>30</v>
      </c>
      <c r="G59" s="33">
        <f>H58</f>
        <v>44518</v>
      </c>
      <c r="H59" s="33">
        <f t="shared" si="6"/>
        <v>44548</v>
      </c>
      <c r="I59" s="25"/>
      <c r="J59" s="25"/>
      <c r="K59" s="25"/>
      <c r="L59" s="25"/>
      <c r="M59" s="25">
        <f>F59*8*C2</f>
        <v>2400</v>
      </c>
      <c r="N59" s="25"/>
      <c r="O59" s="25"/>
      <c r="P59" s="25" cm="1">
        <f t="array" ref="P59">SUMPRODUCT(1/COUNTIF(I59:O59,I59:O59&amp;""))*0.68*8*F59</f>
        <v>326.40000000000003</v>
      </c>
      <c r="Q59" s="25">
        <f>$C$4*8*F59</f>
        <v>166.56</v>
      </c>
      <c r="R59" s="25"/>
      <c r="S59" s="25"/>
      <c r="T59" s="25"/>
      <c r="U59" s="25" cm="1">
        <f t="array" ref="U59">SUMPRODUCT(1/COUNTIF(I59:O59,I59:O59&amp;""))</f>
        <v>2</v>
      </c>
      <c r="V59" s="25"/>
      <c r="W59" s="25"/>
      <c r="X59" s="25"/>
      <c r="Y59" s="69" t="s">
        <v>382</v>
      </c>
      <c r="Z59" s="62">
        <f t="shared" si="1"/>
        <v>2894.96</v>
      </c>
    </row>
    <row r="60" spans="1:26">
      <c r="A60" s="91" t="s">
        <v>176</v>
      </c>
      <c r="B60" s="25" t="s">
        <v>176</v>
      </c>
      <c r="C60" s="23" t="s">
        <v>177</v>
      </c>
      <c r="D60" s="23"/>
      <c r="E60" s="82" t="s">
        <v>172</v>
      </c>
      <c r="F60" s="82">
        <v>20</v>
      </c>
      <c r="G60" s="33">
        <f>H59</f>
        <v>44548</v>
      </c>
      <c r="H60" s="33">
        <f t="shared" si="6"/>
        <v>44568</v>
      </c>
      <c r="I60" s="25"/>
      <c r="J60" s="25"/>
      <c r="K60" s="25"/>
      <c r="L60" s="25"/>
      <c r="M60" s="25">
        <f>F60*8*C2</f>
        <v>1600</v>
      </c>
      <c r="N60" s="25"/>
      <c r="O60" s="25"/>
      <c r="P60" s="25" cm="1">
        <f t="array" ref="P60">SUMPRODUCT(1/COUNTIF(I60:O60,I60:O60&amp;""))*0.68*8*F60</f>
        <v>217.60000000000002</v>
      </c>
      <c r="Q60" s="25"/>
      <c r="R60" s="25"/>
      <c r="S60" s="25"/>
      <c r="T60" s="25"/>
      <c r="U60" s="25" cm="1">
        <f t="array" ref="U60">SUMPRODUCT(1/COUNTIF(I60:O60,I60:O60&amp;""))</f>
        <v>2</v>
      </c>
      <c r="V60" s="25"/>
      <c r="W60" s="25"/>
      <c r="X60" s="25"/>
      <c r="Y60" s="25" t="s">
        <v>384</v>
      </c>
      <c r="Z60" s="62">
        <f t="shared" si="1"/>
        <v>1819.6</v>
      </c>
    </row>
    <row r="61" spans="1:26">
      <c r="A61" s="90" t="s">
        <v>186</v>
      </c>
      <c r="B61" s="35" t="s">
        <v>186</v>
      </c>
      <c r="C61" s="36" t="s">
        <v>187</v>
      </c>
      <c r="D61" s="67"/>
      <c r="E61" s="52"/>
      <c r="F61" s="52"/>
      <c r="G61" s="53"/>
      <c r="H61" s="54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 cm="1">
        <f t="array" ref="U61">SUMPRODUCT(1/COUNTIF(I61:O61,I61:O61&amp;""))</f>
        <v>0.99999999999999978</v>
      </c>
      <c r="V61" s="53"/>
      <c r="W61" s="53"/>
      <c r="X61" s="53"/>
      <c r="Y61" s="53"/>
      <c r="Z61" s="68">
        <f>SUM(Z62:Z63)</f>
        <v>1712.8</v>
      </c>
    </row>
    <row r="62" spans="1:26">
      <c r="A62" s="91" t="s">
        <v>190</v>
      </c>
      <c r="B62" s="25" t="s">
        <v>190</v>
      </c>
      <c r="C62" s="23" t="s">
        <v>191</v>
      </c>
      <c r="D62" s="23"/>
      <c r="E62" s="82" t="s">
        <v>176</v>
      </c>
      <c r="F62" s="82">
        <v>5</v>
      </c>
      <c r="G62" s="33">
        <f>H60</f>
        <v>44568</v>
      </c>
      <c r="H62" s="33">
        <f t="shared" si="6"/>
        <v>44573</v>
      </c>
      <c r="I62" s="25"/>
      <c r="J62" s="25"/>
      <c r="K62" s="25"/>
      <c r="L62" s="25"/>
      <c r="M62" s="25">
        <f>F62*8*C2</f>
        <v>400</v>
      </c>
      <c r="N62" s="25"/>
      <c r="O62" s="25">
        <f>F62*8*C2</f>
        <v>400</v>
      </c>
      <c r="P62" s="25" cm="1">
        <f t="array" ref="P62">SUMPRODUCT(1/COUNTIF(I62:O62,I62:O62&amp;""))*0.68*8*F62</f>
        <v>54.400000000000006</v>
      </c>
      <c r="Q62" s="25"/>
      <c r="R62" s="25"/>
      <c r="S62" s="25"/>
      <c r="T62" s="25"/>
      <c r="U62" s="25" cm="1">
        <f t="array" ref="U62">SUMPRODUCT(1/COUNTIF(I62:O62,I62:O62&amp;""))</f>
        <v>2</v>
      </c>
      <c r="V62" s="25"/>
      <c r="W62" s="25"/>
      <c r="X62" s="25"/>
      <c r="Y62" s="25" t="s">
        <v>383</v>
      </c>
      <c r="Z62" s="62">
        <f t="shared" si="1"/>
        <v>856.4</v>
      </c>
    </row>
    <row r="63" spans="1:26">
      <c r="A63" s="91" t="s">
        <v>193</v>
      </c>
      <c r="B63" s="25" t="s">
        <v>193</v>
      </c>
      <c r="C63" s="23" t="s">
        <v>194</v>
      </c>
      <c r="D63" s="23"/>
      <c r="E63" s="82" t="s">
        <v>190</v>
      </c>
      <c r="F63" s="82">
        <v>5</v>
      </c>
      <c r="G63" s="33">
        <f>H62</f>
        <v>44573</v>
      </c>
      <c r="H63" s="33">
        <f t="shared" si="6"/>
        <v>44578</v>
      </c>
      <c r="I63" s="25"/>
      <c r="J63" s="25"/>
      <c r="K63" s="25"/>
      <c r="L63" s="25"/>
      <c r="M63" s="25">
        <f>F63*8*C2</f>
        <v>400</v>
      </c>
      <c r="N63" s="25"/>
      <c r="O63" s="25">
        <f>F63*8*C2</f>
        <v>400</v>
      </c>
      <c r="P63" s="25" cm="1">
        <f t="array" ref="P63">SUMPRODUCT(1/COUNTIF(I63:O63,I63:O63&amp;""))*0.68*8*F63</f>
        <v>54.400000000000006</v>
      </c>
      <c r="Q63" s="25"/>
      <c r="R63" s="25"/>
      <c r="S63" s="25"/>
      <c r="T63" s="25"/>
      <c r="U63" s="25" cm="1">
        <f t="array" ref="U63">SUMPRODUCT(1/COUNTIF(I63:O63,I63:O63&amp;""))</f>
        <v>2</v>
      </c>
      <c r="V63" s="25"/>
      <c r="W63" s="25"/>
      <c r="X63" s="25"/>
      <c r="Y63" s="25" t="s">
        <v>383</v>
      </c>
      <c r="Z63" s="62">
        <f t="shared" si="1"/>
        <v>856.4</v>
      </c>
    </row>
    <row r="64" spans="1:26" ht="28.9">
      <c r="A64" s="26"/>
      <c r="B64" s="35">
        <v>3.5</v>
      </c>
      <c r="C64" s="36" t="s">
        <v>142</v>
      </c>
      <c r="D64" s="67"/>
      <c r="E64" s="53"/>
      <c r="F64" s="52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8">
        <f>SUM(Z65:Z66)</f>
        <v>10800</v>
      </c>
    </row>
    <row r="65" spans="1:27">
      <c r="A65" s="26"/>
      <c r="B65" s="25" t="s">
        <v>205</v>
      </c>
      <c r="C65" s="23" t="s">
        <v>206</v>
      </c>
      <c r="D65" s="23"/>
      <c r="E65" s="25" t="s">
        <v>193</v>
      </c>
      <c r="F65" s="82">
        <v>40</v>
      </c>
      <c r="G65" s="33">
        <f>H63</f>
        <v>44578</v>
      </c>
      <c r="H65" s="33">
        <f>G65+F65</f>
        <v>44618</v>
      </c>
      <c r="I65" s="25">
        <f>$C$1*F65*8</f>
        <v>1280</v>
      </c>
      <c r="J65" s="25">
        <f>$C$1*F65*8</f>
        <v>1280</v>
      </c>
      <c r="K65" s="25">
        <f>$C$1*F65*8</f>
        <v>1280</v>
      </c>
      <c r="L65" s="25"/>
      <c r="M65" s="25">
        <f>$C$2*8*F65</f>
        <v>3200</v>
      </c>
      <c r="N65" s="25"/>
      <c r="O65" s="25">
        <f>$C$2*8*F65</f>
        <v>3200</v>
      </c>
      <c r="P65" s="25"/>
      <c r="Q65" s="25"/>
      <c r="R65" s="25"/>
      <c r="S65" s="25"/>
      <c r="T65" s="25"/>
      <c r="U65" s="25"/>
      <c r="V65" s="25"/>
      <c r="W65" s="25"/>
      <c r="X65" s="25"/>
      <c r="Y65" s="25" t="s">
        <v>385</v>
      </c>
      <c r="Z65" s="62">
        <f t="shared" si="1"/>
        <v>10240</v>
      </c>
    </row>
    <row r="66" spans="1:27" ht="28.9">
      <c r="A66" s="26"/>
      <c r="B66" s="25" t="s">
        <v>209</v>
      </c>
      <c r="C66" s="23" t="s">
        <v>194</v>
      </c>
      <c r="D66" s="23"/>
      <c r="E66" s="25" t="s">
        <v>205</v>
      </c>
      <c r="F66" s="82">
        <v>5</v>
      </c>
      <c r="G66" s="33">
        <f>H65</f>
        <v>44618</v>
      </c>
      <c r="H66" s="33">
        <f>G66+F66</f>
        <v>44623</v>
      </c>
      <c r="I66" s="25">
        <f>$C$1*F66*8</f>
        <v>160</v>
      </c>
      <c r="J66" s="25"/>
      <c r="K66" s="25"/>
      <c r="L66" s="25"/>
      <c r="M66" s="25">
        <f>$C$2*8*F66</f>
        <v>400</v>
      </c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 t="s">
        <v>386</v>
      </c>
      <c r="Z66" s="62">
        <f t="shared" si="1"/>
        <v>560</v>
      </c>
    </row>
    <row r="67" spans="1:27">
      <c r="B67" s="25"/>
      <c r="C67" s="104" t="s">
        <v>387</v>
      </c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62">
        <f>Z61+Z57+Z55+Z53+Z50+Z47+Z43+Z40+Z36+Z31+Z21+Z13+Z10+Z64</f>
        <v>99109.468666666638</v>
      </c>
    </row>
    <row r="70" spans="1:27">
      <c r="A70" t="s">
        <v>359</v>
      </c>
      <c r="C70" t="s">
        <v>388</v>
      </c>
      <c r="Y70" s="19">
        <f>Z10+Z13+Z21+Z31</f>
        <v>51335.196666666656</v>
      </c>
    </row>
    <row r="71" spans="1:27">
      <c r="A71" t="s">
        <v>360</v>
      </c>
      <c r="C71" t="s">
        <v>389</v>
      </c>
      <c r="Y71" s="19">
        <f>Z36+Z40+Z43+Z47+Z50</f>
        <v>20266.511999999999</v>
      </c>
    </row>
    <row r="72" spans="1:27">
      <c r="C72" t="s">
        <v>390</v>
      </c>
      <c r="Y72" s="19">
        <f>Z61+Z57+Z55+Z53+Z64</f>
        <v>27507.759999999998</v>
      </c>
    </row>
    <row r="73" spans="1:27">
      <c r="C73" t="s">
        <v>391</v>
      </c>
      <c r="Y73" s="19">
        <f>SUM(Y70:Y72)</f>
        <v>99109.468666666653</v>
      </c>
      <c r="Z73" s="19">
        <f>0.2*Y73</f>
        <v>19821.893733333331</v>
      </c>
      <c r="AA73" s="19">
        <f>Y73+Z73</f>
        <v>118931.36239999998</v>
      </c>
    </row>
    <row r="74" spans="1:27">
      <c r="AA74" s="19">
        <f>0.1*AA73</f>
        <v>11893.13624</v>
      </c>
    </row>
    <row r="75" spans="1:27">
      <c r="AA75" s="19">
        <f>SUM(AA73:AA74)</f>
        <v>130824.49863999998</v>
      </c>
    </row>
  </sheetData>
  <mergeCells count="5">
    <mergeCell ref="I8:O8"/>
    <mergeCell ref="P8:Q8"/>
    <mergeCell ref="R8:U8"/>
    <mergeCell ref="V8:X8"/>
    <mergeCell ref="C67:Y67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F532-43CD-450F-AD6A-492B3CE67CD1}">
  <dimension ref="A1:G57"/>
  <sheetViews>
    <sheetView topLeftCell="A43" workbookViewId="0">
      <selection activeCell="G56" sqref="G56:G57"/>
    </sheetView>
  </sheetViews>
  <sheetFormatPr defaultRowHeight="14.45"/>
  <cols>
    <col min="2" max="2" width="57.85546875" bestFit="1" customWidth="1"/>
    <col min="3" max="3" width="0.42578125" hidden="1" customWidth="1"/>
    <col min="4" max="4" width="8.5703125" hidden="1" customWidth="1"/>
    <col min="5" max="6" width="11.140625" hidden="1" customWidth="1"/>
    <col min="7" max="7" width="11.140625" customWidth="1"/>
  </cols>
  <sheetData>
    <row r="1" spans="1:7" ht="28.9">
      <c r="A1" s="27" t="s">
        <v>83</v>
      </c>
      <c r="B1" s="28" t="s">
        <v>84</v>
      </c>
      <c r="C1" s="74" t="s">
        <v>230</v>
      </c>
      <c r="D1" s="74" t="s">
        <v>231</v>
      </c>
      <c r="E1" s="34" t="s">
        <v>233</v>
      </c>
      <c r="F1" s="34" t="s">
        <v>234</v>
      </c>
      <c r="G1" s="70" t="s">
        <v>392</v>
      </c>
    </row>
    <row r="2" spans="1:7">
      <c r="A2" s="17" t="s">
        <v>144</v>
      </c>
      <c r="B2" s="14" t="s">
        <v>145</v>
      </c>
      <c r="C2" s="32"/>
      <c r="D2" s="32">
        <v>1</v>
      </c>
      <c r="E2" s="33">
        <v>44212</v>
      </c>
      <c r="F2" s="33">
        <f>E2+D2</f>
        <v>44213</v>
      </c>
      <c r="G2" s="71">
        <f>F2</f>
        <v>44213</v>
      </c>
    </row>
    <row r="3" spans="1:7" ht="28.9">
      <c r="A3" s="17" t="s">
        <v>150</v>
      </c>
      <c r="B3" s="14" t="s">
        <v>151</v>
      </c>
      <c r="C3" s="32"/>
      <c r="D3" s="32">
        <v>1</v>
      </c>
      <c r="E3" s="33"/>
      <c r="F3" s="25"/>
      <c r="G3" s="78">
        <v>1</v>
      </c>
    </row>
    <row r="4" spans="1:7">
      <c r="A4" s="27" t="s">
        <v>94</v>
      </c>
      <c r="B4" s="28" t="s">
        <v>95</v>
      </c>
      <c r="C4" s="32"/>
      <c r="D4" s="32"/>
      <c r="E4" s="25"/>
      <c r="F4" s="25"/>
      <c r="G4" s="71">
        <f>LARGE(F5:F11,1)</f>
        <v>44249</v>
      </c>
    </row>
    <row r="5" spans="1:7">
      <c r="A5" s="22" t="s">
        <v>158</v>
      </c>
      <c r="B5" s="14" t="s">
        <v>159</v>
      </c>
      <c r="C5" s="32" t="s">
        <v>150</v>
      </c>
      <c r="D5" s="32">
        <v>2</v>
      </c>
      <c r="E5" s="33">
        <f>F2</f>
        <v>44213</v>
      </c>
      <c r="F5" s="33">
        <f t="shared" ref="F5:F11" si="0">E5+D5</f>
        <v>44215</v>
      </c>
      <c r="G5" s="107">
        <v>1</v>
      </c>
    </row>
    <row r="6" spans="1:7" ht="28.9">
      <c r="A6" s="22" t="s">
        <v>160</v>
      </c>
      <c r="B6" s="14" t="s">
        <v>161</v>
      </c>
      <c r="C6" s="32" t="s">
        <v>150</v>
      </c>
      <c r="D6" s="32">
        <v>2</v>
      </c>
      <c r="E6" s="33">
        <v>44213</v>
      </c>
      <c r="F6" s="33">
        <f t="shared" si="0"/>
        <v>44215</v>
      </c>
      <c r="G6" s="107"/>
    </row>
    <row r="7" spans="1:7" ht="28.9">
      <c r="A7" s="22" t="s">
        <v>165</v>
      </c>
      <c r="B7" s="14" t="s">
        <v>166</v>
      </c>
      <c r="C7" s="32" t="s">
        <v>239</v>
      </c>
      <c r="D7" s="32">
        <v>3</v>
      </c>
      <c r="E7" s="33">
        <f>F5</f>
        <v>44215</v>
      </c>
      <c r="F7" s="33">
        <f t="shared" si="0"/>
        <v>44218</v>
      </c>
      <c r="G7" s="107"/>
    </row>
    <row r="8" spans="1:7" ht="28.9">
      <c r="A8" s="22" t="s">
        <v>170</v>
      </c>
      <c r="B8" s="14" t="s">
        <v>171</v>
      </c>
      <c r="C8" s="32" t="s">
        <v>165</v>
      </c>
      <c r="D8" s="32">
        <v>3</v>
      </c>
      <c r="E8" s="33">
        <f>F7</f>
        <v>44218</v>
      </c>
      <c r="F8" s="33">
        <f t="shared" si="0"/>
        <v>44221</v>
      </c>
      <c r="G8" s="107"/>
    </row>
    <row r="9" spans="1:7" ht="28.9">
      <c r="A9" s="22" t="s">
        <v>174</v>
      </c>
      <c r="B9" s="14" t="s">
        <v>175</v>
      </c>
      <c r="C9" s="32" t="s">
        <v>170</v>
      </c>
      <c r="D9" s="32">
        <v>3</v>
      </c>
      <c r="E9" s="33">
        <f>F8</f>
        <v>44221</v>
      </c>
      <c r="F9" s="33">
        <f t="shared" si="0"/>
        <v>44224</v>
      </c>
      <c r="G9" s="107"/>
    </row>
    <row r="10" spans="1:7" ht="28.9">
      <c r="A10" s="22" t="s">
        <v>178</v>
      </c>
      <c r="B10" s="14" t="s">
        <v>179</v>
      </c>
      <c r="C10" s="32" t="s">
        <v>174</v>
      </c>
      <c r="D10" s="32">
        <v>5</v>
      </c>
      <c r="E10" s="33">
        <f>F9</f>
        <v>44224</v>
      </c>
      <c r="F10" s="33">
        <f t="shared" si="0"/>
        <v>44229</v>
      </c>
      <c r="G10" s="107"/>
    </row>
    <row r="11" spans="1:7">
      <c r="A11" s="22" t="s">
        <v>182</v>
      </c>
      <c r="B11" s="14" t="s">
        <v>183</v>
      </c>
      <c r="C11" s="32" t="s">
        <v>178</v>
      </c>
      <c r="D11" s="32">
        <v>20</v>
      </c>
      <c r="E11" s="33">
        <f>F10</f>
        <v>44229</v>
      </c>
      <c r="F11" s="33">
        <f t="shared" si="0"/>
        <v>44249</v>
      </c>
      <c r="G11" s="107"/>
    </row>
    <row r="12" spans="1:7">
      <c r="A12" s="27" t="s">
        <v>100</v>
      </c>
      <c r="B12" s="27" t="s">
        <v>192</v>
      </c>
      <c r="C12" s="32"/>
      <c r="D12" s="32"/>
      <c r="E12" s="25"/>
      <c r="F12" s="25"/>
      <c r="G12" s="71">
        <f>LARGE(F13:F21,1)</f>
        <v>44342</v>
      </c>
    </row>
    <row r="13" spans="1:7" ht="28.9">
      <c r="A13" s="22" t="s">
        <v>195</v>
      </c>
      <c r="B13" s="14" t="s">
        <v>196</v>
      </c>
      <c r="C13" s="32" t="s">
        <v>245</v>
      </c>
      <c r="D13" s="32">
        <v>5</v>
      </c>
      <c r="E13" s="33">
        <f>F11</f>
        <v>44249</v>
      </c>
      <c r="F13" s="33">
        <f t="shared" ref="F13:F21" si="1">E13+D13</f>
        <v>44254</v>
      </c>
      <c r="G13" s="107">
        <v>1</v>
      </c>
    </row>
    <row r="14" spans="1:7">
      <c r="A14" s="22" t="s">
        <v>197</v>
      </c>
      <c r="B14" s="14" t="s">
        <v>198</v>
      </c>
      <c r="C14" s="32" t="s">
        <v>195</v>
      </c>
      <c r="D14" s="32">
        <v>30</v>
      </c>
      <c r="E14" s="33">
        <f>F13</f>
        <v>44254</v>
      </c>
      <c r="F14" s="33">
        <f t="shared" si="1"/>
        <v>44284</v>
      </c>
      <c r="G14" s="107"/>
    </row>
    <row r="15" spans="1:7">
      <c r="A15" s="22" t="s">
        <v>201</v>
      </c>
      <c r="B15" s="14" t="s">
        <v>202</v>
      </c>
      <c r="C15" s="32" t="s">
        <v>245</v>
      </c>
      <c r="D15" s="32">
        <v>45</v>
      </c>
      <c r="E15" s="33">
        <f>F11</f>
        <v>44249</v>
      </c>
      <c r="F15" s="33">
        <f t="shared" si="1"/>
        <v>44294</v>
      </c>
      <c r="G15" s="107"/>
    </row>
    <row r="16" spans="1:7">
      <c r="A16" s="22" t="s">
        <v>207</v>
      </c>
      <c r="B16" s="14" t="s">
        <v>208</v>
      </c>
      <c r="C16" s="32" t="s">
        <v>201</v>
      </c>
      <c r="D16" s="32">
        <v>5</v>
      </c>
      <c r="E16" s="33">
        <f>F15</f>
        <v>44294</v>
      </c>
      <c r="F16" s="33">
        <f t="shared" si="1"/>
        <v>44299</v>
      </c>
      <c r="G16" s="107"/>
    </row>
    <row r="17" spans="1:7">
      <c r="A17" s="22" t="s">
        <v>210</v>
      </c>
      <c r="B17" s="14" t="s">
        <v>211</v>
      </c>
      <c r="C17" s="32" t="s">
        <v>207</v>
      </c>
      <c r="D17" s="32">
        <v>8</v>
      </c>
      <c r="E17" s="33">
        <f>F16</f>
        <v>44299</v>
      </c>
      <c r="F17" s="33">
        <f t="shared" si="1"/>
        <v>44307</v>
      </c>
      <c r="G17" s="107"/>
    </row>
    <row r="18" spans="1:7">
      <c r="A18" s="22" t="s">
        <v>212</v>
      </c>
      <c r="B18" s="14" t="s">
        <v>213</v>
      </c>
      <c r="C18" s="32" t="s">
        <v>195</v>
      </c>
      <c r="D18" s="32">
        <v>15</v>
      </c>
      <c r="E18" s="33">
        <f>F14</f>
        <v>44284</v>
      </c>
      <c r="F18" s="33">
        <f t="shared" si="1"/>
        <v>44299</v>
      </c>
      <c r="G18" s="107"/>
    </row>
    <row r="19" spans="1:7" ht="28.9">
      <c r="A19" s="22" t="s">
        <v>215</v>
      </c>
      <c r="B19" s="14" t="s">
        <v>216</v>
      </c>
      <c r="C19" s="32" t="s">
        <v>195</v>
      </c>
      <c r="D19" s="32">
        <v>15</v>
      </c>
      <c r="E19" s="33">
        <f>F14</f>
        <v>44284</v>
      </c>
      <c r="F19" s="33">
        <f t="shared" si="1"/>
        <v>44299</v>
      </c>
      <c r="G19" s="107"/>
    </row>
    <row r="20" spans="1:7" ht="28.9">
      <c r="A20" s="22" t="s">
        <v>218</v>
      </c>
      <c r="B20" s="14" t="s">
        <v>219</v>
      </c>
      <c r="C20" s="32" t="s">
        <v>210</v>
      </c>
      <c r="D20" s="32">
        <v>15</v>
      </c>
      <c r="E20" s="33">
        <f>F17</f>
        <v>44307</v>
      </c>
      <c r="F20" s="33">
        <f t="shared" si="1"/>
        <v>44322</v>
      </c>
      <c r="G20" s="107"/>
    </row>
    <row r="21" spans="1:7">
      <c r="A21" s="22" t="s">
        <v>220</v>
      </c>
      <c r="B21" s="14" t="s">
        <v>221</v>
      </c>
      <c r="C21" s="32" t="s">
        <v>254</v>
      </c>
      <c r="D21" s="32">
        <v>20</v>
      </c>
      <c r="E21" s="33">
        <f>F20</f>
        <v>44322</v>
      </c>
      <c r="F21" s="33">
        <f t="shared" si="1"/>
        <v>44342</v>
      </c>
      <c r="G21" s="107"/>
    </row>
    <row r="22" spans="1:7">
      <c r="A22" s="27" t="s">
        <v>104</v>
      </c>
      <c r="B22" s="27" t="s">
        <v>105</v>
      </c>
      <c r="C22" s="32"/>
      <c r="D22" s="32"/>
      <c r="E22" s="25"/>
      <c r="F22" s="25"/>
      <c r="G22" s="71">
        <f>LARGE(F23:F26,1)</f>
        <v>44352</v>
      </c>
    </row>
    <row r="23" spans="1:7">
      <c r="A23" s="22" t="s">
        <v>222</v>
      </c>
      <c r="B23" s="14" t="s">
        <v>223</v>
      </c>
      <c r="C23" s="32" t="s">
        <v>212</v>
      </c>
      <c r="D23" s="32">
        <v>5</v>
      </c>
      <c r="E23" s="33">
        <f>F18</f>
        <v>44299</v>
      </c>
      <c r="F23" s="33">
        <f>E23+D23</f>
        <v>44304</v>
      </c>
      <c r="G23" s="107">
        <v>1</v>
      </c>
    </row>
    <row r="24" spans="1:7">
      <c r="A24" s="22" t="s">
        <v>224</v>
      </c>
      <c r="B24" s="14" t="s">
        <v>225</v>
      </c>
      <c r="C24" s="32" t="s">
        <v>215</v>
      </c>
      <c r="D24" s="32">
        <v>5</v>
      </c>
      <c r="E24" s="33">
        <f>F19</f>
        <v>44299</v>
      </c>
      <c r="F24" s="33">
        <f>E24+D24</f>
        <v>44304</v>
      </c>
      <c r="G24" s="107"/>
    </row>
    <row r="25" spans="1:7">
      <c r="A25" s="22" t="s">
        <v>226</v>
      </c>
      <c r="B25" s="14" t="s">
        <v>227</v>
      </c>
      <c r="C25" s="32" t="s">
        <v>220</v>
      </c>
      <c r="D25" s="32">
        <v>5</v>
      </c>
      <c r="E25" s="33">
        <f>F21</f>
        <v>44342</v>
      </c>
      <c r="F25" s="33">
        <f>E25+D25</f>
        <v>44347</v>
      </c>
      <c r="G25" s="107"/>
    </row>
    <row r="26" spans="1:7">
      <c r="A26" s="22" t="s">
        <v>228</v>
      </c>
      <c r="B26" s="14" t="s">
        <v>229</v>
      </c>
      <c r="C26" s="32" t="s">
        <v>226</v>
      </c>
      <c r="D26" s="32">
        <v>5</v>
      </c>
      <c r="E26" s="33">
        <f>F25</f>
        <v>44347</v>
      </c>
      <c r="F26" s="33">
        <f>E26+D26</f>
        <v>44352</v>
      </c>
      <c r="G26" s="107"/>
    </row>
    <row r="27" spans="1:7">
      <c r="A27" s="29" t="s">
        <v>110</v>
      </c>
      <c r="B27" s="30" t="s">
        <v>111</v>
      </c>
      <c r="C27" s="32"/>
      <c r="D27" s="32"/>
      <c r="E27" s="25"/>
      <c r="F27" s="33"/>
      <c r="G27" s="71">
        <f>LARGE(F28:F30,1)</f>
        <v>44378</v>
      </c>
    </row>
    <row r="28" spans="1:7">
      <c r="A28" s="31" t="s">
        <v>146</v>
      </c>
      <c r="B28" s="14" t="s">
        <v>147</v>
      </c>
      <c r="C28" s="32" t="s">
        <v>228</v>
      </c>
      <c r="D28" s="32">
        <v>8</v>
      </c>
      <c r="E28" s="33">
        <f>F26</f>
        <v>44352</v>
      </c>
      <c r="F28" s="33">
        <f t="shared" ref="F28:F54" si="2">E28+D28</f>
        <v>44360</v>
      </c>
      <c r="G28" s="107">
        <v>1</v>
      </c>
    </row>
    <row r="29" spans="1:7">
      <c r="A29" s="31" t="s">
        <v>152</v>
      </c>
      <c r="B29" s="14" t="s">
        <v>153</v>
      </c>
      <c r="C29" s="32" t="s">
        <v>146</v>
      </c>
      <c r="D29" s="32">
        <v>10</v>
      </c>
      <c r="E29" s="33">
        <f>F28</f>
        <v>44360</v>
      </c>
      <c r="F29" s="33">
        <f t="shared" si="2"/>
        <v>44370</v>
      </c>
      <c r="G29" s="107"/>
    </row>
    <row r="30" spans="1:7">
      <c r="A30" s="31" t="s">
        <v>154</v>
      </c>
      <c r="B30" s="14" t="s">
        <v>149</v>
      </c>
      <c r="C30" s="32" t="s">
        <v>152</v>
      </c>
      <c r="D30" s="32">
        <v>8</v>
      </c>
      <c r="E30" s="33">
        <f>F29</f>
        <v>44370</v>
      </c>
      <c r="F30" s="33">
        <f t="shared" si="2"/>
        <v>44378</v>
      </c>
      <c r="G30" s="107"/>
    </row>
    <row r="31" spans="1:7">
      <c r="A31" s="29" t="s">
        <v>115</v>
      </c>
      <c r="B31" s="30" t="s">
        <v>116</v>
      </c>
      <c r="C31" s="32"/>
      <c r="D31" s="32"/>
      <c r="E31" s="25"/>
      <c r="F31" s="33"/>
      <c r="G31" s="71">
        <f>LARGE(F32:F33,1)</f>
        <v>44406</v>
      </c>
    </row>
    <row r="32" spans="1:7" ht="28.9">
      <c r="A32" s="31" t="s">
        <v>162</v>
      </c>
      <c r="B32" s="14" t="s">
        <v>163</v>
      </c>
      <c r="C32" s="32" t="s">
        <v>154</v>
      </c>
      <c r="D32" s="32">
        <v>20</v>
      </c>
      <c r="E32" s="33">
        <f>F30</f>
        <v>44378</v>
      </c>
      <c r="F32" s="33">
        <f t="shared" si="2"/>
        <v>44398</v>
      </c>
      <c r="G32" s="107">
        <v>1</v>
      </c>
    </row>
    <row r="33" spans="1:7" ht="57.6">
      <c r="A33" s="31" t="s">
        <v>167</v>
      </c>
      <c r="B33" s="14" t="s">
        <v>157</v>
      </c>
      <c r="C33" s="32" t="s">
        <v>162</v>
      </c>
      <c r="D33" s="32">
        <v>8</v>
      </c>
      <c r="E33" s="33">
        <f>F32</f>
        <v>44398</v>
      </c>
      <c r="F33" s="33">
        <f t="shared" si="2"/>
        <v>44406</v>
      </c>
      <c r="G33" s="107"/>
    </row>
    <row r="34" spans="1:7">
      <c r="A34" s="29" t="s">
        <v>120</v>
      </c>
      <c r="B34" s="29" t="s">
        <v>121</v>
      </c>
      <c r="C34" s="32"/>
      <c r="D34" s="32"/>
      <c r="E34" s="25"/>
      <c r="F34" s="33"/>
      <c r="G34" s="71">
        <f>LARGE(F35:F37,1)</f>
        <v>44368</v>
      </c>
    </row>
    <row r="35" spans="1:7" ht="28.9">
      <c r="A35" s="31" t="s">
        <v>180</v>
      </c>
      <c r="B35" s="14" t="s">
        <v>181</v>
      </c>
      <c r="C35" s="32" t="s">
        <v>104</v>
      </c>
      <c r="D35" s="32">
        <v>1</v>
      </c>
      <c r="E35" s="33">
        <f>F26</f>
        <v>44352</v>
      </c>
      <c r="F35" s="33">
        <f t="shared" si="2"/>
        <v>44353</v>
      </c>
      <c r="G35" s="107">
        <v>1</v>
      </c>
    </row>
    <row r="36" spans="1:7" ht="28.9">
      <c r="A36" s="31" t="s">
        <v>184</v>
      </c>
      <c r="B36" s="14" t="s">
        <v>185</v>
      </c>
      <c r="C36" s="32" t="s">
        <v>180</v>
      </c>
      <c r="D36" s="32">
        <v>5</v>
      </c>
      <c r="E36" s="33">
        <f>F35</f>
        <v>44353</v>
      </c>
      <c r="F36" s="33">
        <f t="shared" si="2"/>
        <v>44358</v>
      </c>
      <c r="G36" s="107"/>
    </row>
    <row r="37" spans="1:7" ht="43.15">
      <c r="A37" s="31" t="s">
        <v>188</v>
      </c>
      <c r="B37" s="14" t="s">
        <v>189</v>
      </c>
      <c r="C37" s="32" t="s">
        <v>184</v>
      </c>
      <c r="D37" s="32">
        <v>10</v>
      </c>
      <c r="E37" s="33">
        <f>F36</f>
        <v>44358</v>
      </c>
      <c r="F37" s="33">
        <f t="shared" si="2"/>
        <v>44368</v>
      </c>
      <c r="G37" s="107"/>
    </row>
    <row r="38" spans="1:7">
      <c r="A38" s="29" t="s">
        <v>125</v>
      </c>
      <c r="B38" s="29" t="s">
        <v>126</v>
      </c>
      <c r="C38" s="32"/>
      <c r="D38" s="32"/>
      <c r="E38" s="25"/>
      <c r="F38" s="33"/>
      <c r="G38" s="71">
        <f>LARGE(F39:F40,1)</f>
        <v>44448</v>
      </c>
    </row>
    <row r="39" spans="1:7">
      <c r="A39" s="31" t="s">
        <v>199</v>
      </c>
      <c r="B39" s="14" t="s">
        <v>200</v>
      </c>
      <c r="C39" s="32" t="s">
        <v>188</v>
      </c>
      <c r="D39" s="32">
        <v>60</v>
      </c>
      <c r="E39" s="33">
        <f>F37</f>
        <v>44368</v>
      </c>
      <c r="F39" s="33">
        <f t="shared" si="2"/>
        <v>44428</v>
      </c>
      <c r="G39" s="107">
        <v>1</v>
      </c>
    </row>
    <row r="40" spans="1:7">
      <c r="A40" s="31" t="s">
        <v>203</v>
      </c>
      <c r="B40" s="14" t="s">
        <v>204</v>
      </c>
      <c r="C40" s="32" t="s">
        <v>199</v>
      </c>
      <c r="D40" s="32">
        <v>20</v>
      </c>
      <c r="E40" s="33">
        <f>F39</f>
        <v>44428</v>
      </c>
      <c r="F40" s="33">
        <f t="shared" si="2"/>
        <v>44448</v>
      </c>
      <c r="G40" s="107"/>
    </row>
    <row r="41" spans="1:7">
      <c r="A41" s="29" t="s">
        <v>129</v>
      </c>
      <c r="B41" s="29" t="s">
        <v>130</v>
      </c>
      <c r="C41" s="32"/>
      <c r="D41" s="32"/>
      <c r="E41" s="25"/>
      <c r="F41" s="33"/>
      <c r="G41" s="71">
        <f>LARGE(F42:F43,1)</f>
        <v>44458</v>
      </c>
    </row>
    <row r="42" spans="1:7">
      <c r="A42" s="31" t="s">
        <v>214</v>
      </c>
      <c r="B42" s="14" t="s">
        <v>191</v>
      </c>
      <c r="C42" s="32" t="s">
        <v>203</v>
      </c>
      <c r="D42" s="32">
        <v>5</v>
      </c>
      <c r="E42" s="33">
        <f>F40</f>
        <v>44448</v>
      </c>
      <c r="F42" s="33">
        <f t="shared" si="2"/>
        <v>44453</v>
      </c>
      <c r="G42" s="107">
        <v>1</v>
      </c>
    </row>
    <row r="43" spans="1:7">
      <c r="A43" s="31" t="s">
        <v>217</v>
      </c>
      <c r="B43" s="14" t="s">
        <v>194</v>
      </c>
      <c r="C43" s="32" t="s">
        <v>214</v>
      </c>
      <c r="D43" s="32">
        <v>5</v>
      </c>
      <c r="E43" s="33">
        <f>F42</f>
        <v>44453</v>
      </c>
      <c r="F43" s="33">
        <f t="shared" si="2"/>
        <v>44458</v>
      </c>
      <c r="G43" s="107"/>
    </row>
    <row r="44" spans="1:7">
      <c r="A44" s="35" t="s">
        <v>132</v>
      </c>
      <c r="B44" s="36" t="s">
        <v>133</v>
      </c>
      <c r="C44" s="82"/>
      <c r="D44" s="82"/>
      <c r="E44" s="25"/>
      <c r="F44" s="25"/>
      <c r="G44" s="82"/>
    </row>
    <row r="45" spans="1:7">
      <c r="A45" s="25" t="s">
        <v>148</v>
      </c>
      <c r="B45" s="23" t="s">
        <v>149</v>
      </c>
      <c r="C45" s="82" t="s">
        <v>217</v>
      </c>
      <c r="D45" s="82">
        <v>20</v>
      </c>
      <c r="E45" s="33">
        <f>F43</f>
        <v>44458</v>
      </c>
      <c r="F45" s="33">
        <f t="shared" si="2"/>
        <v>44478</v>
      </c>
      <c r="G45" s="71">
        <f>F45</f>
        <v>44478</v>
      </c>
    </row>
    <row r="46" spans="1:7">
      <c r="A46" s="35" t="s">
        <v>135</v>
      </c>
      <c r="B46" s="36" t="s">
        <v>155</v>
      </c>
      <c r="C46" s="82"/>
      <c r="D46" s="82"/>
      <c r="E46" s="25"/>
      <c r="F46" s="33"/>
      <c r="G46" s="71">
        <f>LARGE(F47,1)</f>
        <v>44508</v>
      </c>
    </row>
    <row r="47" spans="1:7" ht="57.6">
      <c r="A47" s="25" t="s">
        <v>156</v>
      </c>
      <c r="B47" s="23" t="s">
        <v>157</v>
      </c>
      <c r="C47" s="82" t="s">
        <v>148</v>
      </c>
      <c r="D47" s="82">
        <v>30</v>
      </c>
      <c r="E47" s="33">
        <f>F45</f>
        <v>44478</v>
      </c>
      <c r="F47" s="33">
        <f t="shared" si="2"/>
        <v>44508</v>
      </c>
      <c r="G47" s="78">
        <v>1</v>
      </c>
    </row>
    <row r="48" spans="1:7" ht="28.9">
      <c r="A48" s="35" t="s">
        <v>138</v>
      </c>
      <c r="B48" s="36" t="s">
        <v>164</v>
      </c>
      <c r="C48" s="82"/>
      <c r="D48" s="82"/>
      <c r="E48" s="25"/>
      <c r="F48" s="33"/>
      <c r="G48" s="71">
        <f>LARGE(F49:F51,1)</f>
        <v>44568</v>
      </c>
    </row>
    <row r="49" spans="1:7" ht="28.9">
      <c r="A49" s="25" t="s">
        <v>168</v>
      </c>
      <c r="B49" s="23" t="s">
        <v>169</v>
      </c>
      <c r="C49" s="82" t="s">
        <v>217</v>
      </c>
      <c r="D49" s="82">
        <v>60</v>
      </c>
      <c r="E49" s="33">
        <f>F43</f>
        <v>44458</v>
      </c>
      <c r="F49" s="33">
        <f t="shared" si="2"/>
        <v>44518</v>
      </c>
      <c r="G49" s="107">
        <v>1</v>
      </c>
    </row>
    <row r="50" spans="1:7">
      <c r="A50" s="25" t="s">
        <v>172</v>
      </c>
      <c r="B50" s="23" t="s">
        <v>173</v>
      </c>
      <c r="C50" s="82" t="s">
        <v>168</v>
      </c>
      <c r="D50" s="82">
        <v>30</v>
      </c>
      <c r="E50" s="33">
        <f>F49</f>
        <v>44518</v>
      </c>
      <c r="F50" s="33">
        <f t="shared" si="2"/>
        <v>44548</v>
      </c>
      <c r="G50" s="107"/>
    </row>
    <row r="51" spans="1:7">
      <c r="A51" s="25" t="s">
        <v>176</v>
      </c>
      <c r="B51" s="23" t="s">
        <v>177</v>
      </c>
      <c r="C51" s="82" t="s">
        <v>172</v>
      </c>
      <c r="D51" s="82">
        <v>20</v>
      </c>
      <c r="E51" s="33">
        <f>F50</f>
        <v>44548</v>
      </c>
      <c r="F51" s="33">
        <f t="shared" si="2"/>
        <v>44568</v>
      </c>
      <c r="G51" s="107"/>
    </row>
    <row r="52" spans="1:7">
      <c r="A52" s="35" t="s">
        <v>186</v>
      </c>
      <c r="B52" s="36" t="s">
        <v>187</v>
      </c>
      <c r="C52" s="82"/>
      <c r="D52" s="82"/>
      <c r="E52" s="25"/>
      <c r="F52" s="33"/>
      <c r="G52" s="71">
        <f>LARGE(F53:F54,1)</f>
        <v>44578</v>
      </c>
    </row>
    <row r="53" spans="1:7">
      <c r="A53" s="25" t="s">
        <v>190</v>
      </c>
      <c r="B53" s="23" t="s">
        <v>191</v>
      </c>
      <c r="C53" s="82" t="s">
        <v>176</v>
      </c>
      <c r="D53" s="82">
        <v>5</v>
      </c>
      <c r="E53" s="33">
        <f>F51</f>
        <v>44568</v>
      </c>
      <c r="F53" s="33">
        <f t="shared" si="2"/>
        <v>44573</v>
      </c>
      <c r="G53" s="107">
        <v>1</v>
      </c>
    </row>
    <row r="54" spans="1:7">
      <c r="A54" s="25" t="s">
        <v>193</v>
      </c>
      <c r="B54" s="23" t="s">
        <v>194</v>
      </c>
      <c r="C54" s="82" t="s">
        <v>190</v>
      </c>
      <c r="D54" s="82">
        <v>5</v>
      </c>
      <c r="E54" s="33">
        <f>F53</f>
        <v>44573</v>
      </c>
      <c r="F54" s="33">
        <f t="shared" si="2"/>
        <v>44578</v>
      </c>
      <c r="G54" s="107"/>
    </row>
    <row r="55" spans="1:7">
      <c r="A55" s="35">
        <v>3.5</v>
      </c>
      <c r="B55" s="36" t="s">
        <v>142</v>
      </c>
      <c r="C55" s="25"/>
      <c r="D55" s="82"/>
      <c r="E55" s="25"/>
      <c r="F55" s="25"/>
      <c r="G55" s="71">
        <f>LARGE(F56:F57,1)</f>
        <v>44623</v>
      </c>
    </row>
    <row r="56" spans="1:7">
      <c r="A56" s="25" t="s">
        <v>205</v>
      </c>
      <c r="B56" s="23" t="s">
        <v>206</v>
      </c>
      <c r="C56" s="25" t="s">
        <v>193</v>
      </c>
      <c r="D56" s="82">
        <v>40</v>
      </c>
      <c r="E56" s="33">
        <f>F54</f>
        <v>44578</v>
      </c>
      <c r="F56" s="33">
        <f>E56+D56</f>
        <v>44618</v>
      </c>
      <c r="G56" s="105">
        <v>1</v>
      </c>
    </row>
    <row r="57" spans="1:7">
      <c r="A57" s="25" t="s">
        <v>209</v>
      </c>
      <c r="B57" s="23" t="s">
        <v>194</v>
      </c>
      <c r="C57" s="25" t="s">
        <v>205</v>
      </c>
      <c r="D57" s="82">
        <v>5</v>
      </c>
      <c r="E57" s="33">
        <f>F56</f>
        <v>44618</v>
      </c>
      <c r="F57" s="33">
        <f>E57+D57</f>
        <v>44623</v>
      </c>
      <c r="G57" s="106"/>
    </row>
  </sheetData>
  <mergeCells count="11">
    <mergeCell ref="G35:G37"/>
    <mergeCell ref="G5:G11"/>
    <mergeCell ref="G13:G21"/>
    <mergeCell ref="G23:G26"/>
    <mergeCell ref="G28:G30"/>
    <mergeCell ref="G32:G33"/>
    <mergeCell ref="G56:G57"/>
    <mergeCell ref="G39:G40"/>
    <mergeCell ref="G42:G43"/>
    <mergeCell ref="G49:G51"/>
    <mergeCell ref="G53:G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29E8-F2B9-4A98-AE24-729087C174E3}">
  <dimension ref="B1:AM19"/>
  <sheetViews>
    <sheetView topLeftCell="AD9" workbookViewId="0">
      <selection activeCell="AK20" sqref="AK20"/>
    </sheetView>
  </sheetViews>
  <sheetFormatPr defaultRowHeight="14.45"/>
  <cols>
    <col min="2" max="2" width="14.28515625" bestFit="1" customWidth="1"/>
    <col min="3" max="3" width="16" bestFit="1" customWidth="1"/>
    <col min="4" max="4" width="30.28515625" bestFit="1" customWidth="1"/>
    <col min="8" max="8" width="9.5703125" bestFit="1" customWidth="1"/>
    <col min="9" max="9" width="12.28515625" customWidth="1"/>
    <col min="10" max="10" width="19.7109375" customWidth="1"/>
    <col min="11" max="11" width="16.140625" customWidth="1"/>
    <col min="12" max="12" width="14.5703125" customWidth="1"/>
    <col min="16" max="16" width="28.7109375" customWidth="1"/>
    <col min="17" max="17" width="13" customWidth="1"/>
    <col min="18" max="18" width="23.7109375" customWidth="1"/>
    <col min="19" max="19" width="21" customWidth="1"/>
    <col min="20" max="20" width="26.42578125" customWidth="1"/>
    <col min="22" max="22" width="7.140625" customWidth="1"/>
    <col min="23" max="23" width="40.7109375" customWidth="1"/>
    <col min="29" max="29" width="24" customWidth="1"/>
    <col min="33" max="33" width="25.7109375" customWidth="1"/>
    <col min="35" max="35" width="48.7109375" customWidth="1"/>
    <col min="36" max="36" width="24.85546875" bestFit="1" customWidth="1"/>
    <col min="37" max="37" width="18.140625" bestFit="1" customWidth="1"/>
    <col min="38" max="38" width="18.28515625" bestFit="1" customWidth="1"/>
    <col min="39" max="39" width="13.42578125" bestFit="1" customWidth="1"/>
  </cols>
  <sheetData>
    <row r="1" spans="2:39">
      <c r="H1" t="s">
        <v>393</v>
      </c>
      <c r="O1" t="s">
        <v>394</v>
      </c>
    </row>
    <row r="2" spans="2:39">
      <c r="X2" s="108" t="s">
        <v>395</v>
      </c>
      <c r="Y2" s="108"/>
      <c r="Z2" s="108"/>
      <c r="AA2" s="108"/>
      <c r="AB2" s="108"/>
      <c r="AC2" s="108"/>
      <c r="AD2" s="108"/>
    </row>
    <row r="3" spans="2:39">
      <c r="B3" t="s">
        <v>396</v>
      </c>
      <c r="C3" t="s">
        <v>397</v>
      </c>
      <c r="D3" t="s">
        <v>398</v>
      </c>
      <c r="H3" s="23" t="s">
        <v>399</v>
      </c>
      <c r="I3" s="23" t="s">
        <v>400</v>
      </c>
      <c r="J3" s="23" t="s">
        <v>401</v>
      </c>
      <c r="K3" s="23" t="s">
        <v>90</v>
      </c>
      <c r="L3" s="23" t="s">
        <v>402</v>
      </c>
      <c r="O3" s="80" t="s">
        <v>47</v>
      </c>
      <c r="P3" s="80" t="s">
        <v>319</v>
      </c>
      <c r="Q3" s="80" t="s">
        <v>403</v>
      </c>
      <c r="R3" s="80" t="s">
        <v>404</v>
      </c>
      <c r="S3" s="80" t="s">
        <v>405</v>
      </c>
      <c r="T3" s="80" t="s">
        <v>406</v>
      </c>
      <c r="V3" s="80" t="s">
        <v>47</v>
      </c>
      <c r="W3" s="80" t="s">
        <v>319</v>
      </c>
      <c r="X3" s="80" t="s">
        <v>407</v>
      </c>
      <c r="Y3" s="80" t="s">
        <v>90</v>
      </c>
      <c r="Z3" s="80" t="s">
        <v>401</v>
      </c>
      <c r="AA3" s="80" t="s">
        <v>402</v>
      </c>
      <c r="AB3" s="80" t="s">
        <v>408</v>
      </c>
      <c r="AC3" s="80" t="s">
        <v>409</v>
      </c>
      <c r="AD3" s="80" t="s">
        <v>410</v>
      </c>
    </row>
    <row r="4" spans="2:39" ht="57.6">
      <c r="B4" t="s">
        <v>411</v>
      </c>
      <c r="C4" t="s">
        <v>412</v>
      </c>
      <c r="D4" t="s">
        <v>413</v>
      </c>
      <c r="H4" s="23" t="s">
        <v>414</v>
      </c>
      <c r="I4" s="79">
        <v>0.85</v>
      </c>
      <c r="J4" s="23" t="s">
        <v>415</v>
      </c>
      <c r="K4" s="23" t="s">
        <v>416</v>
      </c>
      <c r="L4" s="23" t="s">
        <v>417</v>
      </c>
      <c r="O4" s="81" t="s">
        <v>418</v>
      </c>
      <c r="P4" s="81" t="s">
        <v>419</v>
      </c>
      <c r="Q4" s="81" t="s">
        <v>420</v>
      </c>
      <c r="R4" s="81" t="s">
        <v>421</v>
      </c>
      <c r="S4" s="81" t="s">
        <v>422</v>
      </c>
      <c r="T4" s="14" t="s">
        <v>423</v>
      </c>
      <c r="V4" s="81" t="s">
        <v>418</v>
      </c>
      <c r="W4" s="81" t="s">
        <v>419</v>
      </c>
      <c r="X4" s="31" t="s">
        <v>41</v>
      </c>
      <c r="Y4" s="31" t="s">
        <v>13</v>
      </c>
      <c r="Z4" s="31" t="s">
        <v>13</v>
      </c>
      <c r="AA4" s="31" t="s">
        <v>13</v>
      </c>
      <c r="AB4" s="31" t="s">
        <v>37</v>
      </c>
      <c r="AC4" s="14" t="s">
        <v>424</v>
      </c>
      <c r="AD4" s="31" t="s">
        <v>425</v>
      </c>
    </row>
    <row r="5" spans="2:39" ht="72">
      <c r="D5" t="s">
        <v>426</v>
      </c>
      <c r="H5" s="23" t="s">
        <v>13</v>
      </c>
      <c r="I5" s="79">
        <v>0.7</v>
      </c>
      <c r="J5" s="23" t="s">
        <v>427</v>
      </c>
      <c r="K5" s="23" t="s">
        <v>428</v>
      </c>
      <c r="L5" s="23" t="s">
        <v>417</v>
      </c>
      <c r="O5" s="81" t="s">
        <v>429</v>
      </c>
      <c r="P5" s="14" t="s">
        <v>430</v>
      </c>
      <c r="Q5" s="14" t="s">
        <v>420</v>
      </c>
      <c r="R5" s="14" t="s">
        <v>431</v>
      </c>
      <c r="S5" s="14" t="s">
        <v>432</v>
      </c>
      <c r="T5" s="14" t="s">
        <v>433</v>
      </c>
      <c r="V5" s="81" t="s">
        <v>429</v>
      </c>
      <c r="W5" s="14" t="s">
        <v>430</v>
      </c>
      <c r="X5" s="31" t="s">
        <v>434</v>
      </c>
      <c r="Y5" s="31" t="s">
        <v>41</v>
      </c>
      <c r="Z5" s="31" t="s">
        <v>13</v>
      </c>
      <c r="AA5" s="31" t="s">
        <v>41</v>
      </c>
      <c r="AB5" s="31" t="s">
        <v>435</v>
      </c>
      <c r="AC5" s="14" t="s">
        <v>436</v>
      </c>
      <c r="AD5" s="31" t="s">
        <v>425</v>
      </c>
    </row>
    <row r="6" spans="2:39" ht="43.15">
      <c r="D6" t="s">
        <v>437</v>
      </c>
      <c r="H6" s="23" t="s">
        <v>438</v>
      </c>
      <c r="I6" s="79">
        <v>0.5</v>
      </c>
      <c r="J6" s="23" t="s">
        <v>439</v>
      </c>
      <c r="K6" s="23" t="s">
        <v>440</v>
      </c>
      <c r="L6" s="23" t="s">
        <v>441</v>
      </c>
      <c r="O6" s="81" t="s">
        <v>442</v>
      </c>
      <c r="P6" s="14" t="s">
        <v>443</v>
      </c>
      <c r="Q6" s="14" t="s">
        <v>420</v>
      </c>
      <c r="R6" s="14" t="s">
        <v>444</v>
      </c>
      <c r="S6" s="14" t="s">
        <v>422</v>
      </c>
      <c r="T6" s="14" t="s">
        <v>445</v>
      </c>
      <c r="V6" s="81" t="s">
        <v>442</v>
      </c>
      <c r="W6" s="14" t="s">
        <v>443</v>
      </c>
      <c r="X6" s="31" t="s">
        <v>41</v>
      </c>
      <c r="Y6" s="31" t="s">
        <v>13</v>
      </c>
      <c r="Z6" s="31" t="s">
        <v>13</v>
      </c>
      <c r="AA6" s="31" t="s">
        <v>13</v>
      </c>
      <c r="AB6" s="31" t="s">
        <v>435</v>
      </c>
      <c r="AC6" s="14" t="s">
        <v>446</v>
      </c>
      <c r="AD6" s="31" t="s">
        <v>425</v>
      </c>
    </row>
    <row r="7" spans="2:39" ht="43.15">
      <c r="D7" t="s">
        <v>447</v>
      </c>
      <c r="H7" s="23" t="s">
        <v>32</v>
      </c>
      <c r="I7" s="79">
        <v>0.4</v>
      </c>
      <c r="J7" s="23" t="s">
        <v>448</v>
      </c>
      <c r="K7" s="23" t="s">
        <v>449</v>
      </c>
      <c r="L7" s="23" t="s">
        <v>450</v>
      </c>
      <c r="O7" s="81" t="s">
        <v>451</v>
      </c>
      <c r="P7" s="14" t="s">
        <v>452</v>
      </c>
      <c r="Q7" s="14" t="s">
        <v>420</v>
      </c>
      <c r="R7" s="14" t="s">
        <v>453</v>
      </c>
      <c r="S7" s="14" t="s">
        <v>454</v>
      </c>
      <c r="T7" s="14" t="s">
        <v>455</v>
      </c>
      <c r="V7" s="81" t="s">
        <v>451</v>
      </c>
      <c r="W7" s="14" t="s">
        <v>452</v>
      </c>
      <c r="X7" s="31" t="s">
        <v>13</v>
      </c>
      <c r="Y7" s="31" t="s">
        <v>13</v>
      </c>
      <c r="Z7" s="31" t="s">
        <v>32</v>
      </c>
      <c r="AA7" s="31" t="s">
        <v>32</v>
      </c>
      <c r="AB7" s="31" t="s">
        <v>435</v>
      </c>
      <c r="AC7" s="14" t="s">
        <v>456</v>
      </c>
      <c r="AD7" s="31" t="s">
        <v>425</v>
      </c>
    </row>
    <row r="8" spans="2:39" ht="57.6">
      <c r="C8" t="s">
        <v>457</v>
      </c>
      <c r="H8" s="23" t="s">
        <v>458</v>
      </c>
      <c r="I8" s="79">
        <v>0.2</v>
      </c>
      <c r="J8" s="23" t="s">
        <v>459</v>
      </c>
      <c r="K8" s="23" t="s">
        <v>460</v>
      </c>
      <c r="L8" s="23" t="s">
        <v>450</v>
      </c>
      <c r="O8" s="81" t="s">
        <v>461</v>
      </c>
      <c r="P8" s="14" t="s">
        <v>462</v>
      </c>
      <c r="Q8" s="14" t="s">
        <v>420</v>
      </c>
      <c r="R8" s="14" t="s">
        <v>463</v>
      </c>
      <c r="S8" s="14" t="s">
        <v>464</v>
      </c>
      <c r="T8" s="14" t="s">
        <v>465</v>
      </c>
      <c r="V8" s="81" t="s">
        <v>461</v>
      </c>
      <c r="W8" s="14" t="s">
        <v>462</v>
      </c>
      <c r="X8" s="31" t="s">
        <v>32</v>
      </c>
      <c r="Y8" s="31" t="s">
        <v>13</v>
      </c>
      <c r="Z8" s="31" t="s">
        <v>13</v>
      </c>
      <c r="AA8" s="31" t="s">
        <v>434</v>
      </c>
      <c r="AB8" s="31" t="s">
        <v>37</v>
      </c>
      <c r="AC8" s="14" t="s">
        <v>466</v>
      </c>
      <c r="AD8" s="31" t="s">
        <v>425</v>
      </c>
      <c r="AL8" s="21"/>
    </row>
    <row r="10" spans="2:39" ht="21">
      <c r="X10" s="108" t="s">
        <v>467</v>
      </c>
      <c r="Y10" s="108"/>
      <c r="Z10" s="108"/>
      <c r="AA10" s="108"/>
      <c r="AB10" s="108"/>
      <c r="AC10" s="108"/>
      <c r="AD10" s="108"/>
      <c r="AJ10" s="109" t="s">
        <v>468</v>
      </c>
      <c r="AK10" s="109"/>
      <c r="AL10" s="109"/>
      <c r="AM10" s="109"/>
    </row>
    <row r="11" spans="2:39">
      <c r="V11" s="80" t="s">
        <v>47</v>
      </c>
      <c r="W11" s="80" t="s">
        <v>319</v>
      </c>
      <c r="X11" s="80" t="s">
        <v>407</v>
      </c>
      <c r="Y11" s="80" t="s">
        <v>90</v>
      </c>
      <c r="Z11" s="80" t="s">
        <v>401</v>
      </c>
      <c r="AA11" s="80" t="s">
        <v>402</v>
      </c>
      <c r="AB11" s="80" t="s">
        <v>408</v>
      </c>
      <c r="AC11" s="80" t="s">
        <v>409</v>
      </c>
      <c r="AD11" s="80" t="s">
        <v>410</v>
      </c>
      <c r="AH11" s="80" t="s">
        <v>47</v>
      </c>
      <c r="AI11" s="80" t="s">
        <v>319</v>
      </c>
      <c r="AJ11" s="34" t="s">
        <v>469</v>
      </c>
      <c r="AK11" s="34" t="s">
        <v>470</v>
      </c>
      <c r="AL11" s="34" t="s">
        <v>471</v>
      </c>
      <c r="AM11" s="34" t="s">
        <v>472</v>
      </c>
    </row>
    <row r="12" spans="2:39" ht="43.15">
      <c r="V12" s="81" t="s">
        <v>418</v>
      </c>
      <c r="W12" s="81" t="s">
        <v>419</v>
      </c>
      <c r="X12" s="83">
        <v>0.6</v>
      </c>
      <c r="Y12" s="31">
        <f>1.4*1215</f>
        <v>1701</v>
      </c>
      <c r="Z12" s="31" t="s">
        <v>473</v>
      </c>
      <c r="AA12" s="31" t="s">
        <v>13</v>
      </c>
      <c r="AB12" s="31" t="s">
        <v>37</v>
      </c>
      <c r="AC12" s="14" t="s">
        <v>424</v>
      </c>
      <c r="AD12" s="31" t="s">
        <v>425</v>
      </c>
      <c r="AH12" s="81" t="s">
        <v>418</v>
      </c>
      <c r="AI12" s="81" t="s">
        <v>419</v>
      </c>
      <c r="AJ12" s="25" t="s">
        <v>474</v>
      </c>
      <c r="AK12" s="23" t="s">
        <v>475</v>
      </c>
      <c r="AL12" s="23" t="s">
        <v>476</v>
      </c>
      <c r="AM12" s="23" t="s">
        <v>477</v>
      </c>
    </row>
    <row r="13" spans="2:39" ht="72">
      <c r="V13" s="81" t="s">
        <v>429</v>
      </c>
      <c r="W13" s="14" t="s">
        <v>430</v>
      </c>
      <c r="X13" s="83">
        <v>0.1</v>
      </c>
      <c r="Y13" s="31">
        <f>1.5*200*5</f>
        <v>1500</v>
      </c>
      <c r="Z13" s="31" t="s">
        <v>478</v>
      </c>
      <c r="AA13" s="31" t="s">
        <v>41</v>
      </c>
      <c r="AB13" s="31" t="s">
        <v>435</v>
      </c>
      <c r="AC13" s="14" t="s">
        <v>436</v>
      </c>
      <c r="AD13" s="31" t="s">
        <v>425</v>
      </c>
      <c r="AH13" s="81" t="s">
        <v>429</v>
      </c>
      <c r="AI13" s="14" t="s">
        <v>430</v>
      </c>
      <c r="AJ13" s="25" t="s">
        <v>479</v>
      </c>
      <c r="AK13" s="23" t="s">
        <v>480</v>
      </c>
      <c r="AL13" s="23" t="s">
        <v>481</v>
      </c>
      <c r="AM13" s="23" t="s">
        <v>482</v>
      </c>
    </row>
    <row r="14" spans="2:39" ht="28.9">
      <c r="V14" s="81" t="s">
        <v>442</v>
      </c>
      <c r="W14" s="14" t="s">
        <v>443</v>
      </c>
      <c r="X14" s="83">
        <v>0.5</v>
      </c>
      <c r="Y14" s="31">
        <f>10*40*4*1.3</f>
        <v>2080</v>
      </c>
      <c r="Z14" s="31" t="s">
        <v>483</v>
      </c>
      <c r="AA14" s="31" t="s">
        <v>13</v>
      </c>
      <c r="AB14" s="31" t="s">
        <v>435</v>
      </c>
      <c r="AC14" s="14" t="s">
        <v>446</v>
      </c>
      <c r="AD14" s="31" t="s">
        <v>425</v>
      </c>
      <c r="AH14" s="81" t="s">
        <v>442</v>
      </c>
      <c r="AI14" s="14" t="s">
        <v>443</v>
      </c>
      <c r="AJ14" s="25" t="s">
        <v>484</v>
      </c>
      <c r="AK14" s="25" t="s">
        <v>353</v>
      </c>
      <c r="AL14" s="23" t="s">
        <v>485</v>
      </c>
      <c r="AM14" s="23" t="s">
        <v>486</v>
      </c>
    </row>
    <row r="15" spans="2:39" ht="43.15">
      <c r="V15" s="81" t="s">
        <v>451</v>
      </c>
      <c r="W15" s="14" t="s">
        <v>452</v>
      </c>
      <c r="X15" s="83">
        <v>0.65</v>
      </c>
      <c r="Y15" s="31">
        <f>30*40*4*1.3</f>
        <v>6240</v>
      </c>
      <c r="Z15" s="31" t="s">
        <v>473</v>
      </c>
      <c r="AA15" s="31" t="s">
        <v>32</v>
      </c>
      <c r="AB15" s="31" t="s">
        <v>435</v>
      </c>
      <c r="AC15" s="14" t="s">
        <v>456</v>
      </c>
      <c r="AD15" s="31" t="s">
        <v>425</v>
      </c>
      <c r="AH15" s="81" t="s">
        <v>451</v>
      </c>
      <c r="AI15" s="14" t="s">
        <v>452</v>
      </c>
      <c r="AJ15" s="25" t="s">
        <v>484</v>
      </c>
      <c r="AK15" s="23" t="s">
        <v>487</v>
      </c>
      <c r="AL15" s="23" t="s">
        <v>488</v>
      </c>
      <c r="AM15" s="23" t="s">
        <v>489</v>
      </c>
    </row>
    <row r="16" spans="2:39" ht="57.6">
      <c r="V16" s="81" t="s">
        <v>461</v>
      </c>
      <c r="W16" s="14" t="s">
        <v>462</v>
      </c>
      <c r="X16" s="83">
        <v>0.2</v>
      </c>
      <c r="Y16" s="31">
        <f>30*40*4*1.3*3</f>
        <v>18720</v>
      </c>
      <c r="Z16" s="31" t="s">
        <v>338</v>
      </c>
      <c r="AA16" s="31" t="s">
        <v>434</v>
      </c>
      <c r="AB16" s="31" t="s">
        <v>37</v>
      </c>
      <c r="AC16" s="14" t="s">
        <v>466</v>
      </c>
      <c r="AD16" s="31" t="s">
        <v>425</v>
      </c>
      <c r="AH16" s="81" t="s">
        <v>461</v>
      </c>
      <c r="AI16" s="14" t="s">
        <v>462</v>
      </c>
      <c r="AJ16" s="25" t="s">
        <v>490</v>
      </c>
      <c r="AK16" s="23" t="s">
        <v>491</v>
      </c>
      <c r="AL16" s="23" t="s">
        <v>492</v>
      </c>
      <c r="AM16" s="23" t="s">
        <v>489</v>
      </c>
    </row>
    <row r="17" spans="34:35">
      <c r="AH17" s="84" t="s">
        <v>493</v>
      </c>
      <c r="AI17" s="84" t="s">
        <v>494</v>
      </c>
    </row>
    <row r="18" spans="34:35">
      <c r="AH18" s="84" t="s">
        <v>495</v>
      </c>
      <c r="AI18" s="84" t="s">
        <v>496</v>
      </c>
    </row>
    <row r="19" spans="34:35">
      <c r="AH19" s="84" t="s">
        <v>497</v>
      </c>
      <c r="AI19" s="84" t="s">
        <v>498</v>
      </c>
    </row>
  </sheetData>
  <mergeCells count="3">
    <mergeCell ref="X2:AD2"/>
    <mergeCell ref="X10:AD10"/>
    <mergeCell ref="AJ10:AM10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1469-0EFD-4773-A117-870861A0EEC5}">
  <dimension ref="A2:F4"/>
  <sheetViews>
    <sheetView workbookViewId="0">
      <selection activeCell="C8" sqref="C8"/>
    </sheetView>
  </sheetViews>
  <sheetFormatPr defaultRowHeight="14.45"/>
  <cols>
    <col min="1" max="6" width="14.28515625" style="21" customWidth="1"/>
  </cols>
  <sheetData>
    <row r="2" spans="1:6" ht="43.15">
      <c r="A2" s="21" t="s">
        <v>64</v>
      </c>
      <c r="B2" s="21" t="s">
        <v>499</v>
      </c>
      <c r="C2" s="21" t="s">
        <v>500</v>
      </c>
      <c r="D2" s="21" t="s">
        <v>501</v>
      </c>
      <c r="E2" s="21" t="s">
        <v>502</v>
      </c>
      <c r="F2" s="21" t="s">
        <v>503</v>
      </c>
    </row>
    <row r="3" spans="1:6" ht="43.15">
      <c r="A3" s="21" t="s">
        <v>504</v>
      </c>
      <c r="B3" s="21" t="s">
        <v>505</v>
      </c>
      <c r="C3" s="21" t="s">
        <v>506</v>
      </c>
      <c r="D3" s="21" t="s">
        <v>507</v>
      </c>
      <c r="E3" s="21" t="s">
        <v>508</v>
      </c>
      <c r="F3" s="21" t="s">
        <v>509</v>
      </c>
    </row>
    <row r="4" spans="1:6">
      <c r="C4" s="2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silvana arevalo</dc:creator>
  <cp:keywords/>
  <dc:description/>
  <cp:lastModifiedBy>Silvana Arevalo</cp:lastModifiedBy>
  <cp:revision/>
  <dcterms:created xsi:type="dcterms:W3CDTF">2021-01-10T14:33:02Z</dcterms:created>
  <dcterms:modified xsi:type="dcterms:W3CDTF">2021-01-24T07:17:48Z</dcterms:modified>
  <cp:category/>
  <cp:contentStatus/>
</cp:coreProperties>
</file>