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5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lennonj_iu_edu/Documents/Bifido/1.Data/data/HPLC_Bifido/"/>
    </mc:Choice>
  </mc:AlternateContent>
  <xr:revisionPtr revIDLastSave="634" documentId="13_ncr:1_{26807FA5-CF0A-4B07-ADF2-5B86515728F2}" xr6:coauthVersionLast="47" xr6:coauthVersionMax="47" xr10:uidLastSave="{5D14F958-9E45-410F-916F-EF78DDBEA7B4}"/>
  <bookViews>
    <workbookView xWindow="-120" yWindow="-120" windowWidth="38640" windowHeight="21240" activeTab="1" xr2:uid="{00000000-000D-0000-FFFF-FFFF00000000}"/>
  </bookViews>
  <sheets>
    <sheet name="Notes" sheetId="14" r:id="rId1"/>
    <sheet name="Flux_csv_output" sheetId="13" r:id="rId2"/>
    <sheet name="Samples" sheetId="2" r:id="rId3"/>
    <sheet name="Flux" sheetId="4" r:id="rId4"/>
    <sheet name="Std curve values (LC)" sheetId="3" r:id="rId5"/>
    <sheet name="Std curve values (OD-cell dens)" sheetId="5" r:id="rId6"/>
    <sheet name="ΔOD and growth rate (G + F)" sheetId="6" r:id="rId7"/>
    <sheet name="ΔOD and growth rate (F)" sheetId="7" r:id="rId8"/>
    <sheet name="Std curve Glu + Fru" sheetId="11" r:id="rId9"/>
    <sheet name="Std curve Lact + Ace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13" l="1"/>
  <c r="P47" i="13"/>
  <c r="P34" i="13"/>
  <c r="P23" i="13"/>
  <c r="P19" i="13"/>
  <c r="P11" i="13"/>
  <c r="P10" i="13"/>
  <c r="U10" i="13" s="1"/>
  <c r="Y10" i="13" s="1"/>
  <c r="AL4" i="13"/>
  <c r="AL6" i="13"/>
  <c r="AL13" i="13"/>
  <c r="AL14" i="13"/>
  <c r="AL16" i="13"/>
  <c r="AL18" i="13"/>
  <c r="AL25" i="13"/>
  <c r="AL26" i="13"/>
  <c r="AL29" i="13"/>
  <c r="AL36" i="13"/>
  <c r="AL37" i="13"/>
  <c r="AL39" i="13"/>
  <c r="AL41" i="13"/>
  <c r="AL48" i="13"/>
  <c r="AL53" i="13"/>
  <c r="M2" i="13"/>
  <c r="M3" i="13"/>
  <c r="U3" i="13" s="1"/>
  <c r="Y3" i="13" s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U55" i="13" s="1"/>
  <c r="Y55" i="13" s="1"/>
  <c r="M5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T24" i="13" s="1"/>
  <c r="X24" i="13" s="1"/>
  <c r="AB24" i="13" s="1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2" i="13"/>
  <c r="T2" i="13" s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S52" i="13" s="1"/>
  <c r="W52" i="13" s="1"/>
  <c r="K53" i="13"/>
  <c r="K54" i="13"/>
  <c r="K55" i="13"/>
  <c r="K56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2" i="13"/>
  <c r="B2" i="13"/>
  <c r="N2" i="13"/>
  <c r="O2" i="13" s="1"/>
  <c r="P2" i="13" s="1"/>
  <c r="AL2" i="13"/>
  <c r="AM2" i="13"/>
  <c r="B3" i="13"/>
  <c r="N3" i="13"/>
  <c r="O3" i="13" s="1"/>
  <c r="P3" i="13" s="1"/>
  <c r="S3" i="13" s="1"/>
  <c r="W3" i="13" s="1"/>
  <c r="AL3" i="13"/>
  <c r="AM3" i="13"/>
  <c r="B4" i="13"/>
  <c r="N4" i="13"/>
  <c r="O4" i="13" s="1"/>
  <c r="P4" i="13" s="1"/>
  <c r="T4" i="13" s="1"/>
  <c r="X4" i="13" s="1"/>
  <c r="AM4" i="13"/>
  <c r="B5" i="13"/>
  <c r="N5" i="13"/>
  <c r="O5" i="13" s="1"/>
  <c r="P5" i="13" s="1"/>
  <c r="AL5" i="13"/>
  <c r="AM5" i="13"/>
  <c r="B6" i="13"/>
  <c r="N6" i="13"/>
  <c r="O6" i="13"/>
  <c r="P6" i="13" s="1"/>
  <c r="AM6" i="13"/>
  <c r="B7" i="13"/>
  <c r="N7" i="13"/>
  <c r="O7" i="13" s="1"/>
  <c r="AL7" i="13"/>
  <c r="AM7" i="13"/>
  <c r="B8" i="13"/>
  <c r="N8" i="13"/>
  <c r="O8" i="13"/>
  <c r="P8" i="13" s="1"/>
  <c r="AL8" i="13"/>
  <c r="AM8" i="13"/>
  <c r="B9" i="13"/>
  <c r="N9" i="13"/>
  <c r="O9" i="13"/>
  <c r="P9" i="13" s="1"/>
  <c r="AL9" i="13"/>
  <c r="AM9" i="13"/>
  <c r="B10" i="13"/>
  <c r="N10" i="13"/>
  <c r="O10" i="13"/>
  <c r="AL10" i="13"/>
  <c r="AM10" i="13"/>
  <c r="B11" i="13"/>
  <c r="N11" i="13"/>
  <c r="O11" i="13" s="1"/>
  <c r="AL11" i="13"/>
  <c r="AM11" i="13"/>
  <c r="B12" i="13"/>
  <c r="N12" i="13"/>
  <c r="O12" i="13" s="1"/>
  <c r="P12" i="13" s="1"/>
  <c r="AL12" i="13"/>
  <c r="AM12" i="13"/>
  <c r="B13" i="13"/>
  <c r="N13" i="13"/>
  <c r="O13" i="13" s="1"/>
  <c r="P13" i="13" s="1"/>
  <c r="AM13" i="13"/>
  <c r="B14" i="13"/>
  <c r="N14" i="13"/>
  <c r="O14" i="13" s="1"/>
  <c r="P14" i="13" s="1"/>
  <c r="AM14" i="13"/>
  <c r="B15" i="13"/>
  <c r="N15" i="13"/>
  <c r="O15" i="13" s="1"/>
  <c r="P15" i="13" s="1"/>
  <c r="AL15" i="13"/>
  <c r="AM15" i="13"/>
  <c r="B16" i="13"/>
  <c r="N16" i="13"/>
  <c r="O16" i="13" s="1"/>
  <c r="P16" i="13" s="1"/>
  <c r="AM16" i="13"/>
  <c r="B17" i="13"/>
  <c r="N17" i="13"/>
  <c r="O17" i="13"/>
  <c r="P17" i="13" s="1"/>
  <c r="AL17" i="13"/>
  <c r="AM17" i="13"/>
  <c r="B18" i="13"/>
  <c r="N18" i="13"/>
  <c r="O18" i="13"/>
  <c r="P18" i="13" s="1"/>
  <c r="AM18" i="13"/>
  <c r="B19" i="13"/>
  <c r="N19" i="13"/>
  <c r="O19" i="13"/>
  <c r="AL19" i="13"/>
  <c r="AM19" i="13"/>
  <c r="B20" i="13"/>
  <c r="N20" i="13"/>
  <c r="O20" i="13" s="1"/>
  <c r="P20" i="13" s="1"/>
  <c r="AL20" i="13"/>
  <c r="AM20" i="13"/>
  <c r="B21" i="13"/>
  <c r="N21" i="13"/>
  <c r="O21" i="13"/>
  <c r="P21" i="13" s="1"/>
  <c r="R21" i="13" s="1"/>
  <c r="V21" i="13" s="1"/>
  <c r="AL21" i="13"/>
  <c r="AM21" i="13"/>
  <c r="B22" i="13"/>
  <c r="N22" i="13"/>
  <c r="O22" i="13"/>
  <c r="P22" i="13" s="1"/>
  <c r="AL22" i="13"/>
  <c r="AM22" i="13"/>
  <c r="B23" i="13"/>
  <c r="N23" i="13"/>
  <c r="O23" i="13" s="1"/>
  <c r="AL23" i="13"/>
  <c r="AM23" i="13"/>
  <c r="B24" i="13"/>
  <c r="N24" i="13"/>
  <c r="O24" i="13"/>
  <c r="P24" i="13" s="1"/>
  <c r="AL24" i="13"/>
  <c r="AM24" i="13"/>
  <c r="B25" i="13"/>
  <c r="N25" i="13"/>
  <c r="O25" i="13" s="1"/>
  <c r="P25" i="13" s="1"/>
  <c r="AM25" i="13"/>
  <c r="B26" i="13"/>
  <c r="N26" i="13"/>
  <c r="O26" i="13"/>
  <c r="P26" i="13" s="1"/>
  <c r="T26" i="13" s="1"/>
  <c r="X26" i="13" s="1"/>
  <c r="AB26" i="13" s="1"/>
  <c r="AM26" i="13"/>
  <c r="B27" i="13"/>
  <c r="N27" i="13"/>
  <c r="O27" i="13" s="1"/>
  <c r="P27" i="13" s="1"/>
  <c r="AL27" i="13"/>
  <c r="AM27" i="13"/>
  <c r="B28" i="13"/>
  <c r="N28" i="13"/>
  <c r="O28" i="13" s="1"/>
  <c r="P28" i="13" s="1"/>
  <c r="AL28" i="13"/>
  <c r="AM28" i="13"/>
  <c r="B29" i="13"/>
  <c r="N29" i="13"/>
  <c r="O29" i="13" s="1"/>
  <c r="P29" i="13" s="1"/>
  <c r="AM29" i="13"/>
  <c r="B30" i="13"/>
  <c r="N30" i="13"/>
  <c r="O30" i="13"/>
  <c r="P30" i="13" s="1"/>
  <c r="T30" i="13" s="1"/>
  <c r="X30" i="13" s="1"/>
  <c r="AB30" i="13" s="1"/>
  <c r="AL30" i="13"/>
  <c r="AM30" i="13"/>
  <c r="B31" i="13"/>
  <c r="N31" i="13"/>
  <c r="O31" i="13"/>
  <c r="P31" i="13" s="1"/>
  <c r="AL31" i="13"/>
  <c r="AM31" i="13"/>
  <c r="B32" i="13"/>
  <c r="N32" i="13"/>
  <c r="O32" i="13" s="1"/>
  <c r="P32" i="13" s="1"/>
  <c r="AL32" i="13"/>
  <c r="AM32" i="13"/>
  <c r="B33" i="13"/>
  <c r="N33" i="13"/>
  <c r="O33" i="13"/>
  <c r="P33" i="13" s="1"/>
  <c r="AL33" i="13"/>
  <c r="AM33" i="13"/>
  <c r="B34" i="13"/>
  <c r="N34" i="13"/>
  <c r="O34" i="13"/>
  <c r="AL34" i="13"/>
  <c r="AM34" i="13"/>
  <c r="B35" i="13"/>
  <c r="N35" i="13"/>
  <c r="O35" i="13"/>
  <c r="P35" i="13" s="1"/>
  <c r="AL35" i="13"/>
  <c r="AM35" i="13"/>
  <c r="B36" i="13"/>
  <c r="N36" i="13"/>
  <c r="O36" i="13" s="1"/>
  <c r="P36" i="13" s="1"/>
  <c r="AM36" i="13"/>
  <c r="B37" i="13"/>
  <c r="N37" i="13"/>
  <c r="O37" i="13" s="1"/>
  <c r="P37" i="13" s="1"/>
  <c r="AM37" i="13"/>
  <c r="B38" i="13"/>
  <c r="N38" i="13"/>
  <c r="O38" i="13"/>
  <c r="P38" i="13" s="1"/>
  <c r="R38" i="13" s="1"/>
  <c r="V38" i="13" s="1"/>
  <c r="AL38" i="13"/>
  <c r="AM38" i="13"/>
  <c r="B39" i="13"/>
  <c r="N39" i="13"/>
  <c r="O39" i="13" s="1"/>
  <c r="AM39" i="13"/>
  <c r="B40" i="13"/>
  <c r="N40" i="13"/>
  <c r="O40" i="13"/>
  <c r="P40" i="13" s="1"/>
  <c r="AL40" i="13"/>
  <c r="AM40" i="13"/>
  <c r="B41" i="13"/>
  <c r="N41" i="13"/>
  <c r="O41" i="13"/>
  <c r="P41" i="13" s="1"/>
  <c r="AM41" i="13"/>
  <c r="B42" i="13"/>
  <c r="N42" i="13"/>
  <c r="O42" i="13" s="1"/>
  <c r="P42" i="13" s="1"/>
  <c r="AL42" i="13"/>
  <c r="AM42" i="13"/>
  <c r="B43" i="13"/>
  <c r="N43" i="13"/>
  <c r="O43" i="13" s="1"/>
  <c r="P43" i="13" s="1"/>
  <c r="AL43" i="13"/>
  <c r="AM43" i="13"/>
  <c r="B44" i="13"/>
  <c r="N44" i="13"/>
  <c r="O44" i="13"/>
  <c r="P44" i="13" s="1"/>
  <c r="AL44" i="13"/>
  <c r="AM44" i="13"/>
  <c r="B45" i="13"/>
  <c r="N45" i="13"/>
  <c r="O45" i="13" s="1"/>
  <c r="P45" i="13" s="1"/>
  <c r="U45" i="13" s="1"/>
  <c r="Y45" i="13" s="1"/>
  <c r="AL45" i="13"/>
  <c r="AM45" i="13"/>
  <c r="B46" i="13"/>
  <c r="N46" i="13"/>
  <c r="O46" i="13" s="1"/>
  <c r="P46" i="13" s="1"/>
  <c r="AL46" i="13"/>
  <c r="AM46" i="13"/>
  <c r="B47" i="13"/>
  <c r="N47" i="13"/>
  <c r="O47" i="13" s="1"/>
  <c r="AL47" i="13"/>
  <c r="AM47" i="13"/>
  <c r="B48" i="13"/>
  <c r="N48" i="13"/>
  <c r="O48" i="13"/>
  <c r="P48" i="13" s="1"/>
  <c r="AM48" i="13"/>
  <c r="B49" i="13"/>
  <c r="N49" i="13"/>
  <c r="O49" i="13"/>
  <c r="P49" i="13" s="1"/>
  <c r="AL49" i="13"/>
  <c r="AM49" i="13"/>
  <c r="B50" i="13"/>
  <c r="N50" i="13"/>
  <c r="O50" i="13"/>
  <c r="P50" i="13" s="1"/>
  <c r="R50" i="13" s="1"/>
  <c r="V50" i="13" s="1"/>
  <c r="AL50" i="13"/>
  <c r="AM50" i="13"/>
  <c r="B51" i="13"/>
  <c r="N51" i="13"/>
  <c r="O51" i="13" s="1"/>
  <c r="P51" i="13" s="1"/>
  <c r="AL51" i="13"/>
  <c r="AM51" i="13"/>
  <c r="B52" i="13"/>
  <c r="N52" i="13"/>
  <c r="O52" i="13" s="1"/>
  <c r="P52" i="13" s="1"/>
  <c r="T52" i="13" s="1"/>
  <c r="X52" i="13" s="1"/>
  <c r="AB52" i="13" s="1"/>
  <c r="AL52" i="13"/>
  <c r="AM52" i="13"/>
  <c r="B53" i="13"/>
  <c r="N53" i="13"/>
  <c r="O53" i="13"/>
  <c r="P53" i="13" s="1"/>
  <c r="T53" i="13" s="1"/>
  <c r="X53" i="13" s="1"/>
  <c r="AB53" i="13" s="1"/>
  <c r="AM53" i="13"/>
  <c r="B54" i="13"/>
  <c r="N54" i="13"/>
  <c r="O54" i="13" s="1"/>
  <c r="P54" i="13" s="1"/>
  <c r="AL54" i="13"/>
  <c r="AM54" i="13"/>
  <c r="B55" i="13"/>
  <c r="N55" i="13"/>
  <c r="O55" i="13" s="1"/>
  <c r="AL55" i="13"/>
  <c r="AM55" i="13"/>
  <c r="B56" i="13"/>
  <c r="N56" i="13"/>
  <c r="O56" i="13" s="1"/>
  <c r="P56" i="13" s="1"/>
  <c r="AL56" i="13"/>
  <c r="AM56" i="13"/>
  <c r="B2" i="11"/>
  <c r="C2" i="11"/>
  <c r="F2" i="11" s="1"/>
  <c r="I2" i="11" s="1"/>
  <c r="D2" i="11"/>
  <c r="E2" i="11"/>
  <c r="H2" i="11" s="1"/>
  <c r="B3" i="11"/>
  <c r="C3" i="11"/>
  <c r="F3" i="11" s="1"/>
  <c r="I3" i="11" s="1"/>
  <c r="D3" i="11"/>
  <c r="E3" i="11"/>
  <c r="H3" i="11" s="1"/>
  <c r="B4" i="11"/>
  <c r="E4" i="11" s="1"/>
  <c r="H4" i="11" s="1"/>
  <c r="C4" i="11"/>
  <c r="F4" i="11" s="1"/>
  <c r="I4" i="11" s="1"/>
  <c r="D4" i="11"/>
  <c r="B5" i="11"/>
  <c r="E5" i="11" s="1"/>
  <c r="H5" i="11" s="1"/>
  <c r="C5" i="11"/>
  <c r="F5" i="11" s="1"/>
  <c r="I5" i="11" s="1"/>
  <c r="D5" i="11"/>
  <c r="B6" i="11"/>
  <c r="C6" i="11"/>
  <c r="D6" i="11"/>
  <c r="E6" i="11"/>
  <c r="F6" i="11"/>
  <c r="H6" i="11"/>
  <c r="I6" i="11"/>
  <c r="B7" i="11"/>
  <c r="C7" i="11"/>
  <c r="D7" i="11"/>
  <c r="E7" i="11"/>
  <c r="H7" i="11" s="1"/>
  <c r="F7" i="11"/>
  <c r="I7" i="11" s="1"/>
  <c r="P39" i="13" l="1"/>
  <c r="S39" i="13" s="1"/>
  <c r="W39" i="13" s="1"/>
  <c r="T56" i="13"/>
  <c r="X56" i="13" s="1"/>
  <c r="AB56" i="13" s="1"/>
  <c r="U56" i="13"/>
  <c r="Y56" i="13" s="1"/>
  <c r="S56" i="13"/>
  <c r="W56" i="13" s="1"/>
  <c r="S50" i="13"/>
  <c r="W50" i="13" s="1"/>
  <c r="P7" i="13"/>
  <c r="R7" i="13" s="1"/>
  <c r="V7" i="13" s="1"/>
  <c r="S9" i="13"/>
  <c r="W9" i="13" s="1"/>
  <c r="U9" i="13"/>
  <c r="Y9" i="13" s="1"/>
  <c r="R40" i="13"/>
  <c r="V40" i="13" s="1"/>
  <c r="R45" i="13"/>
  <c r="V45" i="13" s="1"/>
  <c r="U33" i="13"/>
  <c r="Y33" i="13" s="1"/>
  <c r="R33" i="13"/>
  <c r="V33" i="13" s="1"/>
  <c r="S44" i="13"/>
  <c r="W44" i="13" s="1"/>
  <c r="U48" i="13"/>
  <c r="Y48" i="13" s="1"/>
  <c r="T48" i="13"/>
  <c r="X48" i="13" s="1"/>
  <c r="AB48" i="13" s="1"/>
  <c r="S6" i="13"/>
  <c r="W6" i="13" s="1"/>
  <c r="T36" i="13"/>
  <c r="X36" i="13" s="1"/>
  <c r="AB36" i="13" s="1"/>
  <c r="T34" i="13"/>
  <c r="X34" i="13" s="1"/>
  <c r="AB34" i="13" s="1"/>
  <c r="T44" i="13"/>
  <c r="X44" i="13" s="1"/>
  <c r="AB44" i="13" s="1"/>
  <c r="U43" i="13"/>
  <c r="Y43" i="13" s="1"/>
  <c r="T10" i="13"/>
  <c r="X10" i="13" s="1"/>
  <c r="R24" i="13"/>
  <c r="V24" i="13" s="1"/>
  <c r="R47" i="13"/>
  <c r="V47" i="13" s="1"/>
  <c r="T12" i="13"/>
  <c r="X12" i="13" s="1"/>
  <c r="S49" i="13"/>
  <c r="W49" i="13" s="1"/>
  <c r="T42" i="13"/>
  <c r="X42" i="13" s="1"/>
  <c r="AB42" i="13" s="1"/>
  <c r="U30" i="13"/>
  <c r="Y30" i="13" s="1"/>
  <c r="T16" i="13"/>
  <c r="X16" i="13" s="1"/>
  <c r="AB16" i="13" s="1"/>
  <c r="U8" i="13"/>
  <c r="Y8" i="13" s="1"/>
  <c r="S34" i="13"/>
  <c r="W34" i="13" s="1"/>
  <c r="S11" i="13"/>
  <c r="W11" i="13" s="1"/>
  <c r="U52" i="13"/>
  <c r="Y52" i="13" s="1"/>
  <c r="U40" i="13"/>
  <c r="Y40" i="13" s="1"/>
  <c r="U38" i="13"/>
  <c r="Y38" i="13" s="1"/>
  <c r="T6" i="13"/>
  <c r="X6" i="13" s="1"/>
  <c r="U53" i="13"/>
  <c r="Y53" i="13" s="1"/>
  <c r="S13" i="13"/>
  <c r="W13" i="13" s="1"/>
  <c r="U6" i="13"/>
  <c r="Y6" i="13" s="1"/>
  <c r="R13" i="13"/>
  <c r="V13" i="13" s="1"/>
  <c r="T40" i="13"/>
  <c r="X40" i="13" s="1"/>
  <c r="AB40" i="13" s="1"/>
  <c r="U35" i="13"/>
  <c r="Y35" i="13" s="1"/>
  <c r="U2" i="13"/>
  <c r="Y2" i="13" s="1"/>
  <c r="T18" i="13"/>
  <c r="X18" i="13" s="1"/>
  <c r="AB18" i="13" s="1"/>
  <c r="T32" i="13"/>
  <c r="X32" i="13" s="1"/>
  <c r="AB32" i="13" s="1"/>
  <c r="R46" i="13"/>
  <c r="V46" i="13" s="1"/>
  <c r="R36" i="13"/>
  <c r="V36" i="13" s="1"/>
  <c r="R48" i="13"/>
  <c r="V48" i="13" s="1"/>
  <c r="R26" i="13"/>
  <c r="V26" i="13" s="1"/>
  <c r="R28" i="13"/>
  <c r="V28" i="13" s="1"/>
  <c r="T28" i="13"/>
  <c r="X28" i="13" s="1"/>
  <c r="AB28" i="13" s="1"/>
  <c r="T22" i="13"/>
  <c r="X22" i="13" s="1"/>
  <c r="AB22" i="13" s="1"/>
  <c r="T14" i="13"/>
  <c r="X14" i="13" s="1"/>
  <c r="AB14" i="13" s="1"/>
  <c r="R14" i="13"/>
  <c r="V14" i="13" s="1"/>
  <c r="T51" i="13"/>
  <c r="X51" i="13" s="1"/>
  <c r="AB51" i="13" s="1"/>
  <c r="R51" i="13"/>
  <c r="V51" i="13" s="1"/>
  <c r="S51" i="13"/>
  <c r="W51" i="13" s="1"/>
  <c r="S17" i="13"/>
  <c r="W17" i="13" s="1"/>
  <c r="R17" i="13"/>
  <c r="V17" i="13" s="1"/>
  <c r="T8" i="13"/>
  <c r="X8" i="13" s="1"/>
  <c r="T20" i="13"/>
  <c r="X20" i="13" s="1"/>
  <c r="AB20" i="13" s="1"/>
  <c r="R20" i="13"/>
  <c r="V20" i="13" s="1"/>
  <c r="X2" i="13"/>
  <c r="R12" i="13"/>
  <c r="V12" i="13" s="1"/>
  <c r="R2" i="13"/>
  <c r="V2" i="13" s="1"/>
  <c r="S19" i="13"/>
  <c r="W19" i="13" s="1"/>
  <c r="R19" i="13"/>
  <c r="V19" i="13" s="1"/>
  <c r="S15" i="13"/>
  <c r="W15" i="13" s="1"/>
  <c r="R15" i="13"/>
  <c r="V15" i="13" s="1"/>
  <c r="R16" i="13"/>
  <c r="V16" i="13" s="1"/>
  <c r="U4" i="13"/>
  <c r="Y4" i="13" s="1"/>
  <c r="R4" i="13"/>
  <c r="V4" i="13" s="1"/>
  <c r="R8" i="13"/>
  <c r="V8" i="13" s="1"/>
  <c r="T46" i="13"/>
  <c r="X46" i="13" s="1"/>
  <c r="AB46" i="13" s="1"/>
  <c r="S5" i="13"/>
  <c r="W5" i="13" s="1"/>
  <c r="R5" i="13"/>
  <c r="V5" i="13" s="1"/>
  <c r="U54" i="13"/>
  <c r="Y54" i="13" s="1"/>
  <c r="U49" i="13"/>
  <c r="Y49" i="13" s="1"/>
  <c r="U18" i="13"/>
  <c r="Y18" i="13" s="1"/>
  <c r="U7" i="13"/>
  <c r="Y7" i="13" s="1"/>
  <c r="S54" i="13"/>
  <c r="W54" i="13" s="1"/>
  <c r="T50" i="13"/>
  <c r="X50" i="13" s="1"/>
  <c r="AB50" i="13" s="1"/>
  <c r="U24" i="13"/>
  <c r="Y24" i="13" s="1"/>
  <c r="U19" i="13"/>
  <c r="Y19" i="13" s="1"/>
  <c r="S18" i="13"/>
  <c r="W18" i="13" s="1"/>
  <c r="U51" i="13"/>
  <c r="Y51" i="13" s="1"/>
  <c r="U25" i="13"/>
  <c r="Y25" i="13" s="1"/>
  <c r="S24" i="13"/>
  <c r="W24" i="13" s="1"/>
  <c r="U20" i="13"/>
  <c r="Y20" i="13" s="1"/>
  <c r="U14" i="13"/>
  <c r="Y14" i="13" s="1"/>
  <c r="T9" i="13"/>
  <c r="X9" i="13" s="1"/>
  <c r="S8" i="13"/>
  <c r="W8" i="13" s="1"/>
  <c r="T3" i="13"/>
  <c r="X3" i="13" s="1"/>
  <c r="S2" i="13"/>
  <c r="W2" i="13" s="1"/>
  <c r="U46" i="13"/>
  <c r="Y46" i="13" s="1"/>
  <c r="U41" i="13"/>
  <c r="Y41" i="13" s="1"/>
  <c r="S40" i="13"/>
  <c r="W40" i="13" s="1"/>
  <c r="U31" i="13"/>
  <c r="Y31" i="13" s="1"/>
  <c r="S30" i="13"/>
  <c r="W30" i="13" s="1"/>
  <c r="U15" i="13"/>
  <c r="Y15" i="13" s="1"/>
  <c r="R11" i="13"/>
  <c r="V11" i="13" s="1"/>
  <c r="S53" i="13"/>
  <c r="W53" i="13" s="1"/>
  <c r="T38" i="13"/>
  <c r="X38" i="13" s="1"/>
  <c r="AB38" i="13" s="1"/>
  <c r="U36" i="13"/>
  <c r="Y36" i="13" s="1"/>
  <c r="R30" i="13"/>
  <c r="V30" i="13" s="1"/>
  <c r="U26" i="13"/>
  <c r="Y26" i="13" s="1"/>
  <c r="U21" i="13"/>
  <c r="Y21" i="13" s="1"/>
  <c r="S20" i="13"/>
  <c r="W20" i="13" s="1"/>
  <c r="S14" i="13"/>
  <c r="W14" i="13" s="1"/>
  <c r="R9" i="13"/>
  <c r="V9" i="13" s="1"/>
  <c r="R3" i="13"/>
  <c r="V3" i="13" s="1"/>
  <c r="R10" i="13"/>
  <c r="V10" i="13" s="1"/>
  <c r="R34" i="13"/>
  <c r="V34" i="13" s="1"/>
  <c r="R22" i="13"/>
  <c r="V22" i="13" s="1"/>
  <c r="U47" i="13"/>
  <c r="Y47" i="13" s="1"/>
  <c r="U5" i="13"/>
  <c r="Y5" i="13" s="1"/>
  <c r="S4" i="13"/>
  <c r="W4" i="13" s="1"/>
  <c r="U37" i="13"/>
  <c r="Y37" i="13" s="1"/>
  <c r="U32" i="13"/>
  <c r="Y32" i="13" s="1"/>
  <c r="U27" i="13"/>
  <c r="Y27" i="13" s="1"/>
  <c r="U11" i="13"/>
  <c r="Y11" i="13" s="1"/>
  <c r="T5" i="13"/>
  <c r="X5" i="13" s="1"/>
  <c r="R32" i="13"/>
  <c r="V32" i="13" s="1"/>
  <c r="S46" i="13"/>
  <c r="W46" i="13" s="1"/>
  <c r="U42" i="13"/>
  <c r="Y42" i="13" s="1"/>
  <c r="S36" i="13"/>
  <c r="W36" i="13" s="1"/>
  <c r="S26" i="13"/>
  <c r="W26" i="13" s="1"/>
  <c r="U16" i="13"/>
  <c r="Y16" i="13" s="1"/>
  <c r="S10" i="13"/>
  <c r="W10" i="13" s="1"/>
  <c r="R44" i="13"/>
  <c r="V44" i="13" s="1"/>
  <c r="U22" i="13"/>
  <c r="Y22" i="13" s="1"/>
  <c r="U17" i="13"/>
  <c r="Y17" i="13" s="1"/>
  <c r="T11" i="13"/>
  <c r="X11" i="13" s="1"/>
  <c r="S42" i="13"/>
  <c r="W42" i="13" s="1"/>
  <c r="S32" i="13"/>
  <c r="W32" i="13" s="1"/>
  <c r="S16" i="13"/>
  <c r="W16" i="13" s="1"/>
  <c r="R54" i="13"/>
  <c r="V54" i="13" s="1"/>
  <c r="R42" i="13"/>
  <c r="V42" i="13" s="1"/>
  <c r="R18" i="13"/>
  <c r="V18" i="13" s="1"/>
  <c r="R6" i="13"/>
  <c r="V6" i="13" s="1"/>
  <c r="U28" i="13"/>
  <c r="Y28" i="13" s="1"/>
  <c r="U23" i="13"/>
  <c r="Y23" i="13" s="1"/>
  <c r="S22" i="13"/>
  <c r="W22" i="13" s="1"/>
  <c r="U12" i="13"/>
  <c r="Y12" i="13" s="1"/>
  <c r="R53" i="13"/>
  <c r="V53" i="13" s="1"/>
  <c r="S48" i="13"/>
  <c r="W48" i="13" s="1"/>
  <c r="S38" i="13"/>
  <c r="W38" i="13" s="1"/>
  <c r="T54" i="13"/>
  <c r="X54" i="13" s="1"/>
  <c r="AB54" i="13" s="1"/>
  <c r="U50" i="13"/>
  <c r="Y50" i="13" s="1"/>
  <c r="U44" i="13"/>
  <c r="Y44" i="13" s="1"/>
  <c r="U34" i="13"/>
  <c r="Y34" i="13" s="1"/>
  <c r="U29" i="13"/>
  <c r="Y29" i="13" s="1"/>
  <c r="S28" i="13"/>
  <c r="W28" i="13" s="1"/>
  <c r="U13" i="13"/>
  <c r="Y13" i="13" s="1"/>
  <c r="S12" i="13"/>
  <c r="W12" i="13" s="1"/>
  <c r="T7" i="13"/>
  <c r="X7" i="13" s="1"/>
  <c r="R35" i="13"/>
  <c r="V35" i="13" s="1"/>
  <c r="R27" i="13"/>
  <c r="V27" i="13" s="1"/>
  <c r="R29" i="13"/>
  <c r="V29" i="13" s="1"/>
  <c r="R23" i="13"/>
  <c r="V23" i="13" s="1"/>
  <c r="R41" i="13"/>
  <c r="V41" i="13" s="1"/>
  <c r="R43" i="13"/>
  <c r="V43" i="13" s="1"/>
  <c r="R31" i="13"/>
  <c r="V31" i="13" s="1"/>
  <c r="R49" i="13"/>
  <c r="V49" i="13" s="1"/>
  <c r="R37" i="13"/>
  <c r="V37" i="13" s="1"/>
  <c r="R25" i="13"/>
  <c r="V25" i="13" s="1"/>
  <c r="T55" i="13"/>
  <c r="X55" i="13" s="1"/>
  <c r="AB55" i="13" s="1"/>
  <c r="S55" i="13"/>
  <c r="W55" i="13" s="1"/>
  <c r="R55" i="13"/>
  <c r="V55" i="13" s="1"/>
  <c r="R56" i="13"/>
  <c r="V56" i="13" s="1"/>
  <c r="R52" i="13"/>
  <c r="V52" i="13" s="1"/>
  <c r="T49" i="13"/>
  <c r="X49" i="13" s="1"/>
  <c r="AB49" i="13" s="1"/>
  <c r="T47" i="13"/>
  <c r="X47" i="13" s="1"/>
  <c r="AB47" i="13" s="1"/>
  <c r="T45" i="13"/>
  <c r="X45" i="13" s="1"/>
  <c r="AB45" i="13" s="1"/>
  <c r="T43" i="13"/>
  <c r="X43" i="13" s="1"/>
  <c r="AB43" i="13" s="1"/>
  <c r="T41" i="13"/>
  <c r="X41" i="13" s="1"/>
  <c r="AB41" i="13" s="1"/>
  <c r="T39" i="13"/>
  <c r="X39" i="13" s="1"/>
  <c r="AB39" i="13" s="1"/>
  <c r="T37" i="13"/>
  <c r="X37" i="13" s="1"/>
  <c r="AB37" i="13" s="1"/>
  <c r="T35" i="13"/>
  <c r="X35" i="13" s="1"/>
  <c r="AB35" i="13" s="1"/>
  <c r="T33" i="13"/>
  <c r="X33" i="13" s="1"/>
  <c r="AB33" i="13" s="1"/>
  <c r="T31" i="13"/>
  <c r="X31" i="13" s="1"/>
  <c r="AB31" i="13" s="1"/>
  <c r="T29" i="13"/>
  <c r="X29" i="13" s="1"/>
  <c r="AB29" i="13" s="1"/>
  <c r="T27" i="13"/>
  <c r="X27" i="13" s="1"/>
  <c r="AB27" i="13" s="1"/>
  <c r="T25" i="13"/>
  <c r="X25" i="13" s="1"/>
  <c r="AB25" i="13" s="1"/>
  <c r="T23" i="13"/>
  <c r="X23" i="13" s="1"/>
  <c r="AB23" i="13" s="1"/>
  <c r="T21" i="13"/>
  <c r="X21" i="13" s="1"/>
  <c r="AB21" i="13" s="1"/>
  <c r="T19" i="13"/>
  <c r="X19" i="13" s="1"/>
  <c r="AB19" i="13" s="1"/>
  <c r="T17" i="13"/>
  <c r="X17" i="13" s="1"/>
  <c r="AB17" i="13" s="1"/>
  <c r="T15" i="13"/>
  <c r="X15" i="13" s="1"/>
  <c r="AB15" i="13" s="1"/>
  <c r="T13" i="13"/>
  <c r="X13" i="13" s="1"/>
  <c r="S47" i="13"/>
  <c r="W47" i="13" s="1"/>
  <c r="S45" i="13"/>
  <c r="W45" i="13" s="1"/>
  <c r="S43" i="13"/>
  <c r="W43" i="13" s="1"/>
  <c r="S41" i="13"/>
  <c r="W41" i="13" s="1"/>
  <c r="S37" i="13"/>
  <c r="W37" i="13" s="1"/>
  <c r="S35" i="13"/>
  <c r="W35" i="13" s="1"/>
  <c r="S33" i="13"/>
  <c r="W33" i="13" s="1"/>
  <c r="S31" i="13"/>
  <c r="W31" i="13" s="1"/>
  <c r="S29" i="13"/>
  <c r="W29" i="13" s="1"/>
  <c r="S27" i="13"/>
  <c r="W27" i="13" s="1"/>
  <c r="S25" i="13"/>
  <c r="W25" i="13" s="1"/>
  <c r="S23" i="13"/>
  <c r="W23" i="13" s="1"/>
  <c r="S21" i="13"/>
  <c r="W21" i="13" s="1"/>
  <c r="S7" i="13"/>
  <c r="W7" i="13" s="1"/>
  <c r="E2" i="10"/>
  <c r="F2" i="10"/>
  <c r="E3" i="10"/>
  <c r="F3" i="10"/>
  <c r="E4" i="10"/>
  <c r="F4" i="10"/>
  <c r="E5" i="10"/>
  <c r="F5" i="10"/>
  <c r="E6" i="10"/>
  <c r="F6" i="10"/>
  <c r="R39" i="13" l="1"/>
  <c r="V39" i="13" s="1"/>
  <c r="U39" i="13"/>
  <c r="Y39" i="13" s="1"/>
  <c r="C2" i="7"/>
  <c r="B3" i="7"/>
  <c r="C3" i="7"/>
  <c r="D3" i="7"/>
  <c r="B4" i="7"/>
  <c r="C4" i="7"/>
  <c r="D4" i="7" s="1"/>
  <c r="B5" i="7"/>
  <c r="C5" i="7"/>
  <c r="D5" i="7" s="1"/>
  <c r="B6" i="7"/>
  <c r="C6" i="7" s="1"/>
  <c r="D6" i="7" s="1"/>
  <c r="D7" i="7" s="1"/>
  <c r="B7" i="7"/>
  <c r="C7" i="7"/>
  <c r="B8" i="7"/>
  <c r="C8" i="7"/>
  <c r="B9" i="7"/>
  <c r="C9" i="7"/>
  <c r="B10" i="7"/>
  <c r="C10" i="7" s="1"/>
  <c r="B11" i="7"/>
  <c r="C11" i="7"/>
  <c r="C12" i="7"/>
  <c r="B13" i="7"/>
  <c r="C13" i="7"/>
  <c r="B14" i="7"/>
  <c r="C14" i="7"/>
  <c r="B15" i="7"/>
  <c r="C15" i="7"/>
  <c r="B16" i="7"/>
  <c r="C16" i="7" s="1"/>
  <c r="B17" i="7"/>
  <c r="C17" i="7"/>
  <c r="B18" i="7"/>
  <c r="C18" i="7"/>
  <c r="B19" i="7"/>
  <c r="C19" i="7"/>
  <c r="C20" i="7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/>
  <c r="B27" i="7"/>
  <c r="C27" i="7"/>
  <c r="B28" i="7"/>
  <c r="C28" i="7" s="1"/>
  <c r="B29" i="7"/>
  <c r="C29" i="7" s="1"/>
  <c r="B30" i="7"/>
  <c r="C30" i="7" s="1"/>
  <c r="B31" i="7"/>
  <c r="C31" i="7" s="1"/>
  <c r="B32" i="7"/>
  <c r="C32" i="7"/>
  <c r="B33" i="7"/>
  <c r="C33" i="7"/>
  <c r="B34" i="7"/>
  <c r="C34" i="7" s="1"/>
  <c r="B35" i="7"/>
  <c r="C35" i="7"/>
  <c r="B36" i="7"/>
  <c r="C36" i="7" s="1"/>
  <c r="B37" i="7"/>
  <c r="C37" i="7" s="1"/>
  <c r="B38" i="7"/>
  <c r="C38" i="7"/>
  <c r="B39" i="7"/>
  <c r="C39" i="7"/>
  <c r="B40" i="7"/>
  <c r="C40" i="7" s="1"/>
  <c r="B41" i="7"/>
  <c r="C41" i="7"/>
  <c r="B42" i="7"/>
  <c r="C42" i="7" s="1"/>
  <c r="B43" i="7"/>
  <c r="C43" i="7" s="1"/>
  <c r="B44" i="7"/>
  <c r="C44" i="7"/>
  <c r="B45" i="7"/>
  <c r="C45" i="7"/>
  <c r="B46" i="7"/>
  <c r="C46" i="7" s="1"/>
  <c r="B47" i="7"/>
  <c r="C47" i="7"/>
  <c r="B48" i="7"/>
  <c r="C48" i="7" s="1"/>
  <c r="B49" i="7"/>
  <c r="C49" i="7" s="1"/>
  <c r="B50" i="7"/>
  <c r="C50" i="7"/>
  <c r="B51" i="7"/>
  <c r="C51" i="7"/>
  <c r="B52" i="7"/>
  <c r="C52" i="7" s="1"/>
  <c r="B53" i="7"/>
  <c r="C53" i="7"/>
  <c r="B54" i="7"/>
  <c r="C54" i="7" s="1"/>
  <c r="B55" i="7"/>
  <c r="C55" i="7" s="1"/>
  <c r="D2" i="6"/>
  <c r="B3" i="6"/>
  <c r="C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B4" i="6"/>
  <c r="C4" i="6"/>
  <c r="B5" i="6"/>
  <c r="C5" i="6"/>
  <c r="B6" i="6"/>
  <c r="C6" i="6" s="1"/>
  <c r="B7" i="6"/>
  <c r="C7" i="6"/>
  <c r="B8" i="6"/>
  <c r="C8" i="6"/>
  <c r="B9" i="6"/>
  <c r="C9" i="6"/>
  <c r="B10" i="6"/>
  <c r="C10" i="6" s="1"/>
  <c r="AF10" i="6"/>
  <c r="B11" i="6"/>
  <c r="C11" i="6"/>
  <c r="C12" i="6"/>
  <c r="B13" i="6"/>
  <c r="C13" i="6"/>
  <c r="B14" i="6"/>
  <c r="C14" i="6" s="1"/>
  <c r="B15" i="6"/>
  <c r="C15" i="6"/>
  <c r="B16" i="6"/>
  <c r="C16" i="6"/>
  <c r="B17" i="6"/>
  <c r="C17" i="6"/>
  <c r="B18" i="6"/>
  <c r="C18" i="6" s="1"/>
  <c r="B19" i="6"/>
  <c r="C19" i="6" s="1"/>
  <c r="B20" i="6"/>
  <c r="C20" i="6"/>
  <c r="B21" i="6"/>
  <c r="C21" i="6"/>
  <c r="B22" i="6"/>
  <c r="C22" i="6" s="1"/>
  <c r="B23" i="6"/>
  <c r="C23" i="6" s="1"/>
  <c r="B24" i="6"/>
  <c r="C24" i="6" s="1"/>
  <c r="B25" i="6"/>
  <c r="C25" i="6" s="1"/>
  <c r="B26" i="6"/>
  <c r="C26" i="6"/>
  <c r="B27" i="6"/>
  <c r="C27" i="6"/>
  <c r="B28" i="6"/>
  <c r="C28" i="6"/>
  <c r="B29" i="6"/>
  <c r="C29" i="6" s="1"/>
  <c r="B30" i="6"/>
  <c r="C30" i="6" s="1"/>
  <c r="B31" i="6"/>
  <c r="C31" i="6" s="1"/>
  <c r="B32" i="6"/>
  <c r="C32" i="6"/>
  <c r="B33" i="6"/>
  <c r="C33" i="6"/>
  <c r="B34" i="6"/>
  <c r="C34" i="6"/>
  <c r="B35" i="6"/>
  <c r="C35" i="6" s="1"/>
  <c r="B36" i="6"/>
  <c r="C36" i="6" s="1"/>
  <c r="B37" i="6"/>
  <c r="C37" i="6" s="1"/>
  <c r="B38" i="6"/>
  <c r="C38" i="6"/>
  <c r="B39" i="6"/>
  <c r="C39" i="6"/>
  <c r="B40" i="6"/>
  <c r="C40" i="6"/>
  <c r="B41" i="6"/>
  <c r="C41" i="6" s="1"/>
  <c r="B42" i="6"/>
  <c r="C42" i="6" s="1"/>
  <c r="B43" i="6"/>
  <c r="C43" i="6" s="1"/>
  <c r="B44" i="6"/>
  <c r="C44" i="6"/>
  <c r="B45" i="6"/>
  <c r="C45" i="6"/>
  <c r="B46" i="6"/>
  <c r="C46" i="6"/>
  <c r="B47" i="6"/>
  <c r="C47" i="6" s="1"/>
  <c r="B48" i="6"/>
  <c r="C48" i="6" s="1"/>
  <c r="B49" i="6"/>
  <c r="C49" i="6" s="1"/>
  <c r="B50" i="6"/>
  <c r="C50" i="6"/>
  <c r="B51" i="6"/>
  <c r="C51" i="6"/>
  <c r="B52" i="6"/>
  <c r="C52" i="6"/>
  <c r="B53" i="6"/>
  <c r="C53" i="6" s="1"/>
  <c r="B54" i="6"/>
  <c r="C54" i="6" s="1"/>
  <c r="B55" i="6"/>
  <c r="C55" i="6" s="1"/>
  <c r="D8" i="7" l="1"/>
  <c r="D9" i="7" s="1"/>
  <c r="F23" i="7" l="1"/>
  <c r="D10" i="7"/>
  <c r="E23" i="7" l="1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G23" i="7"/>
  <c r="H9" i="5" l="1"/>
  <c r="C9" i="5"/>
  <c r="H8" i="5"/>
  <c r="C8" i="5"/>
  <c r="H7" i="5"/>
  <c r="C7" i="5"/>
  <c r="H6" i="5"/>
  <c r="C6" i="5"/>
  <c r="H5" i="5"/>
  <c r="C5" i="5"/>
  <c r="H4" i="5"/>
  <c r="C4" i="5"/>
  <c r="H3" i="5"/>
  <c r="C3" i="5"/>
  <c r="H2" i="5"/>
  <c r="C2" i="5"/>
  <c r="K2" i="4" l="1"/>
  <c r="L2" i="4" s="1"/>
  <c r="M2" i="4" s="1"/>
  <c r="L49" i="4"/>
  <c r="M49" i="4" s="1"/>
  <c r="K57" i="4"/>
  <c r="L57" i="4" s="1"/>
  <c r="M57" i="4" s="1"/>
  <c r="K56" i="4"/>
  <c r="L56" i="4" s="1"/>
  <c r="M56" i="4" s="1"/>
  <c r="K55" i="4"/>
  <c r="L55" i="4" s="1"/>
  <c r="M55" i="4" s="1"/>
  <c r="K54" i="4"/>
  <c r="L54" i="4" s="1"/>
  <c r="M54" i="4" s="1"/>
  <c r="K53" i="4"/>
  <c r="L53" i="4" s="1"/>
  <c r="M53" i="4" s="1"/>
  <c r="K52" i="4"/>
  <c r="L52" i="4" s="1"/>
  <c r="M52" i="4" s="1"/>
  <c r="K51" i="4"/>
  <c r="L51" i="4" s="1"/>
  <c r="M51" i="4" s="1"/>
  <c r="K50" i="4"/>
  <c r="L50" i="4" s="1"/>
  <c r="M50" i="4" s="1"/>
  <c r="K49" i="4"/>
  <c r="K48" i="4"/>
  <c r="L48" i="4" s="1"/>
  <c r="M48" i="4" s="1"/>
  <c r="K47" i="4"/>
  <c r="L47" i="4" s="1"/>
  <c r="M47" i="4" s="1"/>
  <c r="K46" i="4"/>
  <c r="L46" i="4" s="1"/>
  <c r="M46" i="4" s="1"/>
  <c r="K45" i="4"/>
  <c r="L45" i="4" s="1"/>
  <c r="M45" i="4" s="1"/>
  <c r="K44" i="4"/>
  <c r="L44" i="4" s="1"/>
  <c r="M44" i="4" s="1"/>
  <c r="K43" i="4"/>
  <c r="L43" i="4" s="1"/>
  <c r="M43" i="4" s="1"/>
  <c r="K42" i="4"/>
  <c r="L42" i="4" s="1"/>
  <c r="M42" i="4" s="1"/>
  <c r="K41" i="4"/>
  <c r="L41" i="4" s="1"/>
  <c r="M41" i="4" s="1"/>
  <c r="K40" i="4"/>
  <c r="L40" i="4" s="1"/>
  <c r="M40" i="4" s="1"/>
  <c r="K39" i="4"/>
  <c r="L39" i="4" s="1"/>
  <c r="M39" i="4" s="1"/>
  <c r="K38" i="4"/>
  <c r="L38" i="4" s="1"/>
  <c r="M38" i="4" s="1"/>
  <c r="K37" i="4"/>
  <c r="L37" i="4" s="1"/>
  <c r="M37" i="4" s="1"/>
  <c r="K36" i="4"/>
  <c r="L36" i="4" s="1"/>
  <c r="M36" i="4" s="1"/>
  <c r="K35" i="4"/>
  <c r="L35" i="4" s="1"/>
  <c r="M35" i="4" s="1"/>
  <c r="K34" i="4"/>
  <c r="L34" i="4" s="1"/>
  <c r="M34" i="4" s="1"/>
  <c r="K33" i="4"/>
  <c r="L33" i="4" s="1"/>
  <c r="M33" i="4" s="1"/>
  <c r="K32" i="4"/>
  <c r="L32" i="4" s="1"/>
  <c r="M32" i="4" s="1"/>
  <c r="K31" i="4"/>
  <c r="L31" i="4" s="1"/>
  <c r="M31" i="4" s="1"/>
  <c r="K30" i="4"/>
  <c r="L30" i="4" s="1"/>
  <c r="M30" i="4" s="1"/>
  <c r="K29" i="4"/>
  <c r="L29" i="4" s="1"/>
  <c r="M29" i="4" s="1"/>
  <c r="K28" i="4"/>
  <c r="L28" i="4" s="1"/>
  <c r="M28" i="4" s="1"/>
  <c r="K27" i="4"/>
  <c r="L27" i="4" s="1"/>
  <c r="M27" i="4" s="1"/>
  <c r="K26" i="4"/>
  <c r="L26" i="4" s="1"/>
  <c r="M26" i="4" s="1"/>
  <c r="K25" i="4"/>
  <c r="L25" i="4" s="1"/>
  <c r="M25" i="4" s="1"/>
  <c r="K24" i="4"/>
  <c r="L24" i="4" s="1"/>
  <c r="M24" i="4" s="1"/>
  <c r="K23" i="4"/>
  <c r="L23" i="4" s="1"/>
  <c r="M23" i="4" s="1"/>
  <c r="K22" i="4"/>
  <c r="L22" i="4" s="1"/>
  <c r="M22" i="4" s="1"/>
  <c r="K21" i="4"/>
  <c r="L21" i="4" s="1"/>
  <c r="M21" i="4" s="1"/>
  <c r="K20" i="4"/>
  <c r="L20" i="4" s="1"/>
  <c r="M20" i="4" s="1"/>
  <c r="K19" i="4"/>
  <c r="L19" i="4" s="1"/>
  <c r="M19" i="4" s="1"/>
  <c r="K18" i="4"/>
  <c r="L18" i="4" s="1"/>
  <c r="M18" i="4" s="1"/>
  <c r="K17" i="4"/>
  <c r="L17" i="4" s="1"/>
  <c r="M17" i="4" s="1"/>
  <c r="K16" i="4"/>
  <c r="L16" i="4" s="1"/>
  <c r="M16" i="4" s="1"/>
  <c r="K15" i="4"/>
  <c r="L15" i="4" s="1"/>
  <c r="M15" i="4" s="1"/>
  <c r="K14" i="4"/>
  <c r="L14" i="4" s="1"/>
  <c r="M14" i="4" s="1"/>
  <c r="K13" i="4"/>
  <c r="L13" i="4" s="1"/>
  <c r="M13" i="4" s="1"/>
  <c r="K12" i="4"/>
  <c r="L12" i="4" s="1"/>
  <c r="M12" i="4" s="1"/>
  <c r="K11" i="4"/>
  <c r="L11" i="4" s="1"/>
  <c r="M11" i="4" s="1"/>
  <c r="K10" i="4"/>
  <c r="L10" i="4" s="1"/>
  <c r="M10" i="4" s="1"/>
  <c r="K9" i="4"/>
  <c r="L9" i="4" s="1"/>
  <c r="M9" i="4" s="1"/>
  <c r="K8" i="4"/>
  <c r="L8" i="4" s="1"/>
  <c r="M8" i="4" s="1"/>
  <c r="K7" i="4"/>
  <c r="L7" i="4" s="1"/>
  <c r="M7" i="4" s="1"/>
  <c r="K6" i="4"/>
  <c r="L6" i="4" s="1"/>
  <c r="M6" i="4" s="1"/>
  <c r="K5" i="4"/>
  <c r="L5" i="4" s="1"/>
  <c r="M5" i="4" s="1"/>
  <c r="K4" i="4"/>
  <c r="L4" i="4" s="1"/>
  <c r="M4" i="4" s="1"/>
  <c r="K3" i="4"/>
  <c r="L3" i="4" s="1"/>
  <c r="M3" i="4" s="1"/>
  <c r="I6" i="4" l="1"/>
  <c r="Q6" i="4" s="1"/>
  <c r="X6" i="4" s="1"/>
  <c r="G7" i="4"/>
  <c r="O7" i="4" s="1"/>
  <c r="V7" i="4" s="1"/>
  <c r="I9" i="4"/>
  <c r="Q9" i="4" s="1"/>
  <c r="X9" i="4" s="1"/>
  <c r="I13" i="4"/>
  <c r="Q13" i="4" s="1"/>
  <c r="X13" i="4" s="1"/>
  <c r="J18" i="4"/>
  <c r="R18" i="4" s="1"/>
  <c r="Y18" i="4" s="1"/>
  <c r="I19" i="4"/>
  <c r="Q19" i="4" s="1"/>
  <c r="X19" i="4" s="1"/>
  <c r="G21" i="4"/>
  <c r="O21" i="4" s="1"/>
  <c r="V21" i="4" s="1"/>
  <c r="I29" i="4"/>
  <c r="Q29" i="4" s="1"/>
  <c r="X29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2" i="4"/>
  <c r="L58" i="2"/>
  <c r="P58" i="2" s="1"/>
  <c r="L3" i="2"/>
  <c r="P3" i="2" s="1"/>
  <c r="L59" i="2"/>
  <c r="P59" i="2" s="1"/>
  <c r="H3" i="4" s="1"/>
  <c r="P3" i="4" s="1"/>
  <c r="W3" i="4" s="1"/>
  <c r="L4" i="2"/>
  <c r="P4" i="2" s="1"/>
  <c r="L60" i="2"/>
  <c r="L5" i="2"/>
  <c r="P5" i="2" s="1"/>
  <c r="L61" i="2"/>
  <c r="P61" i="2" s="1"/>
  <c r="H5" i="4" s="1"/>
  <c r="P5" i="4" s="1"/>
  <c r="W5" i="4" s="1"/>
  <c r="L6" i="2"/>
  <c r="P6" i="2" s="1"/>
  <c r="L62" i="2"/>
  <c r="L7" i="2"/>
  <c r="P7" i="2" s="1"/>
  <c r="L63" i="2"/>
  <c r="P63" i="2" s="1"/>
  <c r="H7" i="4" s="1"/>
  <c r="P7" i="4" s="1"/>
  <c r="W7" i="4" s="1"/>
  <c r="L8" i="2"/>
  <c r="P8" i="2" s="1"/>
  <c r="L64" i="2"/>
  <c r="L9" i="2"/>
  <c r="P9" i="2" s="1"/>
  <c r="L65" i="2"/>
  <c r="P65" i="2" s="1"/>
  <c r="H9" i="4" s="1"/>
  <c r="P9" i="4" s="1"/>
  <c r="W9" i="4" s="1"/>
  <c r="L10" i="2"/>
  <c r="P10" i="2" s="1"/>
  <c r="L66" i="2"/>
  <c r="P66" i="2" s="1"/>
  <c r="H10" i="4" s="1"/>
  <c r="P10" i="4" s="1"/>
  <c r="W10" i="4" s="1"/>
  <c r="L11" i="2"/>
  <c r="P11" i="2" s="1"/>
  <c r="L67" i="2"/>
  <c r="P67" i="2" s="1"/>
  <c r="H11" i="4" s="1"/>
  <c r="P11" i="4" s="1"/>
  <c r="W11" i="4" s="1"/>
  <c r="L12" i="2"/>
  <c r="P12" i="2" s="1"/>
  <c r="L68" i="2"/>
  <c r="P68" i="2" s="1"/>
  <c r="H12" i="4" s="1"/>
  <c r="P12" i="4" s="1"/>
  <c r="W12" i="4" s="1"/>
  <c r="L13" i="2"/>
  <c r="P13" i="2" s="1"/>
  <c r="L69" i="2"/>
  <c r="P69" i="2" s="1"/>
  <c r="H13" i="4" s="1"/>
  <c r="P13" i="4" s="1"/>
  <c r="W13" i="4" s="1"/>
  <c r="L14" i="2"/>
  <c r="P14" i="2" s="1"/>
  <c r="L70" i="2"/>
  <c r="P70" i="2" s="1"/>
  <c r="H14" i="4" s="1"/>
  <c r="P14" i="4" s="1"/>
  <c r="W14" i="4" s="1"/>
  <c r="L15" i="2"/>
  <c r="L71" i="2"/>
  <c r="P71" i="2" s="1"/>
  <c r="L16" i="2"/>
  <c r="P16" i="2" s="1"/>
  <c r="L72" i="2"/>
  <c r="P72" i="2" s="1"/>
  <c r="L17" i="2"/>
  <c r="P17" i="2" s="1"/>
  <c r="L73" i="2"/>
  <c r="P73" i="2" s="1"/>
  <c r="L18" i="2"/>
  <c r="P18" i="2" s="1"/>
  <c r="L74" i="2"/>
  <c r="P74" i="2" s="1"/>
  <c r="H18" i="4" s="1"/>
  <c r="P18" i="4" s="1"/>
  <c r="W18" i="4" s="1"/>
  <c r="L19" i="2"/>
  <c r="P19" i="2" s="1"/>
  <c r="L75" i="2"/>
  <c r="P75" i="2" s="1"/>
  <c r="H19" i="4" s="1"/>
  <c r="P19" i="4" s="1"/>
  <c r="W19" i="4" s="1"/>
  <c r="L20" i="2"/>
  <c r="L76" i="2"/>
  <c r="L21" i="2"/>
  <c r="P21" i="2" s="1"/>
  <c r="L77" i="2"/>
  <c r="P77" i="2" s="1"/>
  <c r="H21" i="4" s="1"/>
  <c r="P21" i="4" s="1"/>
  <c r="W21" i="4" s="1"/>
  <c r="L22" i="2"/>
  <c r="P22" i="2" s="1"/>
  <c r="L78" i="2"/>
  <c r="P78" i="2" s="1"/>
  <c r="L23" i="2"/>
  <c r="P23" i="2" s="1"/>
  <c r="L79" i="2"/>
  <c r="P79" i="2" s="1"/>
  <c r="L24" i="2"/>
  <c r="L80" i="2"/>
  <c r="P80" i="2" s="1"/>
  <c r="L25" i="2"/>
  <c r="P25" i="2" s="1"/>
  <c r="L81" i="2"/>
  <c r="L26" i="2"/>
  <c r="P26" i="2" s="1"/>
  <c r="L82" i="2"/>
  <c r="P82" i="2" s="1"/>
  <c r="H26" i="4" s="1"/>
  <c r="P26" i="4" s="1"/>
  <c r="W26" i="4" s="1"/>
  <c r="L27" i="2"/>
  <c r="P27" i="2" s="1"/>
  <c r="L83" i="2"/>
  <c r="P83" i="2" s="1"/>
  <c r="H27" i="4" s="1"/>
  <c r="P27" i="4" s="1"/>
  <c r="W27" i="4" s="1"/>
  <c r="L28" i="2"/>
  <c r="L84" i="2"/>
  <c r="L29" i="2"/>
  <c r="P29" i="2" s="1"/>
  <c r="L85" i="2"/>
  <c r="P85" i="2" s="1"/>
  <c r="H29" i="4" s="1"/>
  <c r="P29" i="4" s="1"/>
  <c r="W29" i="4" s="1"/>
  <c r="L30" i="2"/>
  <c r="P30" i="2" s="1"/>
  <c r="L86" i="2"/>
  <c r="P86" i="2" s="1"/>
  <c r="L31" i="2"/>
  <c r="P31" i="2" s="1"/>
  <c r="L87" i="2"/>
  <c r="P87" i="2" s="1"/>
  <c r="L32" i="2"/>
  <c r="P32" i="2" s="1"/>
  <c r="L88" i="2"/>
  <c r="P88" i="2" s="1"/>
  <c r="L33" i="2"/>
  <c r="L89" i="2"/>
  <c r="L34" i="2"/>
  <c r="P34" i="2" s="1"/>
  <c r="L90" i="2"/>
  <c r="P90" i="2" s="1"/>
  <c r="L35" i="2"/>
  <c r="P35" i="2" s="1"/>
  <c r="L91" i="2"/>
  <c r="P91" i="2" s="1"/>
  <c r="L36" i="2"/>
  <c r="P36" i="2" s="1"/>
  <c r="L92" i="2"/>
  <c r="L37" i="2"/>
  <c r="P37" i="2" s="1"/>
  <c r="L93" i="2"/>
  <c r="P93" i="2" s="1"/>
  <c r="L38" i="2"/>
  <c r="P38" i="2" s="1"/>
  <c r="L94" i="2"/>
  <c r="P94" i="2" s="1"/>
  <c r="L39" i="2"/>
  <c r="P39" i="2" s="1"/>
  <c r="L95" i="2"/>
  <c r="P95" i="2" s="1"/>
  <c r="L40" i="2"/>
  <c r="L96" i="2"/>
  <c r="P96" i="2" s="1"/>
  <c r="L41" i="2"/>
  <c r="L97" i="2"/>
  <c r="P97" i="2" s="1"/>
  <c r="L42" i="2"/>
  <c r="P42" i="2" s="1"/>
  <c r="L98" i="2"/>
  <c r="P98" i="2" s="1"/>
  <c r="L43" i="2"/>
  <c r="P43" i="2" s="1"/>
  <c r="L99" i="2"/>
  <c r="P99" i="2" s="1"/>
  <c r="L44" i="2"/>
  <c r="L100" i="2"/>
  <c r="P100" i="2" s="1"/>
  <c r="L45" i="2"/>
  <c r="P45" i="2" s="1"/>
  <c r="L101" i="2"/>
  <c r="L46" i="2"/>
  <c r="P46" i="2" s="1"/>
  <c r="L102" i="2"/>
  <c r="P102" i="2" s="1"/>
  <c r="H46" i="4" s="1"/>
  <c r="P46" i="4" s="1"/>
  <c r="W46" i="4" s="1"/>
  <c r="L47" i="2"/>
  <c r="P47" i="2" s="1"/>
  <c r="L103" i="2"/>
  <c r="P103" i="2" s="1"/>
  <c r="L48" i="2"/>
  <c r="L104" i="2"/>
  <c r="P104" i="2" s="1"/>
  <c r="L49" i="2"/>
  <c r="P49" i="2" s="1"/>
  <c r="L105" i="2"/>
  <c r="P105" i="2" s="1"/>
  <c r="L50" i="2"/>
  <c r="P50" i="2" s="1"/>
  <c r="L106" i="2"/>
  <c r="P106" i="2" s="1"/>
  <c r="H50" i="4" s="1"/>
  <c r="P50" i="4" s="1"/>
  <c r="W50" i="4" s="1"/>
  <c r="L51" i="2"/>
  <c r="P51" i="2" s="1"/>
  <c r="L107" i="2"/>
  <c r="P107" i="2" s="1"/>
  <c r="L52" i="2"/>
  <c r="L108" i="2"/>
  <c r="L53" i="2"/>
  <c r="P53" i="2" s="1"/>
  <c r="L109" i="2"/>
  <c r="L54" i="2"/>
  <c r="P54" i="2" s="1"/>
  <c r="L110" i="2"/>
  <c r="P110" i="2" s="1"/>
  <c r="L55" i="2"/>
  <c r="P55" i="2" s="1"/>
  <c r="L111" i="2"/>
  <c r="P111" i="2" s="1"/>
  <c r="L56" i="2"/>
  <c r="L112" i="2"/>
  <c r="P112" i="2" s="1"/>
  <c r="L57" i="2"/>
  <c r="P57" i="2" s="1"/>
  <c r="L113" i="2"/>
  <c r="L2" i="2"/>
  <c r="D3" i="3"/>
  <c r="C3" i="3"/>
  <c r="M6" i="2" s="1"/>
  <c r="Q6" i="2" s="1"/>
  <c r="D2" i="3"/>
  <c r="N59" i="2" s="1"/>
  <c r="R59" i="2" s="1"/>
  <c r="C2" i="3"/>
  <c r="K58" i="2"/>
  <c r="O58" i="2" s="1"/>
  <c r="N58" i="2"/>
  <c r="R58" i="2" s="1"/>
  <c r="K3" i="2"/>
  <c r="O3" i="2" s="1"/>
  <c r="M3" i="2"/>
  <c r="Q3" i="2" s="1"/>
  <c r="I3" i="4" s="1"/>
  <c r="Q3" i="4" s="1"/>
  <c r="X3" i="4" s="1"/>
  <c r="K59" i="2"/>
  <c r="O59" i="2" s="1"/>
  <c r="G3" i="4" s="1"/>
  <c r="O3" i="4" s="1"/>
  <c r="V3" i="4" s="1"/>
  <c r="M59" i="2"/>
  <c r="Q59" i="2" s="1"/>
  <c r="K4" i="2"/>
  <c r="O4" i="2" s="1"/>
  <c r="K60" i="2"/>
  <c r="O60" i="2" s="1"/>
  <c r="G4" i="4" s="1"/>
  <c r="O4" i="4" s="1"/>
  <c r="V4" i="4" s="1"/>
  <c r="P60" i="2"/>
  <c r="H4" i="4" s="1"/>
  <c r="P4" i="4" s="1"/>
  <c r="W4" i="4" s="1"/>
  <c r="M60" i="2"/>
  <c r="Q60" i="2" s="1"/>
  <c r="N60" i="2"/>
  <c r="R60" i="2" s="1"/>
  <c r="K5" i="2"/>
  <c r="O5" i="2" s="1"/>
  <c r="M5" i="2"/>
  <c r="Q5" i="2" s="1"/>
  <c r="I5" i="4" s="1"/>
  <c r="Q5" i="4" s="1"/>
  <c r="X5" i="4" s="1"/>
  <c r="N5" i="2"/>
  <c r="R5" i="2" s="1"/>
  <c r="K61" i="2"/>
  <c r="O61" i="2" s="1"/>
  <c r="G5" i="4" s="1"/>
  <c r="O5" i="4" s="1"/>
  <c r="V5" i="4" s="1"/>
  <c r="M61" i="2"/>
  <c r="Q61" i="2" s="1"/>
  <c r="N61" i="2"/>
  <c r="R61" i="2" s="1"/>
  <c r="J5" i="4" s="1"/>
  <c r="R5" i="4" s="1"/>
  <c r="Y5" i="4" s="1"/>
  <c r="K6" i="2"/>
  <c r="O6" i="2" s="1"/>
  <c r="N6" i="2"/>
  <c r="R6" i="2" s="1"/>
  <c r="K62" i="2"/>
  <c r="O62" i="2" s="1"/>
  <c r="G6" i="4" s="1"/>
  <c r="O6" i="4" s="1"/>
  <c r="V6" i="4" s="1"/>
  <c r="P62" i="2"/>
  <c r="H6" i="4" s="1"/>
  <c r="P6" i="4" s="1"/>
  <c r="W6" i="4" s="1"/>
  <c r="M62" i="2"/>
  <c r="Q62" i="2" s="1"/>
  <c r="N62" i="2"/>
  <c r="R62" i="2" s="1"/>
  <c r="J6" i="4" s="1"/>
  <c r="R6" i="4" s="1"/>
  <c r="Y6" i="4" s="1"/>
  <c r="K7" i="2"/>
  <c r="O7" i="2" s="1"/>
  <c r="M7" i="2"/>
  <c r="Q7" i="2" s="1"/>
  <c r="N7" i="2"/>
  <c r="R7" i="2" s="1"/>
  <c r="K63" i="2"/>
  <c r="O63" i="2" s="1"/>
  <c r="M63" i="2"/>
  <c r="Q63" i="2" s="1"/>
  <c r="I7" i="4" s="1"/>
  <c r="Q7" i="4" s="1"/>
  <c r="X7" i="4" s="1"/>
  <c r="N63" i="2"/>
  <c r="R63" i="2" s="1"/>
  <c r="J7" i="4" s="1"/>
  <c r="R7" i="4" s="1"/>
  <c r="Y7" i="4" s="1"/>
  <c r="K8" i="2"/>
  <c r="O8" i="2" s="1"/>
  <c r="M8" i="2"/>
  <c r="Q8" i="2" s="1"/>
  <c r="N8" i="2"/>
  <c r="R8" i="2" s="1"/>
  <c r="K64" i="2"/>
  <c r="O64" i="2" s="1"/>
  <c r="G8" i="4" s="1"/>
  <c r="O8" i="4" s="1"/>
  <c r="V8" i="4" s="1"/>
  <c r="P64" i="2"/>
  <c r="H8" i="4" s="1"/>
  <c r="P8" i="4" s="1"/>
  <c r="W8" i="4" s="1"/>
  <c r="M64" i="2"/>
  <c r="Q64" i="2" s="1"/>
  <c r="I8" i="4" s="1"/>
  <c r="Q8" i="4" s="1"/>
  <c r="X8" i="4" s="1"/>
  <c r="N64" i="2"/>
  <c r="R64" i="2" s="1"/>
  <c r="J8" i="4" s="1"/>
  <c r="R8" i="4" s="1"/>
  <c r="Y8" i="4" s="1"/>
  <c r="K9" i="2"/>
  <c r="O9" i="2" s="1"/>
  <c r="G9" i="4" s="1"/>
  <c r="O9" i="4" s="1"/>
  <c r="V9" i="4" s="1"/>
  <c r="M9" i="2"/>
  <c r="Q9" i="2" s="1"/>
  <c r="N9" i="2"/>
  <c r="R9" i="2" s="1"/>
  <c r="K65" i="2"/>
  <c r="O65" i="2" s="1"/>
  <c r="M65" i="2"/>
  <c r="Q65" i="2" s="1"/>
  <c r="N65" i="2"/>
  <c r="R65" i="2" s="1"/>
  <c r="J9" i="4" s="1"/>
  <c r="R9" i="4" s="1"/>
  <c r="Y9" i="4" s="1"/>
  <c r="K10" i="2"/>
  <c r="O10" i="2" s="1"/>
  <c r="M10" i="2"/>
  <c r="Q10" i="2" s="1"/>
  <c r="N10" i="2"/>
  <c r="R10" i="2" s="1"/>
  <c r="J10" i="4" s="1"/>
  <c r="R10" i="4" s="1"/>
  <c r="Y10" i="4" s="1"/>
  <c r="K66" i="2"/>
  <c r="O66" i="2" s="1"/>
  <c r="G10" i="4" s="1"/>
  <c r="O10" i="4" s="1"/>
  <c r="V10" i="4" s="1"/>
  <c r="M66" i="2"/>
  <c r="Q66" i="2" s="1"/>
  <c r="I10" i="4" s="1"/>
  <c r="Q10" i="4" s="1"/>
  <c r="X10" i="4" s="1"/>
  <c r="N66" i="2"/>
  <c r="R66" i="2" s="1"/>
  <c r="K11" i="2"/>
  <c r="O11" i="2" s="1"/>
  <c r="M11" i="2"/>
  <c r="Q11" i="2" s="1"/>
  <c r="N11" i="2"/>
  <c r="R11" i="2" s="1"/>
  <c r="K67" i="2"/>
  <c r="O67" i="2" s="1"/>
  <c r="G11" i="4" s="1"/>
  <c r="O11" i="4" s="1"/>
  <c r="V11" i="4" s="1"/>
  <c r="M67" i="2"/>
  <c r="Q67" i="2" s="1"/>
  <c r="I11" i="4" s="1"/>
  <c r="Q11" i="4" s="1"/>
  <c r="X11" i="4" s="1"/>
  <c r="N67" i="2"/>
  <c r="R67" i="2" s="1"/>
  <c r="J11" i="4" s="1"/>
  <c r="R11" i="4" s="1"/>
  <c r="Y11" i="4" s="1"/>
  <c r="K12" i="2"/>
  <c r="O12" i="2" s="1"/>
  <c r="M12" i="2"/>
  <c r="Q12" i="2" s="1"/>
  <c r="N12" i="2"/>
  <c r="R12" i="2" s="1"/>
  <c r="K68" i="2"/>
  <c r="O68" i="2" s="1"/>
  <c r="G12" i="4" s="1"/>
  <c r="O12" i="4" s="1"/>
  <c r="V12" i="4" s="1"/>
  <c r="M68" i="2"/>
  <c r="Q68" i="2" s="1"/>
  <c r="I12" i="4" s="1"/>
  <c r="Q12" i="4" s="1"/>
  <c r="X12" i="4" s="1"/>
  <c r="N68" i="2"/>
  <c r="R68" i="2" s="1"/>
  <c r="J12" i="4" s="1"/>
  <c r="R12" i="4" s="1"/>
  <c r="Y12" i="4" s="1"/>
  <c r="K13" i="2"/>
  <c r="O13" i="2" s="1"/>
  <c r="G13" i="4" s="1"/>
  <c r="O13" i="4" s="1"/>
  <c r="V13" i="4" s="1"/>
  <c r="M13" i="2"/>
  <c r="Q13" i="2" s="1"/>
  <c r="N13" i="2"/>
  <c r="R13" i="2" s="1"/>
  <c r="K69" i="2"/>
  <c r="O69" i="2" s="1"/>
  <c r="M69" i="2"/>
  <c r="Q69" i="2" s="1"/>
  <c r="N69" i="2"/>
  <c r="R69" i="2" s="1"/>
  <c r="J13" i="4" s="1"/>
  <c r="R13" i="4" s="1"/>
  <c r="Y13" i="4" s="1"/>
  <c r="K14" i="2"/>
  <c r="O14" i="2" s="1"/>
  <c r="M14" i="2"/>
  <c r="Q14" i="2" s="1"/>
  <c r="N14" i="2"/>
  <c r="R14" i="2" s="1"/>
  <c r="K70" i="2"/>
  <c r="O70" i="2" s="1"/>
  <c r="M70" i="2"/>
  <c r="Q70" i="2" s="1"/>
  <c r="N70" i="2"/>
  <c r="R70" i="2" s="1"/>
  <c r="K15" i="2"/>
  <c r="O15" i="2" s="1"/>
  <c r="P15" i="2"/>
  <c r="M15" i="2"/>
  <c r="Q15" i="2" s="1"/>
  <c r="N15" i="2"/>
  <c r="R15" i="2" s="1"/>
  <c r="K71" i="2"/>
  <c r="O71" i="2" s="1"/>
  <c r="M71" i="2"/>
  <c r="Q71" i="2" s="1"/>
  <c r="N71" i="2"/>
  <c r="R71" i="2" s="1"/>
  <c r="K16" i="2"/>
  <c r="O16" i="2" s="1"/>
  <c r="M16" i="2"/>
  <c r="Q16" i="2" s="1"/>
  <c r="N16" i="2"/>
  <c r="R16" i="2" s="1"/>
  <c r="K72" i="2"/>
  <c r="O72" i="2" s="1"/>
  <c r="M72" i="2"/>
  <c r="Q72" i="2" s="1"/>
  <c r="N72" i="2"/>
  <c r="R72" i="2" s="1"/>
  <c r="K17" i="2"/>
  <c r="O17" i="2" s="1"/>
  <c r="M17" i="2"/>
  <c r="Q17" i="2" s="1"/>
  <c r="N17" i="2"/>
  <c r="R17" i="2" s="1"/>
  <c r="K73" i="2"/>
  <c r="O73" i="2" s="1"/>
  <c r="G17" i="4" s="1"/>
  <c r="O17" i="4" s="1"/>
  <c r="V17" i="4" s="1"/>
  <c r="M73" i="2"/>
  <c r="Q73" i="2" s="1"/>
  <c r="N73" i="2"/>
  <c r="R73" i="2" s="1"/>
  <c r="K18" i="2"/>
  <c r="O18" i="2" s="1"/>
  <c r="M18" i="2"/>
  <c r="Q18" i="2" s="1"/>
  <c r="N18" i="2"/>
  <c r="R18" i="2" s="1"/>
  <c r="K74" i="2"/>
  <c r="O74" i="2" s="1"/>
  <c r="G18" i="4" s="1"/>
  <c r="O18" i="4" s="1"/>
  <c r="V18" i="4" s="1"/>
  <c r="M74" i="2"/>
  <c r="Q74" i="2" s="1"/>
  <c r="I18" i="4" s="1"/>
  <c r="Q18" i="4" s="1"/>
  <c r="X18" i="4" s="1"/>
  <c r="N74" i="2"/>
  <c r="R74" i="2" s="1"/>
  <c r="K19" i="2"/>
  <c r="O19" i="2" s="1"/>
  <c r="M19" i="2"/>
  <c r="Q19" i="2" s="1"/>
  <c r="N19" i="2"/>
  <c r="R19" i="2" s="1"/>
  <c r="K75" i="2"/>
  <c r="O75" i="2" s="1"/>
  <c r="G19" i="4" s="1"/>
  <c r="O19" i="4" s="1"/>
  <c r="V19" i="4" s="1"/>
  <c r="M75" i="2"/>
  <c r="Q75" i="2" s="1"/>
  <c r="N75" i="2"/>
  <c r="R75" i="2" s="1"/>
  <c r="J19" i="4" s="1"/>
  <c r="R19" i="4" s="1"/>
  <c r="Y19" i="4" s="1"/>
  <c r="K20" i="2"/>
  <c r="O20" i="2" s="1"/>
  <c r="P20" i="2"/>
  <c r="M20" i="2"/>
  <c r="Q20" i="2" s="1"/>
  <c r="N20" i="2"/>
  <c r="R20" i="2" s="1"/>
  <c r="K76" i="2"/>
  <c r="O76" i="2" s="1"/>
  <c r="G20" i="4" s="1"/>
  <c r="O20" i="4" s="1"/>
  <c r="V20" i="4" s="1"/>
  <c r="P76" i="2"/>
  <c r="H20" i="4" s="1"/>
  <c r="P20" i="4" s="1"/>
  <c r="W20" i="4" s="1"/>
  <c r="M76" i="2"/>
  <c r="Q76" i="2" s="1"/>
  <c r="I20" i="4" s="1"/>
  <c r="Q20" i="4" s="1"/>
  <c r="X20" i="4" s="1"/>
  <c r="N76" i="2"/>
  <c r="R76" i="2" s="1"/>
  <c r="J20" i="4" s="1"/>
  <c r="R20" i="4" s="1"/>
  <c r="Y20" i="4" s="1"/>
  <c r="K21" i="2"/>
  <c r="O21" i="2" s="1"/>
  <c r="M21" i="2"/>
  <c r="Q21" i="2" s="1"/>
  <c r="N21" i="2"/>
  <c r="R21" i="2" s="1"/>
  <c r="K77" i="2"/>
  <c r="O77" i="2" s="1"/>
  <c r="M77" i="2"/>
  <c r="Q77" i="2" s="1"/>
  <c r="I21" i="4" s="1"/>
  <c r="Q21" i="4" s="1"/>
  <c r="X21" i="4" s="1"/>
  <c r="N77" i="2"/>
  <c r="R77" i="2" s="1"/>
  <c r="J21" i="4" s="1"/>
  <c r="R21" i="4" s="1"/>
  <c r="Y21" i="4" s="1"/>
  <c r="K22" i="2"/>
  <c r="O22" i="2" s="1"/>
  <c r="M22" i="2"/>
  <c r="Q22" i="2" s="1"/>
  <c r="N22" i="2"/>
  <c r="R22" i="2" s="1"/>
  <c r="K78" i="2"/>
  <c r="O78" i="2" s="1"/>
  <c r="M78" i="2"/>
  <c r="Q78" i="2" s="1"/>
  <c r="N78" i="2"/>
  <c r="R78" i="2" s="1"/>
  <c r="K23" i="2"/>
  <c r="O23" i="2" s="1"/>
  <c r="M23" i="2"/>
  <c r="Q23" i="2" s="1"/>
  <c r="N23" i="2"/>
  <c r="R23" i="2" s="1"/>
  <c r="K79" i="2"/>
  <c r="O79" i="2" s="1"/>
  <c r="M79" i="2"/>
  <c r="Q79" i="2" s="1"/>
  <c r="N79" i="2"/>
  <c r="R79" i="2" s="1"/>
  <c r="K24" i="2"/>
  <c r="O24" i="2" s="1"/>
  <c r="P24" i="2"/>
  <c r="M24" i="2"/>
  <c r="Q24" i="2" s="1"/>
  <c r="N24" i="2"/>
  <c r="R24" i="2" s="1"/>
  <c r="K80" i="2"/>
  <c r="O80" i="2" s="1"/>
  <c r="M80" i="2"/>
  <c r="Q80" i="2" s="1"/>
  <c r="N80" i="2"/>
  <c r="R80" i="2" s="1"/>
  <c r="K25" i="2"/>
  <c r="O25" i="2" s="1"/>
  <c r="M25" i="2"/>
  <c r="Q25" i="2" s="1"/>
  <c r="N25" i="2"/>
  <c r="R25" i="2" s="1"/>
  <c r="K81" i="2"/>
  <c r="O81" i="2" s="1"/>
  <c r="P81" i="2"/>
  <c r="M81" i="2"/>
  <c r="Q81" i="2" s="1"/>
  <c r="N81" i="2"/>
  <c r="R81" i="2" s="1"/>
  <c r="K26" i="2"/>
  <c r="O26" i="2" s="1"/>
  <c r="M26" i="2"/>
  <c r="Q26" i="2" s="1"/>
  <c r="N26" i="2"/>
  <c r="R26" i="2" s="1"/>
  <c r="K82" i="2"/>
  <c r="O82" i="2" s="1"/>
  <c r="G26" i="4" s="1"/>
  <c r="O26" i="4" s="1"/>
  <c r="V26" i="4" s="1"/>
  <c r="M82" i="2"/>
  <c r="Q82" i="2" s="1"/>
  <c r="I26" i="4" s="1"/>
  <c r="Q26" i="4" s="1"/>
  <c r="X26" i="4" s="1"/>
  <c r="N82" i="2"/>
  <c r="R82" i="2" s="1"/>
  <c r="J26" i="4" s="1"/>
  <c r="R26" i="4" s="1"/>
  <c r="Y26" i="4" s="1"/>
  <c r="K27" i="2"/>
  <c r="O27" i="2" s="1"/>
  <c r="G27" i="4" s="1"/>
  <c r="O27" i="4" s="1"/>
  <c r="V27" i="4" s="1"/>
  <c r="M27" i="2"/>
  <c r="Q27" i="2" s="1"/>
  <c r="N27" i="2"/>
  <c r="R27" i="2" s="1"/>
  <c r="K83" i="2"/>
  <c r="O83" i="2" s="1"/>
  <c r="M83" i="2"/>
  <c r="Q83" i="2" s="1"/>
  <c r="I27" i="4" s="1"/>
  <c r="Q27" i="4" s="1"/>
  <c r="X27" i="4" s="1"/>
  <c r="N83" i="2"/>
  <c r="R83" i="2" s="1"/>
  <c r="J27" i="4" s="1"/>
  <c r="R27" i="4" s="1"/>
  <c r="Y27" i="4" s="1"/>
  <c r="K28" i="2"/>
  <c r="O28" i="2" s="1"/>
  <c r="P28" i="2"/>
  <c r="M28" i="2"/>
  <c r="Q28" i="2" s="1"/>
  <c r="N28" i="2"/>
  <c r="R28" i="2" s="1"/>
  <c r="K84" i="2"/>
  <c r="O84" i="2" s="1"/>
  <c r="G28" i="4" s="1"/>
  <c r="O28" i="4" s="1"/>
  <c r="V28" i="4" s="1"/>
  <c r="M84" i="2"/>
  <c r="Q84" i="2" s="1"/>
  <c r="I28" i="4" s="1"/>
  <c r="Q28" i="4" s="1"/>
  <c r="X28" i="4" s="1"/>
  <c r="N84" i="2"/>
  <c r="R84" i="2" s="1"/>
  <c r="J28" i="4" s="1"/>
  <c r="R28" i="4" s="1"/>
  <c r="Y28" i="4" s="1"/>
  <c r="P84" i="2"/>
  <c r="H28" i="4" s="1"/>
  <c r="P28" i="4" s="1"/>
  <c r="W28" i="4" s="1"/>
  <c r="K29" i="2"/>
  <c r="O29" i="2" s="1"/>
  <c r="G29" i="4" s="1"/>
  <c r="O29" i="4" s="1"/>
  <c r="V29" i="4" s="1"/>
  <c r="M29" i="2"/>
  <c r="Q29" i="2" s="1"/>
  <c r="N29" i="2"/>
  <c r="R29" i="2" s="1"/>
  <c r="K85" i="2"/>
  <c r="O85" i="2" s="1"/>
  <c r="M85" i="2"/>
  <c r="Q85" i="2" s="1"/>
  <c r="N85" i="2"/>
  <c r="R85" i="2" s="1"/>
  <c r="J29" i="4" s="1"/>
  <c r="R29" i="4" s="1"/>
  <c r="Y29" i="4" s="1"/>
  <c r="K30" i="2"/>
  <c r="O30" i="2" s="1"/>
  <c r="M30" i="2"/>
  <c r="Q30" i="2" s="1"/>
  <c r="N30" i="2"/>
  <c r="R30" i="2" s="1"/>
  <c r="K86" i="2"/>
  <c r="O86" i="2" s="1"/>
  <c r="M86" i="2"/>
  <c r="Q86" i="2" s="1"/>
  <c r="N86" i="2"/>
  <c r="R86" i="2"/>
  <c r="K31" i="2"/>
  <c r="O31" i="2" s="1"/>
  <c r="M31" i="2"/>
  <c r="Q31" i="2" s="1"/>
  <c r="N31" i="2"/>
  <c r="R31" i="2" s="1"/>
  <c r="K87" i="2"/>
  <c r="O87" i="2" s="1"/>
  <c r="M87" i="2"/>
  <c r="Q87" i="2" s="1"/>
  <c r="N87" i="2"/>
  <c r="R87" i="2" s="1"/>
  <c r="K32" i="2"/>
  <c r="O32" i="2" s="1"/>
  <c r="M32" i="2"/>
  <c r="Q32" i="2" s="1"/>
  <c r="N32" i="2"/>
  <c r="R32" i="2" s="1"/>
  <c r="K88" i="2"/>
  <c r="O88" i="2" s="1"/>
  <c r="M88" i="2"/>
  <c r="Q88" i="2" s="1"/>
  <c r="N88" i="2"/>
  <c r="R88" i="2" s="1"/>
  <c r="K33" i="2"/>
  <c r="O33" i="2" s="1"/>
  <c r="P33" i="2"/>
  <c r="M33" i="2"/>
  <c r="Q33" i="2" s="1"/>
  <c r="N33" i="2"/>
  <c r="R33" i="2" s="1"/>
  <c r="K89" i="2"/>
  <c r="O89" i="2" s="1"/>
  <c r="P89" i="2"/>
  <c r="M89" i="2"/>
  <c r="Q89" i="2" s="1"/>
  <c r="N89" i="2"/>
  <c r="R89" i="2" s="1"/>
  <c r="K34" i="2"/>
  <c r="O34" i="2" s="1"/>
  <c r="M34" i="2"/>
  <c r="Q34" i="2" s="1"/>
  <c r="N34" i="2"/>
  <c r="R34" i="2" s="1"/>
  <c r="K90" i="2"/>
  <c r="O90" i="2" s="1"/>
  <c r="M90" i="2"/>
  <c r="Q90" i="2" s="1"/>
  <c r="N90" i="2"/>
  <c r="R90" i="2" s="1"/>
  <c r="K35" i="2"/>
  <c r="O35" i="2" s="1"/>
  <c r="M35" i="2"/>
  <c r="Q35" i="2" s="1"/>
  <c r="N35" i="2"/>
  <c r="R35" i="2" s="1"/>
  <c r="K91" i="2"/>
  <c r="O91" i="2" s="1"/>
  <c r="M91" i="2"/>
  <c r="Q91" i="2" s="1"/>
  <c r="N91" i="2"/>
  <c r="R91" i="2" s="1"/>
  <c r="K36" i="2"/>
  <c r="O36" i="2" s="1"/>
  <c r="M36" i="2"/>
  <c r="Q36" i="2" s="1"/>
  <c r="I36" i="4" s="1"/>
  <c r="Q36" i="4" s="1"/>
  <c r="X36" i="4" s="1"/>
  <c r="N36" i="2"/>
  <c r="R36" i="2" s="1"/>
  <c r="K92" i="2"/>
  <c r="O92" i="2" s="1"/>
  <c r="M92" i="2"/>
  <c r="Q92" i="2" s="1"/>
  <c r="N92" i="2"/>
  <c r="R92" i="2" s="1"/>
  <c r="P92" i="2"/>
  <c r="K37" i="2"/>
  <c r="O37" i="2" s="1"/>
  <c r="M37" i="2"/>
  <c r="Q37" i="2" s="1"/>
  <c r="I37" i="4" s="1"/>
  <c r="Q37" i="4" s="1"/>
  <c r="X37" i="4" s="1"/>
  <c r="N37" i="2"/>
  <c r="R37" i="2" s="1"/>
  <c r="K93" i="2"/>
  <c r="O93" i="2" s="1"/>
  <c r="M93" i="2"/>
  <c r="Q93" i="2" s="1"/>
  <c r="N93" i="2"/>
  <c r="R93" i="2" s="1"/>
  <c r="K38" i="2"/>
  <c r="O38" i="2" s="1"/>
  <c r="M38" i="2"/>
  <c r="Q38" i="2" s="1"/>
  <c r="N38" i="2"/>
  <c r="R38" i="2" s="1"/>
  <c r="K94" i="2"/>
  <c r="O94" i="2" s="1"/>
  <c r="M94" i="2"/>
  <c r="Q94" i="2" s="1"/>
  <c r="N94" i="2"/>
  <c r="R94" i="2" s="1"/>
  <c r="K39" i="2"/>
  <c r="O39" i="2" s="1"/>
  <c r="M39" i="2"/>
  <c r="Q39" i="2" s="1"/>
  <c r="N39" i="2"/>
  <c r="R39" i="2" s="1"/>
  <c r="K95" i="2"/>
  <c r="O95" i="2" s="1"/>
  <c r="M95" i="2"/>
  <c r="Q95" i="2" s="1"/>
  <c r="N95" i="2"/>
  <c r="R95" i="2" s="1"/>
  <c r="K40" i="2"/>
  <c r="O40" i="2" s="1"/>
  <c r="P40" i="2"/>
  <c r="H40" i="4" s="1"/>
  <c r="P40" i="4" s="1"/>
  <c r="W40" i="4" s="1"/>
  <c r="M40" i="2"/>
  <c r="Q40" i="2" s="1"/>
  <c r="N40" i="2"/>
  <c r="R40" i="2" s="1"/>
  <c r="K96" i="2"/>
  <c r="O96" i="2" s="1"/>
  <c r="M96" i="2"/>
  <c r="Q96" i="2" s="1"/>
  <c r="N96" i="2"/>
  <c r="R96" i="2"/>
  <c r="K41" i="2"/>
  <c r="O41" i="2" s="1"/>
  <c r="M41" i="2"/>
  <c r="Q41" i="2" s="1"/>
  <c r="N41" i="2"/>
  <c r="R41" i="2" s="1"/>
  <c r="P41" i="2"/>
  <c r="K97" i="2"/>
  <c r="O97" i="2" s="1"/>
  <c r="M97" i="2"/>
  <c r="Q97" i="2" s="1"/>
  <c r="N97" i="2"/>
  <c r="R97" i="2" s="1"/>
  <c r="K42" i="2"/>
  <c r="O42" i="2" s="1"/>
  <c r="M42" i="2"/>
  <c r="Q42" i="2" s="1"/>
  <c r="N42" i="2"/>
  <c r="R42" i="2" s="1"/>
  <c r="K98" i="2"/>
  <c r="O98" i="2" s="1"/>
  <c r="M98" i="2"/>
  <c r="Q98" i="2" s="1"/>
  <c r="N98" i="2"/>
  <c r="R98" i="2" s="1"/>
  <c r="K43" i="2"/>
  <c r="O43" i="2" s="1"/>
  <c r="M43" i="2"/>
  <c r="Q43" i="2" s="1"/>
  <c r="N43" i="2"/>
  <c r="R43" i="2" s="1"/>
  <c r="J43" i="4" s="1"/>
  <c r="R43" i="4" s="1"/>
  <c r="Y43" i="4" s="1"/>
  <c r="K99" i="2"/>
  <c r="O99" i="2" s="1"/>
  <c r="M99" i="2"/>
  <c r="Q99" i="2" s="1"/>
  <c r="N99" i="2"/>
  <c r="R99" i="2" s="1"/>
  <c r="K44" i="2"/>
  <c r="O44" i="2" s="1"/>
  <c r="P44" i="2"/>
  <c r="M44" i="2"/>
  <c r="Q44" i="2" s="1"/>
  <c r="N44" i="2"/>
  <c r="R44" i="2" s="1"/>
  <c r="K100" i="2"/>
  <c r="O100" i="2" s="1"/>
  <c r="M100" i="2"/>
  <c r="Q100" i="2" s="1"/>
  <c r="I44" i="4" s="1"/>
  <c r="Q44" i="4" s="1"/>
  <c r="X44" i="4" s="1"/>
  <c r="N100" i="2"/>
  <c r="R100" i="2" s="1"/>
  <c r="K45" i="2"/>
  <c r="O45" i="2" s="1"/>
  <c r="M45" i="2"/>
  <c r="Q45" i="2" s="1"/>
  <c r="N45" i="2"/>
  <c r="R45" i="2" s="1"/>
  <c r="K101" i="2"/>
  <c r="O101" i="2" s="1"/>
  <c r="G45" i="4" s="1"/>
  <c r="O45" i="4" s="1"/>
  <c r="V45" i="4" s="1"/>
  <c r="M101" i="2"/>
  <c r="Q101" i="2" s="1"/>
  <c r="N101" i="2"/>
  <c r="R101" i="2" s="1"/>
  <c r="P101" i="2"/>
  <c r="H45" i="4" s="1"/>
  <c r="P45" i="4" s="1"/>
  <c r="W45" i="4" s="1"/>
  <c r="K46" i="2"/>
  <c r="O46" i="2" s="1"/>
  <c r="M46" i="2"/>
  <c r="Q46" i="2" s="1"/>
  <c r="N46" i="2"/>
  <c r="R46" i="2" s="1"/>
  <c r="K102" i="2"/>
  <c r="O102" i="2" s="1"/>
  <c r="M102" i="2"/>
  <c r="Q102" i="2" s="1"/>
  <c r="N102" i="2"/>
  <c r="R102" i="2" s="1"/>
  <c r="K47" i="2"/>
  <c r="O47" i="2" s="1"/>
  <c r="M47" i="2"/>
  <c r="Q47" i="2" s="1"/>
  <c r="N47" i="2"/>
  <c r="R47" i="2" s="1"/>
  <c r="K103" i="2"/>
  <c r="O103" i="2" s="1"/>
  <c r="M103" i="2"/>
  <c r="Q103" i="2" s="1"/>
  <c r="I47" i="4" s="1"/>
  <c r="Q47" i="4" s="1"/>
  <c r="X47" i="4" s="1"/>
  <c r="N103" i="2"/>
  <c r="R103" i="2" s="1"/>
  <c r="K48" i="2"/>
  <c r="O48" i="2" s="1"/>
  <c r="M48" i="2"/>
  <c r="Q48" i="2" s="1"/>
  <c r="I48" i="4" s="1"/>
  <c r="Q48" i="4" s="1"/>
  <c r="X48" i="4" s="1"/>
  <c r="N48" i="2"/>
  <c r="R48" i="2" s="1"/>
  <c r="P48" i="2"/>
  <c r="H48" i="4" s="1"/>
  <c r="P48" i="4" s="1"/>
  <c r="W48" i="4" s="1"/>
  <c r="K104" i="2"/>
  <c r="O104" i="2" s="1"/>
  <c r="M104" i="2"/>
  <c r="Q104" i="2" s="1"/>
  <c r="N104" i="2"/>
  <c r="R104" i="2" s="1"/>
  <c r="K49" i="2"/>
  <c r="O49" i="2" s="1"/>
  <c r="M49" i="2"/>
  <c r="Q49" i="2" s="1"/>
  <c r="N49" i="2"/>
  <c r="R49" i="2" s="1"/>
  <c r="K105" i="2"/>
  <c r="O105" i="2" s="1"/>
  <c r="M105" i="2"/>
  <c r="Q105" i="2" s="1"/>
  <c r="N105" i="2"/>
  <c r="R105" i="2" s="1"/>
  <c r="K50" i="2"/>
  <c r="O50" i="2" s="1"/>
  <c r="M50" i="2"/>
  <c r="Q50" i="2" s="1"/>
  <c r="N50" i="2"/>
  <c r="R50" i="2" s="1"/>
  <c r="K106" i="2"/>
  <c r="O106" i="2" s="1"/>
  <c r="M106" i="2"/>
  <c r="Q106" i="2" s="1"/>
  <c r="N106" i="2"/>
  <c r="R106" i="2" s="1"/>
  <c r="K51" i="2"/>
  <c r="O51" i="2" s="1"/>
  <c r="M51" i="2"/>
  <c r="Q51" i="2" s="1"/>
  <c r="N51" i="2"/>
  <c r="R51" i="2" s="1"/>
  <c r="K107" i="2"/>
  <c r="O107" i="2" s="1"/>
  <c r="M107" i="2"/>
  <c r="Q107" i="2" s="1"/>
  <c r="N107" i="2"/>
  <c r="R107" i="2" s="1"/>
  <c r="K52" i="2"/>
  <c r="O52" i="2" s="1"/>
  <c r="M52" i="2"/>
  <c r="Q52" i="2" s="1"/>
  <c r="N52" i="2"/>
  <c r="R52" i="2" s="1"/>
  <c r="P52" i="2"/>
  <c r="K108" i="2"/>
  <c r="O108" i="2" s="1"/>
  <c r="P108" i="2"/>
  <c r="M108" i="2"/>
  <c r="Q108" i="2" s="1"/>
  <c r="N108" i="2"/>
  <c r="R108" i="2" s="1"/>
  <c r="K53" i="2"/>
  <c r="O53" i="2" s="1"/>
  <c r="M53" i="2"/>
  <c r="Q53" i="2" s="1"/>
  <c r="N53" i="2"/>
  <c r="R53" i="2" s="1"/>
  <c r="K109" i="2"/>
  <c r="O109" i="2" s="1"/>
  <c r="M109" i="2"/>
  <c r="Q109" i="2" s="1"/>
  <c r="N109" i="2"/>
  <c r="R109" i="2" s="1"/>
  <c r="P109" i="2"/>
  <c r="K54" i="2"/>
  <c r="O54" i="2" s="1"/>
  <c r="M54" i="2"/>
  <c r="Q54" i="2" s="1"/>
  <c r="N54" i="2"/>
  <c r="R54" i="2" s="1"/>
  <c r="K110" i="2"/>
  <c r="O110" i="2" s="1"/>
  <c r="M110" i="2"/>
  <c r="Q110" i="2" s="1"/>
  <c r="N110" i="2"/>
  <c r="R110" i="2" s="1"/>
  <c r="K55" i="2"/>
  <c r="O55" i="2" s="1"/>
  <c r="M55" i="2"/>
  <c r="Q55" i="2" s="1"/>
  <c r="N55" i="2"/>
  <c r="R55" i="2" s="1"/>
  <c r="K111" i="2"/>
  <c r="O111" i="2" s="1"/>
  <c r="M111" i="2"/>
  <c r="Q111" i="2" s="1"/>
  <c r="N111" i="2"/>
  <c r="R111" i="2" s="1"/>
  <c r="K56" i="2"/>
  <c r="O56" i="2" s="1"/>
  <c r="M56" i="2"/>
  <c r="Q56" i="2" s="1"/>
  <c r="N56" i="2"/>
  <c r="R56" i="2" s="1"/>
  <c r="P56" i="2"/>
  <c r="K112" i="2"/>
  <c r="O112" i="2" s="1"/>
  <c r="M112" i="2"/>
  <c r="Q112" i="2" s="1"/>
  <c r="N112" i="2"/>
  <c r="R112" i="2" s="1"/>
  <c r="K57" i="2"/>
  <c r="O57" i="2" s="1"/>
  <c r="M57" i="2"/>
  <c r="Q57" i="2" s="1"/>
  <c r="N57" i="2"/>
  <c r="R57" i="2" s="1"/>
  <c r="J57" i="4" s="1"/>
  <c r="R57" i="4" s="1"/>
  <c r="Y57" i="4" s="1"/>
  <c r="K113" i="2"/>
  <c r="O113" i="2" s="1"/>
  <c r="M113" i="2"/>
  <c r="Q113" i="2" s="1"/>
  <c r="N113" i="2"/>
  <c r="R113" i="2" s="1"/>
  <c r="P113" i="2"/>
  <c r="G30" i="4" l="1"/>
  <c r="O30" i="4" s="1"/>
  <c r="V30" i="4" s="1"/>
  <c r="J53" i="4"/>
  <c r="R53" i="4" s="1"/>
  <c r="Y53" i="4" s="1"/>
  <c r="G53" i="4"/>
  <c r="O53" i="4" s="1"/>
  <c r="V53" i="4" s="1"/>
  <c r="J52" i="4"/>
  <c r="R52" i="4" s="1"/>
  <c r="Y52" i="4" s="1"/>
  <c r="I52" i="4"/>
  <c r="Q52" i="4" s="1"/>
  <c r="X52" i="4" s="1"/>
  <c r="J51" i="4"/>
  <c r="R51" i="4" s="1"/>
  <c r="Y51" i="4" s="1"/>
  <c r="I53" i="4"/>
  <c r="Q53" i="4" s="1"/>
  <c r="X53" i="4" s="1"/>
  <c r="G52" i="4"/>
  <c r="O52" i="4" s="1"/>
  <c r="V52" i="4" s="1"/>
  <c r="J44" i="4"/>
  <c r="R44" i="4" s="1"/>
  <c r="Y44" i="4" s="1"/>
  <c r="J32" i="4"/>
  <c r="R32" i="4" s="1"/>
  <c r="Y32" i="4" s="1"/>
  <c r="G31" i="4"/>
  <c r="O31" i="4" s="1"/>
  <c r="V31" i="4" s="1"/>
  <c r="I25" i="4"/>
  <c r="Q25" i="4" s="1"/>
  <c r="X25" i="4" s="1"/>
  <c r="H53" i="4"/>
  <c r="P53" i="4" s="1"/>
  <c r="W53" i="4" s="1"/>
  <c r="G23" i="4"/>
  <c r="O23" i="4" s="1"/>
  <c r="V23" i="4" s="1"/>
  <c r="G44" i="4"/>
  <c r="O44" i="4" s="1"/>
  <c r="V44" i="4" s="1"/>
  <c r="G43" i="4"/>
  <c r="O43" i="4" s="1"/>
  <c r="V43" i="4" s="1"/>
  <c r="G25" i="4"/>
  <c r="O25" i="4" s="1"/>
  <c r="V25" i="4" s="1"/>
  <c r="I16" i="4"/>
  <c r="Q16" i="4" s="1"/>
  <c r="X16" i="4" s="1"/>
  <c r="G15" i="4"/>
  <c r="O15" i="4" s="1"/>
  <c r="V15" i="4" s="1"/>
  <c r="G48" i="4"/>
  <c r="O48" i="4" s="1"/>
  <c r="V48" i="4" s="1"/>
  <c r="J56" i="4"/>
  <c r="R56" i="4" s="1"/>
  <c r="Y56" i="4" s="1"/>
  <c r="J17" i="4"/>
  <c r="R17" i="4" s="1"/>
  <c r="Y17" i="4" s="1"/>
  <c r="G16" i="4"/>
  <c r="O16" i="4" s="1"/>
  <c r="V16" i="4" s="1"/>
  <c r="H52" i="4"/>
  <c r="P52" i="4" s="1"/>
  <c r="W52" i="4" s="1"/>
  <c r="G50" i="4"/>
  <c r="O50" i="4" s="1"/>
  <c r="V50" i="4" s="1"/>
  <c r="G33" i="4"/>
  <c r="O33" i="4" s="1"/>
  <c r="V33" i="4" s="1"/>
  <c r="H51" i="4"/>
  <c r="P51" i="4" s="1"/>
  <c r="W51" i="4" s="1"/>
  <c r="H47" i="4"/>
  <c r="P47" i="4" s="1"/>
  <c r="W47" i="4" s="1"/>
  <c r="H39" i="4"/>
  <c r="P39" i="4" s="1"/>
  <c r="W39" i="4" s="1"/>
  <c r="I51" i="4"/>
  <c r="Q51" i="4" s="1"/>
  <c r="X51" i="4" s="1"/>
  <c r="G51" i="4"/>
  <c r="O51" i="4" s="1"/>
  <c r="V51" i="4" s="1"/>
  <c r="J50" i="4"/>
  <c r="R50" i="4" s="1"/>
  <c r="Y50" i="4" s="1"/>
  <c r="I50" i="4"/>
  <c r="Q50" i="4" s="1"/>
  <c r="X50" i="4" s="1"/>
  <c r="J45" i="4"/>
  <c r="R45" i="4" s="1"/>
  <c r="Y45" i="4" s="1"/>
  <c r="I45" i="4"/>
  <c r="Q45" i="4" s="1"/>
  <c r="X45" i="4" s="1"/>
  <c r="H44" i="4"/>
  <c r="P44" i="4" s="1"/>
  <c r="W44" i="4" s="1"/>
  <c r="I43" i="4"/>
  <c r="Q43" i="4" s="1"/>
  <c r="X43" i="4" s="1"/>
  <c r="H43" i="4"/>
  <c r="P43" i="4" s="1"/>
  <c r="W43" i="4" s="1"/>
  <c r="J42" i="4"/>
  <c r="R42" i="4" s="1"/>
  <c r="Y42" i="4" s="1"/>
  <c r="I42" i="4"/>
  <c r="Q42" i="4" s="1"/>
  <c r="X42" i="4" s="1"/>
  <c r="H42" i="4"/>
  <c r="P42" i="4" s="1"/>
  <c r="W42" i="4" s="1"/>
  <c r="G42" i="4"/>
  <c r="O42" i="4" s="1"/>
  <c r="V42" i="4" s="1"/>
  <c r="J25" i="4"/>
  <c r="R25" i="4" s="1"/>
  <c r="Y25" i="4" s="1"/>
  <c r="H25" i="4"/>
  <c r="P25" i="4" s="1"/>
  <c r="W25" i="4" s="1"/>
  <c r="J24" i="4"/>
  <c r="R24" i="4" s="1"/>
  <c r="Y24" i="4" s="1"/>
  <c r="I24" i="4"/>
  <c r="Q24" i="4" s="1"/>
  <c r="X24" i="4" s="1"/>
  <c r="H24" i="4"/>
  <c r="P24" i="4" s="1"/>
  <c r="W24" i="4" s="1"/>
  <c r="G24" i="4"/>
  <c r="O24" i="4" s="1"/>
  <c r="V24" i="4" s="1"/>
  <c r="J23" i="4"/>
  <c r="R23" i="4" s="1"/>
  <c r="Y23" i="4" s="1"/>
  <c r="I23" i="4"/>
  <c r="Q23" i="4" s="1"/>
  <c r="X23" i="4" s="1"/>
  <c r="H23" i="4"/>
  <c r="P23" i="4" s="1"/>
  <c r="W23" i="4" s="1"/>
  <c r="J22" i="4"/>
  <c r="R22" i="4" s="1"/>
  <c r="Y22" i="4" s="1"/>
  <c r="I22" i="4"/>
  <c r="Q22" i="4" s="1"/>
  <c r="X22" i="4" s="1"/>
  <c r="H22" i="4"/>
  <c r="P22" i="4" s="1"/>
  <c r="W22" i="4" s="1"/>
  <c r="G22" i="4"/>
  <c r="O22" i="4" s="1"/>
  <c r="V22" i="4" s="1"/>
  <c r="I17" i="4"/>
  <c r="Q17" i="4" s="1"/>
  <c r="X17" i="4" s="1"/>
  <c r="H17" i="4"/>
  <c r="P17" i="4" s="1"/>
  <c r="W17" i="4" s="1"/>
  <c r="J16" i="4"/>
  <c r="R16" i="4" s="1"/>
  <c r="Y16" i="4" s="1"/>
  <c r="H16" i="4"/>
  <c r="P16" i="4" s="1"/>
  <c r="W16" i="4" s="1"/>
  <c r="J15" i="4"/>
  <c r="R15" i="4" s="1"/>
  <c r="Y15" i="4" s="1"/>
  <c r="I15" i="4"/>
  <c r="Q15" i="4" s="1"/>
  <c r="X15" i="4" s="1"/>
  <c r="H15" i="4"/>
  <c r="P15" i="4" s="1"/>
  <c r="W15" i="4" s="1"/>
  <c r="J14" i="4"/>
  <c r="R14" i="4" s="1"/>
  <c r="Y14" i="4" s="1"/>
  <c r="I14" i="4"/>
  <c r="Q14" i="4" s="1"/>
  <c r="X14" i="4" s="1"/>
  <c r="G14" i="4"/>
  <c r="O14" i="4" s="1"/>
  <c r="V14" i="4" s="1"/>
  <c r="I57" i="4"/>
  <c r="Q57" i="4" s="1"/>
  <c r="X57" i="4" s="1"/>
  <c r="H57" i="4"/>
  <c r="P57" i="4" s="1"/>
  <c r="W57" i="4" s="1"/>
  <c r="G57" i="4"/>
  <c r="O57" i="4" s="1"/>
  <c r="V57" i="4" s="1"/>
  <c r="I56" i="4"/>
  <c r="Q56" i="4" s="1"/>
  <c r="X56" i="4" s="1"/>
  <c r="H56" i="4"/>
  <c r="P56" i="4" s="1"/>
  <c r="W56" i="4" s="1"/>
  <c r="G56" i="4"/>
  <c r="O56" i="4" s="1"/>
  <c r="V56" i="4" s="1"/>
  <c r="J55" i="4"/>
  <c r="R55" i="4" s="1"/>
  <c r="Y55" i="4" s="1"/>
  <c r="I55" i="4"/>
  <c r="Q55" i="4" s="1"/>
  <c r="X55" i="4" s="1"/>
  <c r="H55" i="4"/>
  <c r="P55" i="4" s="1"/>
  <c r="W55" i="4" s="1"/>
  <c r="G55" i="4"/>
  <c r="O55" i="4" s="1"/>
  <c r="V55" i="4" s="1"/>
  <c r="J54" i="4"/>
  <c r="R54" i="4" s="1"/>
  <c r="Y54" i="4" s="1"/>
  <c r="I54" i="4"/>
  <c r="Q54" i="4" s="1"/>
  <c r="X54" i="4" s="1"/>
  <c r="H54" i="4"/>
  <c r="P54" i="4" s="1"/>
  <c r="W54" i="4" s="1"/>
  <c r="G54" i="4"/>
  <c r="O54" i="4" s="1"/>
  <c r="V54" i="4" s="1"/>
  <c r="J49" i="4"/>
  <c r="R49" i="4" s="1"/>
  <c r="Y49" i="4" s="1"/>
  <c r="I49" i="4"/>
  <c r="Q49" i="4" s="1"/>
  <c r="X49" i="4" s="1"/>
  <c r="H49" i="4"/>
  <c r="P49" i="4" s="1"/>
  <c r="W49" i="4" s="1"/>
  <c r="G49" i="4"/>
  <c r="O49" i="4" s="1"/>
  <c r="V49" i="4" s="1"/>
  <c r="J48" i="4"/>
  <c r="R48" i="4" s="1"/>
  <c r="Y48" i="4" s="1"/>
  <c r="J47" i="4"/>
  <c r="R47" i="4" s="1"/>
  <c r="Y47" i="4" s="1"/>
  <c r="G47" i="4"/>
  <c r="O47" i="4" s="1"/>
  <c r="V47" i="4" s="1"/>
  <c r="J46" i="4"/>
  <c r="R46" i="4" s="1"/>
  <c r="Y46" i="4" s="1"/>
  <c r="I46" i="4"/>
  <c r="Q46" i="4" s="1"/>
  <c r="X46" i="4" s="1"/>
  <c r="G46" i="4"/>
  <c r="O46" i="4" s="1"/>
  <c r="V46" i="4" s="1"/>
  <c r="J41" i="4"/>
  <c r="R41" i="4" s="1"/>
  <c r="Y41" i="4" s="1"/>
  <c r="I41" i="4"/>
  <c r="Q41" i="4" s="1"/>
  <c r="X41" i="4" s="1"/>
  <c r="H41" i="4"/>
  <c r="P41" i="4" s="1"/>
  <c r="W41" i="4" s="1"/>
  <c r="G41" i="4"/>
  <c r="O41" i="4" s="1"/>
  <c r="V41" i="4" s="1"/>
  <c r="J40" i="4"/>
  <c r="R40" i="4" s="1"/>
  <c r="Y40" i="4" s="1"/>
  <c r="I40" i="4"/>
  <c r="Q40" i="4" s="1"/>
  <c r="X40" i="4" s="1"/>
  <c r="G40" i="4"/>
  <c r="O40" i="4" s="1"/>
  <c r="V40" i="4" s="1"/>
  <c r="J39" i="4"/>
  <c r="R39" i="4" s="1"/>
  <c r="Y39" i="4" s="1"/>
  <c r="I39" i="4"/>
  <c r="Q39" i="4" s="1"/>
  <c r="X39" i="4" s="1"/>
  <c r="G39" i="4"/>
  <c r="O39" i="4" s="1"/>
  <c r="V39" i="4" s="1"/>
  <c r="J38" i="4"/>
  <c r="R38" i="4" s="1"/>
  <c r="Y38" i="4" s="1"/>
  <c r="I38" i="4"/>
  <c r="Q38" i="4" s="1"/>
  <c r="X38" i="4" s="1"/>
  <c r="H38" i="4"/>
  <c r="P38" i="4" s="1"/>
  <c r="W38" i="4" s="1"/>
  <c r="G38" i="4"/>
  <c r="O38" i="4" s="1"/>
  <c r="V38" i="4" s="1"/>
  <c r="J37" i="4"/>
  <c r="R37" i="4" s="1"/>
  <c r="Y37" i="4" s="1"/>
  <c r="H37" i="4"/>
  <c r="P37" i="4" s="1"/>
  <c r="W37" i="4" s="1"/>
  <c r="G37" i="4"/>
  <c r="O37" i="4" s="1"/>
  <c r="V37" i="4" s="1"/>
  <c r="J36" i="4"/>
  <c r="R36" i="4" s="1"/>
  <c r="Y36" i="4" s="1"/>
  <c r="H36" i="4"/>
  <c r="P36" i="4" s="1"/>
  <c r="W36" i="4" s="1"/>
  <c r="G36" i="4"/>
  <c r="O36" i="4" s="1"/>
  <c r="V36" i="4" s="1"/>
  <c r="J35" i="4"/>
  <c r="R35" i="4" s="1"/>
  <c r="Y35" i="4" s="1"/>
  <c r="I35" i="4"/>
  <c r="Q35" i="4" s="1"/>
  <c r="X35" i="4" s="1"/>
  <c r="H35" i="4"/>
  <c r="P35" i="4" s="1"/>
  <c r="W35" i="4" s="1"/>
  <c r="G35" i="4"/>
  <c r="O35" i="4" s="1"/>
  <c r="V35" i="4" s="1"/>
  <c r="J34" i="4"/>
  <c r="R34" i="4" s="1"/>
  <c r="Y34" i="4" s="1"/>
  <c r="I34" i="4"/>
  <c r="Q34" i="4" s="1"/>
  <c r="X34" i="4" s="1"/>
  <c r="H34" i="4"/>
  <c r="P34" i="4" s="1"/>
  <c r="W34" i="4" s="1"/>
  <c r="G34" i="4"/>
  <c r="O34" i="4" s="1"/>
  <c r="V34" i="4" s="1"/>
  <c r="J33" i="4"/>
  <c r="R33" i="4" s="1"/>
  <c r="Y33" i="4" s="1"/>
  <c r="I33" i="4"/>
  <c r="Q33" i="4" s="1"/>
  <c r="X33" i="4" s="1"/>
  <c r="H33" i="4"/>
  <c r="P33" i="4" s="1"/>
  <c r="W33" i="4" s="1"/>
  <c r="I32" i="4"/>
  <c r="Q32" i="4" s="1"/>
  <c r="X32" i="4" s="1"/>
  <c r="H32" i="4"/>
  <c r="P32" i="4" s="1"/>
  <c r="W32" i="4" s="1"/>
  <c r="G32" i="4"/>
  <c r="O32" i="4" s="1"/>
  <c r="V32" i="4" s="1"/>
  <c r="J31" i="4"/>
  <c r="R31" i="4" s="1"/>
  <c r="Y31" i="4" s="1"/>
  <c r="I31" i="4"/>
  <c r="Q31" i="4" s="1"/>
  <c r="X31" i="4" s="1"/>
  <c r="H31" i="4"/>
  <c r="P31" i="4" s="1"/>
  <c r="W31" i="4" s="1"/>
  <c r="J30" i="4"/>
  <c r="R30" i="4" s="1"/>
  <c r="Y30" i="4" s="1"/>
  <c r="I30" i="4"/>
  <c r="Q30" i="4" s="1"/>
  <c r="X30" i="4" s="1"/>
  <c r="H30" i="4"/>
  <c r="P30" i="4" s="1"/>
  <c r="W30" i="4" s="1"/>
  <c r="M58" i="2"/>
  <c r="Q58" i="2" s="1"/>
  <c r="N4" i="2"/>
  <c r="R4" i="2" s="1"/>
  <c r="J4" i="4" s="1"/>
  <c r="R4" i="4" s="1"/>
  <c r="Y4" i="4" s="1"/>
  <c r="M4" i="2"/>
  <c r="Q4" i="2" s="1"/>
  <c r="I4" i="4" s="1"/>
  <c r="Q4" i="4" s="1"/>
  <c r="X4" i="4" s="1"/>
  <c r="N3" i="2"/>
  <c r="R3" i="2" s="1"/>
  <c r="J3" i="4" s="1"/>
  <c r="R3" i="4" s="1"/>
  <c r="Y3" i="4" s="1"/>
  <c r="M2" i="2" l="1"/>
  <c r="Q2" i="2" s="1"/>
  <c r="I2" i="4" s="1"/>
  <c r="Q2" i="4" s="1"/>
  <c r="X2" i="4" s="1"/>
  <c r="N2" i="2"/>
  <c r="R2" i="2" s="1"/>
  <c r="J2" i="4" s="1"/>
  <c r="R2" i="4" s="1"/>
  <c r="Y2" i="4" s="1"/>
  <c r="P2" i="2"/>
  <c r="H2" i="4" s="1"/>
  <c r="P2" i="4" s="1"/>
  <c r="W2" i="4" s="1"/>
  <c r="K2" i="2"/>
  <c r="O2" i="2" s="1"/>
  <c r="G2" i="4" s="1"/>
  <c r="O2" i="4" l="1"/>
  <c r="V2" i="4" s="1"/>
</calcChain>
</file>

<file path=xl/sharedStrings.xml><?xml version="1.0" encoding="utf-8"?>
<sst xmlns="http://schemas.openxmlformats.org/spreadsheetml/2006/main" count="1052" uniqueCount="170">
  <si>
    <t>mM glu</t>
  </si>
  <si>
    <t>mM fru</t>
  </si>
  <si>
    <t>nmol glu</t>
  </si>
  <si>
    <t>nmol fru</t>
  </si>
  <si>
    <t>Peak Area glu</t>
  </si>
  <si>
    <t>Injection V (μL)</t>
  </si>
  <si>
    <t>Glu, m and b</t>
  </si>
  <si>
    <t>Fru, m and b</t>
  </si>
  <si>
    <t>Lact, m and b</t>
  </si>
  <si>
    <t>Ace, m and b</t>
  </si>
  <si>
    <t>Early</t>
  </si>
  <si>
    <t>Late</t>
  </si>
  <si>
    <t>Replicates</t>
  </si>
  <si>
    <t>Peak Area lact</t>
  </si>
  <si>
    <t>Peak Area ace</t>
  </si>
  <si>
    <t>nmol lact</t>
  </si>
  <si>
    <t>nmol ace</t>
  </si>
  <si>
    <t>mM lact</t>
  </si>
  <si>
    <t>mM ace</t>
  </si>
  <si>
    <t>Condition</t>
  </si>
  <si>
    <t>Code</t>
  </si>
  <si>
    <t>Evo</t>
  </si>
  <si>
    <t>Timepoint</t>
  </si>
  <si>
    <t>F1</t>
  </si>
  <si>
    <t>F 40 mM</t>
  </si>
  <si>
    <t>F2</t>
  </si>
  <si>
    <t>F3</t>
  </si>
  <si>
    <t>F4</t>
  </si>
  <si>
    <t>F5</t>
  </si>
  <si>
    <t>F6</t>
  </si>
  <si>
    <t>F7</t>
  </si>
  <si>
    <t>F8</t>
  </si>
  <si>
    <t>P1</t>
  </si>
  <si>
    <t>P2</t>
  </si>
  <si>
    <t>P3</t>
  </si>
  <si>
    <t>P4</t>
  </si>
  <si>
    <t>P5</t>
  </si>
  <si>
    <t>P6</t>
  </si>
  <si>
    <t>P7</t>
  </si>
  <si>
    <t>P8</t>
  </si>
  <si>
    <t>X1</t>
  </si>
  <si>
    <t>X2</t>
  </si>
  <si>
    <t>X3</t>
  </si>
  <si>
    <t>X4</t>
  </si>
  <si>
    <t>X5</t>
  </si>
  <si>
    <t>X6</t>
  </si>
  <si>
    <t>X7</t>
  </si>
  <si>
    <t>X8</t>
  </si>
  <si>
    <t>Anc a</t>
  </si>
  <si>
    <t>Anc b</t>
  </si>
  <si>
    <t>Anc c</t>
  </si>
  <si>
    <t>Anc d</t>
  </si>
  <si>
    <t>G 40 mM + F 40 mM</t>
  </si>
  <si>
    <t>Evo ID</t>
  </si>
  <si>
    <t>Peak Area fru</t>
  </si>
  <si>
    <t>no peak</t>
  </si>
  <si>
    <t>Delta</t>
  </si>
  <si>
    <t>Delta Code</t>
  </si>
  <si>
    <t>Delta mM glucose</t>
  </si>
  <si>
    <t>Delta mM fructose</t>
  </si>
  <si>
    <t>Delta mM lactate</t>
  </si>
  <si>
    <t>Delta mM acetate</t>
  </si>
  <si>
    <t>Delta OD</t>
  </si>
  <si>
    <t>growth rate</t>
  </si>
  <si>
    <t>Delta OD x1000</t>
  </si>
  <si>
    <t>Tube</t>
  </si>
  <si>
    <t>A660 dot</t>
  </si>
  <si>
    <t>A660 orig</t>
  </si>
  <si>
    <t>Dilution in flow cytometer</t>
  </si>
  <si>
    <t>FC cell count</t>
  </si>
  <si>
    <t>NC count</t>
  </si>
  <si>
    <t>FC vol (μL)</t>
  </si>
  <si>
    <t>cells/mL</t>
  </si>
  <si>
    <t>Cell count, m and b</t>
  </si>
  <si>
    <t>Delta cell/mL count</t>
  </si>
  <si>
    <t>FLUX UNITS</t>
  </si>
  <si>
    <t>mM / (cell/mL) * (1/hr)</t>
  </si>
  <si>
    <t>μmol / cell * (1/hr)</t>
  </si>
  <si>
    <t>Extracellular flux fru (mM / (cell/mL) * (1/hr))</t>
  </si>
  <si>
    <t>Extracellular flux glu (mM / (cell/mL) * (1/hr))</t>
  </si>
  <si>
    <t>Extracellular flux lact (mM / (cell/mL) * (1/hr))</t>
  </si>
  <si>
    <t>Extracellular flux ace (mM / (cell/mL) * (1/hr))</t>
  </si>
  <si>
    <t>So, multiplying by 10^9 converts to fmol /cell * (1/hr)</t>
  </si>
  <si>
    <t>Extracellular flux glu (fmol/cell * hr^-1)</t>
  </si>
  <si>
    <t>Extracellular flux fru (fmol/cell * hr^-1)</t>
  </si>
  <si>
    <t>Extracellular flux lact (fmol/cell * hr^-1)</t>
  </si>
  <si>
    <t>Extracellular flux ace (fmol/cell * hr^-1)</t>
  </si>
  <si>
    <t>OD Ad</t>
  </si>
  <si>
    <t>OD Ac</t>
  </si>
  <si>
    <t>OD Ab</t>
  </si>
  <si>
    <t>OD Aa</t>
  </si>
  <si>
    <t>OD 24</t>
  </si>
  <si>
    <t>OD 23</t>
  </si>
  <si>
    <t>OD 22</t>
  </si>
  <si>
    <t>t</t>
  </si>
  <si>
    <t>OD 21</t>
  </si>
  <si>
    <t>OD 20</t>
  </si>
  <si>
    <t>OD 19</t>
  </si>
  <si>
    <t>OD 18</t>
  </si>
  <si>
    <t>OD 17</t>
  </si>
  <si>
    <t>OD 16</t>
  </si>
  <si>
    <t>OD 15</t>
  </si>
  <si>
    <t>OD 14</t>
  </si>
  <si>
    <t>OD 13</t>
  </si>
  <si>
    <t>OD 12</t>
  </si>
  <si>
    <t>OD 11</t>
  </si>
  <si>
    <t>OD 10</t>
  </si>
  <si>
    <t>OD 9</t>
  </si>
  <si>
    <t>OD 8</t>
  </si>
  <si>
    <t>OD 7</t>
  </si>
  <si>
    <t>OD 6</t>
  </si>
  <si>
    <t>OD 5</t>
  </si>
  <si>
    <t>OD 4</t>
  </si>
  <si>
    <t>OD 3</t>
  </si>
  <si>
    <t>OD 2</t>
  </si>
  <si>
    <t>OD Sample 1</t>
  </si>
  <si>
    <t>Δt (hr)</t>
  </si>
  <si>
    <t>Δt</t>
  </si>
  <si>
    <t>Time</t>
  </si>
  <si>
    <t>μ (1/hr)</t>
  </si>
  <si>
    <t>b</t>
  </si>
  <si>
    <t>m</t>
  </si>
  <si>
    <t>Peak Area acetate</t>
  </si>
  <si>
    <t>nmol acetate</t>
  </si>
  <si>
    <t>mM acetate</t>
  </si>
  <si>
    <t>Std number</t>
  </si>
  <si>
    <t>Peak Area lactate</t>
  </si>
  <si>
    <t>nmol lactate</t>
  </si>
  <si>
    <t>mM lactate</t>
  </si>
  <si>
    <t>Acetate</t>
  </si>
  <si>
    <t>Lactate</t>
  </si>
  <si>
    <t>Fru</t>
  </si>
  <si>
    <t>Glu</t>
  </si>
  <si>
    <t>mM fru final</t>
  </si>
  <si>
    <t>mM glu final</t>
  </si>
  <si>
    <t>Dilution</t>
  </si>
  <si>
    <t>mM fru orig</t>
  </si>
  <si>
    <t>mM glu orig</t>
  </si>
  <si>
    <t>lacY</t>
  </si>
  <si>
    <t>Anc</t>
  </si>
  <si>
    <t>GF</t>
  </si>
  <si>
    <t>X</t>
  </si>
  <si>
    <t>P</t>
  </si>
  <si>
    <t>F</t>
  </si>
  <si>
    <t>glcU</t>
  </si>
  <si>
    <t>flux.fru.pos</t>
  </si>
  <si>
    <t>flux.glu.pos</t>
  </si>
  <si>
    <t>flux.ace.0</t>
  </si>
  <si>
    <t>flux.lact.0</t>
  </si>
  <si>
    <t>anc.value.fru.pos</t>
  </si>
  <si>
    <t>anc.value.glu.pos</t>
  </si>
  <si>
    <t>anc.value.ace.0</t>
  </si>
  <si>
    <t>anc.value.lact.0</t>
  </si>
  <si>
    <t>flux.fru.0</t>
  </si>
  <si>
    <t>flux.glu.0</t>
  </si>
  <si>
    <t>flux.ace</t>
  </si>
  <si>
    <t>flux.lact</t>
  </si>
  <si>
    <t>flux.fru</t>
  </si>
  <si>
    <t>flux.glu</t>
  </si>
  <si>
    <t>Importer</t>
  </si>
  <si>
    <t>evo_trt</t>
  </si>
  <si>
    <t>condition_short</t>
  </si>
  <si>
    <t>Evo_ID_2</t>
  </si>
  <si>
    <t>Evo_ID</t>
  </si>
  <si>
    <t>Delta_Code</t>
  </si>
  <si>
    <t>Columns titled "flux.fru.0" and the like:</t>
  </si>
  <si>
    <t>It means that a flux of 0 was set as the minimum; incorrectly positive or negative fluxes (i.e., in the direction that does not make metabolic sense) have been instead set to zero</t>
  </si>
  <si>
    <t>Sample 43</t>
  </si>
  <si>
    <t>Was removed from the dataset:</t>
  </si>
  <si>
    <t>The population appeared to grow without consuming any fructose even though fructose was the sole carbon source; HPLC error inferred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</si>
</sst>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E+00"/>
    <numFmt numFmtId="166" formatCode="h:mm;@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1"/>
    <xf numFmtId="0" fontId="1" fillId="5" borderId="1" xfId="1" applyFill="1"/>
    <xf numFmtId="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1" fontId="0" fillId="0" borderId="0" xfId="0" applyNumberFormat="1"/>
    <xf numFmtId="0" fontId="1" fillId="6" borderId="1" xfId="1" applyFill="1"/>
    <xf numFmtId="20" fontId="0" fillId="0" borderId="0" xfId="0" applyNumberFormat="1"/>
    <xf numFmtId="2" fontId="0" fillId="2" borderId="0" xfId="0" applyNumberFormat="1" applyFill="1"/>
    <xf numFmtId="166" fontId="0" fillId="0" borderId="0" xfId="0" applyNumberFormat="1"/>
    <xf numFmtId="166" fontId="2" fillId="0" borderId="0" xfId="0" applyNumberFormat="1" applyFont="1"/>
    <xf numFmtId="0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 exponential</a:t>
            </a:r>
            <a:r>
              <a:rPr lang="en-US" baseline="0"/>
              <a:t>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values (OD-cell dens)'!$C$2:$C$9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0.996</c:v>
                </c:pt>
                <c:pt idx="2">
                  <c:v>0.745</c:v>
                </c:pt>
                <c:pt idx="3">
                  <c:v>0.66400000000000003</c:v>
                </c:pt>
                <c:pt idx="4">
                  <c:v>0.57299999999999995</c:v>
                </c:pt>
                <c:pt idx="5">
                  <c:v>0.38</c:v>
                </c:pt>
                <c:pt idx="6">
                  <c:v>0.308</c:v>
                </c:pt>
                <c:pt idx="7">
                  <c:v>0.14899999999999999</c:v>
                </c:pt>
              </c:numCache>
            </c:numRef>
          </c:xVal>
          <c:yVal>
            <c:numRef>
              <c:f>'Std curve values (OD-cell dens)'!$H$2:$H$9</c:f>
              <c:numCache>
                <c:formatCode>0.000E+00</c:formatCode>
                <c:ptCount val="8"/>
                <c:pt idx="0">
                  <c:v>245200000</c:v>
                </c:pt>
                <c:pt idx="1">
                  <c:v>204190000</c:v>
                </c:pt>
                <c:pt idx="2">
                  <c:v>147540000</c:v>
                </c:pt>
                <c:pt idx="3">
                  <c:v>125150000</c:v>
                </c:pt>
                <c:pt idx="4">
                  <c:v>105680000</c:v>
                </c:pt>
                <c:pt idx="5">
                  <c:v>66050000</c:v>
                </c:pt>
                <c:pt idx="6">
                  <c:v>60290000</c:v>
                </c:pt>
                <c:pt idx="7">
                  <c:v>29865000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588-8C8D-06C64D9B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24240"/>
        <c:axId val="623723256"/>
      </c:scatterChart>
      <c:valAx>
        <c:axId val="6237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3256"/>
        <c:crosses val="autoZero"/>
        <c:crossBetween val="midCat"/>
      </c:valAx>
      <c:valAx>
        <c:axId val="6237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s8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F)'!$D$9:$D$13</c:f>
              <c:numCache>
                <c:formatCode>0.00</c:formatCode>
                <c:ptCount val="5"/>
                <c:pt idx="0">
                  <c:v>10.716666666666665</c:v>
                </c:pt>
                <c:pt idx="1">
                  <c:v>12.633333333333333</c:v>
                </c:pt>
                <c:pt idx="2">
                  <c:v>14.05</c:v>
                </c:pt>
                <c:pt idx="3">
                  <c:v>16.066666666666666</c:v>
                </c:pt>
                <c:pt idx="4">
                  <c:v>18.833333333333332</c:v>
                </c:pt>
              </c:numCache>
            </c:numRef>
          </c:xVal>
          <c:yVal>
            <c:numRef>
              <c:f>'ΔOD and growth rate (G + F)'!$L$10:$L$13</c:f>
              <c:numCache>
                <c:formatCode>General</c:formatCode>
                <c:ptCount val="4"/>
                <c:pt idx="0">
                  <c:v>172</c:v>
                </c:pt>
                <c:pt idx="1">
                  <c:v>315</c:v>
                </c:pt>
                <c:pt idx="2">
                  <c:v>782</c:v>
                </c:pt>
                <c:pt idx="3">
                  <c:v>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C-4FEB-B223-D99AFFDF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s10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F)'!$D$9:$D$13</c:f>
              <c:numCache>
                <c:formatCode>0.00</c:formatCode>
                <c:ptCount val="5"/>
                <c:pt idx="0">
                  <c:v>10.716666666666665</c:v>
                </c:pt>
                <c:pt idx="1">
                  <c:v>12.633333333333333</c:v>
                </c:pt>
                <c:pt idx="2">
                  <c:v>14.05</c:v>
                </c:pt>
                <c:pt idx="3">
                  <c:v>16.066666666666666</c:v>
                </c:pt>
                <c:pt idx="4">
                  <c:v>18.833333333333332</c:v>
                </c:pt>
              </c:numCache>
            </c:numRef>
          </c:xVal>
          <c:yVal>
            <c:numRef>
              <c:f>'ΔOD and growth rate (G + F)'!$N$9:$N$13</c:f>
              <c:numCache>
                <c:formatCode>General</c:formatCode>
                <c:ptCount val="5"/>
                <c:pt idx="0">
                  <c:v>200</c:v>
                </c:pt>
                <c:pt idx="1">
                  <c:v>421</c:v>
                </c:pt>
                <c:pt idx="2">
                  <c:v>610</c:v>
                </c:pt>
                <c:pt idx="3">
                  <c:v>1016</c:v>
                </c:pt>
                <c:pt idx="4">
                  <c:v>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1-4B09-85EF-B78765F9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s11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F)'!$D$2:$D$9</c:f>
              <c:numCache>
                <c:formatCode>0.00</c:formatCode>
                <c:ptCount val="8"/>
                <c:pt idx="0">
                  <c:v>0</c:v>
                </c:pt>
                <c:pt idx="1">
                  <c:v>2.5833333333333335</c:v>
                </c:pt>
                <c:pt idx="2">
                  <c:v>4.0333333333333332</c:v>
                </c:pt>
                <c:pt idx="3">
                  <c:v>5.0833333333333321</c:v>
                </c:pt>
                <c:pt idx="4">
                  <c:v>6.6499999999999986</c:v>
                </c:pt>
                <c:pt idx="5">
                  <c:v>7.666666666666667</c:v>
                </c:pt>
                <c:pt idx="6">
                  <c:v>9.0666666666666647</c:v>
                </c:pt>
                <c:pt idx="7">
                  <c:v>10.716666666666665</c:v>
                </c:pt>
              </c:numCache>
            </c:numRef>
          </c:xVal>
          <c:yVal>
            <c:numRef>
              <c:f>'ΔOD and growth rate (G + F)'!$O$2:$O$9</c:f>
              <c:numCache>
                <c:formatCode>General</c:formatCode>
                <c:ptCount val="8"/>
                <c:pt idx="0">
                  <c:v>224</c:v>
                </c:pt>
                <c:pt idx="1">
                  <c:v>414</c:v>
                </c:pt>
                <c:pt idx="2">
                  <c:v>476</c:v>
                </c:pt>
                <c:pt idx="3">
                  <c:v>592</c:v>
                </c:pt>
                <c:pt idx="4">
                  <c:v>703</c:v>
                </c:pt>
                <c:pt idx="5">
                  <c:v>888</c:v>
                </c:pt>
                <c:pt idx="6">
                  <c:v>953</c:v>
                </c:pt>
                <c:pt idx="7">
                  <c:v>1110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9-4C32-AA59-BB81D561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s12</a:t>
            </a:r>
          </a:p>
        </c:rich>
      </c:tx>
      <c:layout>
        <c:manualLayout>
          <c:xMode val="edge"/>
          <c:yMode val="edge"/>
          <c:x val="0.4825192360674018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F)'!$D$5:$D$12</c:f>
              <c:numCache>
                <c:formatCode>0.00</c:formatCode>
                <c:ptCount val="8"/>
                <c:pt idx="0">
                  <c:v>5.0833333333333321</c:v>
                </c:pt>
                <c:pt idx="1">
                  <c:v>6.6499999999999986</c:v>
                </c:pt>
                <c:pt idx="2">
                  <c:v>7.666666666666667</c:v>
                </c:pt>
                <c:pt idx="3">
                  <c:v>9.0666666666666647</c:v>
                </c:pt>
                <c:pt idx="4">
                  <c:v>10.716666666666665</c:v>
                </c:pt>
                <c:pt idx="5">
                  <c:v>12.633333333333333</c:v>
                </c:pt>
                <c:pt idx="6">
                  <c:v>14.05</c:v>
                </c:pt>
                <c:pt idx="7">
                  <c:v>16.066666666666666</c:v>
                </c:pt>
              </c:numCache>
            </c:numRef>
          </c:xVal>
          <c:yVal>
            <c:numRef>
              <c:f>'ΔOD and growth rate (G + F)'!$P$6:$P$12</c:f>
              <c:numCache>
                <c:formatCode>General</c:formatCode>
                <c:ptCount val="7"/>
                <c:pt idx="0">
                  <c:v>256</c:v>
                </c:pt>
                <c:pt idx="1">
                  <c:v>351</c:v>
                </c:pt>
                <c:pt idx="2">
                  <c:v>376</c:v>
                </c:pt>
                <c:pt idx="3">
                  <c:v>528</c:v>
                </c:pt>
                <c:pt idx="4">
                  <c:v>789</c:v>
                </c:pt>
                <c:pt idx="5">
                  <c:v>1008</c:v>
                </c:pt>
                <c:pt idx="6">
                  <c:v>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E-4F33-B1FE-43F7AC3B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s13</a:t>
            </a:r>
          </a:p>
        </c:rich>
      </c:tx>
      <c:layout>
        <c:manualLayout>
          <c:xMode val="edge"/>
          <c:yMode val="edge"/>
          <c:x val="0.4825192360674018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F)'!$D$9:$D$13</c:f>
              <c:numCache>
                <c:formatCode>0.00</c:formatCode>
                <c:ptCount val="5"/>
                <c:pt idx="0">
                  <c:v>10.716666666666665</c:v>
                </c:pt>
                <c:pt idx="1">
                  <c:v>12.633333333333333</c:v>
                </c:pt>
                <c:pt idx="2">
                  <c:v>14.05</c:v>
                </c:pt>
                <c:pt idx="3">
                  <c:v>16.066666666666666</c:v>
                </c:pt>
                <c:pt idx="4">
                  <c:v>18.833333333333332</c:v>
                </c:pt>
              </c:numCache>
            </c:numRef>
          </c:xVal>
          <c:yVal>
            <c:numRef>
              <c:f>'ΔOD and growth rate (G + F)'!$Q$9:$Q$13</c:f>
              <c:numCache>
                <c:formatCode>General</c:formatCode>
                <c:ptCount val="5"/>
                <c:pt idx="0">
                  <c:v>196</c:v>
                </c:pt>
                <c:pt idx="1">
                  <c:v>281</c:v>
                </c:pt>
                <c:pt idx="2">
                  <c:v>386</c:v>
                </c:pt>
                <c:pt idx="3">
                  <c:v>647</c:v>
                </c:pt>
                <c:pt idx="4">
                  <c:v>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A-41C8-A158-936509CC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s14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F)'!$D$8:$D$12</c:f>
              <c:numCache>
                <c:formatCode>0.00</c:formatCode>
                <c:ptCount val="5"/>
                <c:pt idx="0">
                  <c:v>9.0666666666666647</c:v>
                </c:pt>
                <c:pt idx="1">
                  <c:v>10.716666666666665</c:v>
                </c:pt>
                <c:pt idx="2">
                  <c:v>12.633333333333333</c:v>
                </c:pt>
                <c:pt idx="3">
                  <c:v>14.05</c:v>
                </c:pt>
                <c:pt idx="4">
                  <c:v>16.066666666666666</c:v>
                </c:pt>
              </c:numCache>
            </c:numRef>
          </c:xVal>
          <c:yVal>
            <c:numRef>
              <c:f>'ΔOD and growth rate (G + F)'!$R$8:$R$12</c:f>
              <c:numCache>
                <c:formatCode>General</c:formatCode>
                <c:ptCount val="5"/>
                <c:pt idx="0">
                  <c:v>227</c:v>
                </c:pt>
                <c:pt idx="1">
                  <c:v>290</c:v>
                </c:pt>
                <c:pt idx="2">
                  <c:v>517</c:v>
                </c:pt>
                <c:pt idx="3">
                  <c:v>760</c:v>
                </c:pt>
                <c:pt idx="4">
                  <c:v>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E-4D50-863F-5A3E1ABC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s15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F)'!$D$3:$D$11</c:f>
              <c:numCache>
                <c:formatCode>0.00</c:formatCode>
                <c:ptCount val="9"/>
                <c:pt idx="0">
                  <c:v>2.5833333333333335</c:v>
                </c:pt>
                <c:pt idx="1">
                  <c:v>4.0333333333333332</c:v>
                </c:pt>
                <c:pt idx="2">
                  <c:v>5.0833333333333321</c:v>
                </c:pt>
                <c:pt idx="3">
                  <c:v>6.6499999999999986</c:v>
                </c:pt>
                <c:pt idx="4">
                  <c:v>7.666666666666667</c:v>
                </c:pt>
                <c:pt idx="5">
                  <c:v>9.0666666666666647</c:v>
                </c:pt>
                <c:pt idx="6">
                  <c:v>10.716666666666665</c:v>
                </c:pt>
                <c:pt idx="7">
                  <c:v>12.633333333333333</c:v>
                </c:pt>
                <c:pt idx="8">
                  <c:v>14.05</c:v>
                </c:pt>
              </c:numCache>
            </c:numRef>
          </c:xVal>
          <c:yVal>
            <c:numRef>
              <c:f>'ΔOD and growth rate (G + F)'!$S$3:$S$11</c:f>
              <c:numCache>
                <c:formatCode>General</c:formatCode>
                <c:ptCount val="9"/>
                <c:pt idx="0">
                  <c:v>130</c:v>
                </c:pt>
                <c:pt idx="1">
                  <c:v>166</c:v>
                </c:pt>
                <c:pt idx="2">
                  <c:v>233</c:v>
                </c:pt>
                <c:pt idx="3">
                  <c:v>354</c:v>
                </c:pt>
                <c:pt idx="4">
                  <c:v>467</c:v>
                </c:pt>
                <c:pt idx="5">
                  <c:v>626</c:v>
                </c:pt>
                <c:pt idx="6">
                  <c:v>857</c:v>
                </c:pt>
                <c:pt idx="7">
                  <c:v>1070</c:v>
                </c:pt>
                <c:pt idx="8">
                  <c:v>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2-469D-8392-614C9A03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s16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F)'!$D$4:$D$11</c:f>
              <c:numCache>
                <c:formatCode>0.00</c:formatCode>
                <c:ptCount val="8"/>
                <c:pt idx="0">
                  <c:v>4.0333333333333332</c:v>
                </c:pt>
                <c:pt idx="1">
                  <c:v>5.0833333333333321</c:v>
                </c:pt>
                <c:pt idx="2">
                  <c:v>6.6499999999999986</c:v>
                </c:pt>
                <c:pt idx="3">
                  <c:v>7.666666666666667</c:v>
                </c:pt>
                <c:pt idx="4">
                  <c:v>9.0666666666666647</c:v>
                </c:pt>
                <c:pt idx="5">
                  <c:v>10.716666666666665</c:v>
                </c:pt>
                <c:pt idx="6">
                  <c:v>12.633333333333333</c:v>
                </c:pt>
                <c:pt idx="7">
                  <c:v>14.05</c:v>
                </c:pt>
              </c:numCache>
            </c:numRef>
          </c:xVal>
          <c:yVal>
            <c:numRef>
              <c:f>'ΔOD and growth rate (G + F)'!$T$4:$T$11</c:f>
              <c:numCache>
                <c:formatCode>General</c:formatCode>
                <c:ptCount val="8"/>
                <c:pt idx="0">
                  <c:v>122</c:v>
                </c:pt>
                <c:pt idx="1">
                  <c:v>159</c:v>
                </c:pt>
                <c:pt idx="2">
                  <c:v>222</c:v>
                </c:pt>
                <c:pt idx="3">
                  <c:v>302</c:v>
                </c:pt>
                <c:pt idx="4">
                  <c:v>446</c:v>
                </c:pt>
                <c:pt idx="5">
                  <c:v>663</c:v>
                </c:pt>
                <c:pt idx="6">
                  <c:v>1029</c:v>
                </c:pt>
                <c:pt idx="7">
                  <c:v>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72-49EA-B364-AAC9BFB4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s17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F)'!$D$9:$D$12</c:f>
              <c:numCache>
                <c:formatCode>0.00</c:formatCode>
                <c:ptCount val="4"/>
                <c:pt idx="0">
                  <c:v>10.716666666666665</c:v>
                </c:pt>
                <c:pt idx="1">
                  <c:v>12.633333333333333</c:v>
                </c:pt>
                <c:pt idx="2">
                  <c:v>14.05</c:v>
                </c:pt>
                <c:pt idx="3">
                  <c:v>16.066666666666666</c:v>
                </c:pt>
              </c:numCache>
            </c:numRef>
          </c:xVal>
          <c:yVal>
            <c:numRef>
              <c:f>'ΔOD and growth rate (G + F)'!$U$9:$U$12</c:f>
              <c:numCache>
                <c:formatCode>General</c:formatCode>
                <c:ptCount val="4"/>
                <c:pt idx="0">
                  <c:v>294</c:v>
                </c:pt>
                <c:pt idx="1">
                  <c:v>522</c:v>
                </c:pt>
                <c:pt idx="2">
                  <c:v>775</c:v>
                </c:pt>
                <c:pt idx="3">
                  <c:v>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5-4B1F-BE8D-2621CFAFD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s18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F)'!$D$11:$D$14</c:f>
              <c:numCache>
                <c:formatCode>0.00</c:formatCode>
                <c:ptCount val="4"/>
                <c:pt idx="0">
                  <c:v>14.05</c:v>
                </c:pt>
                <c:pt idx="1">
                  <c:v>16.066666666666666</c:v>
                </c:pt>
                <c:pt idx="2">
                  <c:v>18.833333333333332</c:v>
                </c:pt>
                <c:pt idx="3">
                  <c:v>21.166666666666664</c:v>
                </c:pt>
              </c:numCache>
            </c:numRef>
          </c:xVal>
          <c:yVal>
            <c:numRef>
              <c:f>'ΔOD and growth rate (G + F)'!$V$11:$V$14</c:f>
              <c:numCache>
                <c:formatCode>General</c:formatCode>
                <c:ptCount val="4"/>
                <c:pt idx="0">
                  <c:v>111</c:v>
                </c:pt>
                <c:pt idx="1">
                  <c:v>293</c:v>
                </c:pt>
                <c:pt idx="2">
                  <c:v>898</c:v>
                </c:pt>
                <c:pt idx="3">
                  <c:v>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C-4095-8ED2-BCA242A9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s9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6044879704224247E-3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F)'!$D$10:$D$13</c:f>
              <c:numCache>
                <c:formatCode>0.00</c:formatCode>
                <c:ptCount val="4"/>
                <c:pt idx="0">
                  <c:v>12.633333333333333</c:v>
                </c:pt>
                <c:pt idx="1">
                  <c:v>14.05</c:v>
                </c:pt>
                <c:pt idx="2">
                  <c:v>16.066666666666666</c:v>
                </c:pt>
                <c:pt idx="3">
                  <c:v>18.833333333333332</c:v>
                </c:pt>
              </c:numCache>
            </c:numRef>
          </c:xVal>
          <c:yVal>
            <c:numRef>
              <c:f>'ΔOD and growth rate (G + F)'!$M$10:$M$13</c:f>
              <c:numCache>
                <c:formatCode>General</c:formatCode>
                <c:ptCount val="4"/>
                <c:pt idx="0">
                  <c:v>141</c:v>
                </c:pt>
                <c:pt idx="1">
                  <c:v>187</c:v>
                </c:pt>
                <c:pt idx="2">
                  <c:v>472</c:v>
                </c:pt>
                <c:pt idx="3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5-49AF-BDDA-74B48596F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s19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F)'!$D$4:$D$9</c:f>
              <c:numCache>
                <c:formatCode>0.00</c:formatCode>
                <c:ptCount val="6"/>
                <c:pt idx="0">
                  <c:v>4.0333333333333332</c:v>
                </c:pt>
                <c:pt idx="1">
                  <c:v>5.0833333333333321</c:v>
                </c:pt>
                <c:pt idx="2">
                  <c:v>6.6499999999999986</c:v>
                </c:pt>
                <c:pt idx="3">
                  <c:v>7.666666666666667</c:v>
                </c:pt>
                <c:pt idx="4">
                  <c:v>9.0666666666666647</c:v>
                </c:pt>
                <c:pt idx="5">
                  <c:v>10.716666666666665</c:v>
                </c:pt>
              </c:numCache>
            </c:numRef>
          </c:xVal>
          <c:yVal>
            <c:numRef>
              <c:f>'ΔOD and growth rate (G + F)'!$W$4:$W$9</c:f>
              <c:numCache>
                <c:formatCode>General</c:formatCode>
                <c:ptCount val="6"/>
                <c:pt idx="0">
                  <c:v>208</c:v>
                </c:pt>
                <c:pt idx="1">
                  <c:v>300</c:v>
                </c:pt>
                <c:pt idx="2">
                  <c:v>548</c:v>
                </c:pt>
                <c:pt idx="3">
                  <c:v>763</c:v>
                </c:pt>
                <c:pt idx="4">
                  <c:v>1007</c:v>
                </c:pt>
                <c:pt idx="5">
                  <c:v>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F-4150-A6A9-E54575A5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s20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F)'!$D$12:$D$14</c:f>
              <c:numCache>
                <c:formatCode>0.00</c:formatCode>
                <c:ptCount val="3"/>
                <c:pt idx="0">
                  <c:v>16.066666666666666</c:v>
                </c:pt>
                <c:pt idx="1">
                  <c:v>18.833333333333332</c:v>
                </c:pt>
                <c:pt idx="2">
                  <c:v>21.166666666666664</c:v>
                </c:pt>
              </c:numCache>
            </c:numRef>
          </c:xVal>
          <c:yVal>
            <c:numRef>
              <c:f>'ΔOD and growth rate (G + F)'!$X$12:$X$14</c:f>
              <c:numCache>
                <c:formatCode>General</c:formatCode>
                <c:ptCount val="3"/>
                <c:pt idx="0">
                  <c:v>165</c:v>
                </c:pt>
                <c:pt idx="1">
                  <c:v>597</c:v>
                </c:pt>
                <c:pt idx="2">
                  <c:v>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7-48D6-80EA-CF4BDA07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s21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F)'!$D$8:$D$11</c:f>
              <c:numCache>
                <c:formatCode>0.00</c:formatCode>
                <c:ptCount val="4"/>
                <c:pt idx="0">
                  <c:v>9.0666666666666647</c:v>
                </c:pt>
                <c:pt idx="1">
                  <c:v>10.716666666666665</c:v>
                </c:pt>
                <c:pt idx="2">
                  <c:v>12.633333333333333</c:v>
                </c:pt>
                <c:pt idx="3">
                  <c:v>14.05</c:v>
                </c:pt>
              </c:numCache>
            </c:numRef>
          </c:xVal>
          <c:yVal>
            <c:numRef>
              <c:f>'ΔOD and growth rate (G + F)'!$Y$8:$Y$11</c:f>
              <c:numCache>
                <c:formatCode>General</c:formatCode>
                <c:ptCount val="4"/>
                <c:pt idx="0">
                  <c:v>282</c:v>
                </c:pt>
                <c:pt idx="1">
                  <c:v>495</c:v>
                </c:pt>
                <c:pt idx="2">
                  <c:v>939</c:v>
                </c:pt>
                <c:pt idx="3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C-4A9C-8EAC-DE6BE24F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s22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F)'!$Z$3:$Z$9</c:f>
              <c:numCache>
                <c:formatCode>0.00</c:formatCode>
                <c:ptCount val="7"/>
                <c:pt idx="0">
                  <c:v>2.5833333333333335</c:v>
                </c:pt>
                <c:pt idx="1">
                  <c:v>4.0333333333333332</c:v>
                </c:pt>
                <c:pt idx="2">
                  <c:v>5.0833333333333321</c:v>
                </c:pt>
                <c:pt idx="3">
                  <c:v>6.6499999999999986</c:v>
                </c:pt>
                <c:pt idx="4">
                  <c:v>7.666666666666667</c:v>
                </c:pt>
                <c:pt idx="5">
                  <c:v>9.0666666666666647</c:v>
                </c:pt>
                <c:pt idx="6">
                  <c:v>10.716666666666665</c:v>
                </c:pt>
              </c:numCache>
            </c:numRef>
          </c:xVal>
          <c:yVal>
            <c:numRef>
              <c:f>'ΔOD and growth rate (G + F)'!$AA$3:$AA$9</c:f>
              <c:numCache>
                <c:formatCode>General</c:formatCode>
                <c:ptCount val="7"/>
                <c:pt idx="0">
                  <c:v>127</c:v>
                </c:pt>
                <c:pt idx="1">
                  <c:v>215</c:v>
                </c:pt>
                <c:pt idx="2">
                  <c:v>310</c:v>
                </c:pt>
                <c:pt idx="3">
                  <c:v>549</c:v>
                </c:pt>
                <c:pt idx="4">
                  <c:v>751</c:v>
                </c:pt>
                <c:pt idx="5">
                  <c:v>951</c:v>
                </c:pt>
                <c:pt idx="6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F-4696-A0AD-8AC5AE5A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s23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F)'!$Z$7:$Z$12</c:f>
              <c:numCache>
                <c:formatCode>0.00</c:formatCode>
                <c:ptCount val="6"/>
                <c:pt idx="0">
                  <c:v>7.666666666666667</c:v>
                </c:pt>
                <c:pt idx="1">
                  <c:v>9.0666666666666647</c:v>
                </c:pt>
                <c:pt idx="2">
                  <c:v>10.716666666666665</c:v>
                </c:pt>
                <c:pt idx="3">
                  <c:v>12.633333333333333</c:v>
                </c:pt>
                <c:pt idx="4">
                  <c:v>14.05</c:v>
                </c:pt>
                <c:pt idx="5">
                  <c:v>16.066666666666666</c:v>
                </c:pt>
              </c:numCache>
            </c:numRef>
          </c:xVal>
          <c:yVal>
            <c:numRef>
              <c:f>'ΔOD and growth rate (G + F)'!$AB$7:$AB$12</c:f>
              <c:numCache>
                <c:formatCode>General</c:formatCode>
                <c:ptCount val="6"/>
                <c:pt idx="0">
                  <c:v>156</c:v>
                </c:pt>
                <c:pt idx="1">
                  <c:v>268</c:v>
                </c:pt>
                <c:pt idx="2">
                  <c:v>456</c:v>
                </c:pt>
                <c:pt idx="3">
                  <c:v>787</c:v>
                </c:pt>
                <c:pt idx="4">
                  <c:v>1050</c:v>
                </c:pt>
                <c:pt idx="5">
                  <c:v>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D-4D54-9446-C21118604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s24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F)'!$Z$7:$Z$12</c:f>
              <c:numCache>
                <c:formatCode>0.00</c:formatCode>
                <c:ptCount val="6"/>
                <c:pt idx="0">
                  <c:v>7.666666666666667</c:v>
                </c:pt>
                <c:pt idx="1">
                  <c:v>9.0666666666666647</c:v>
                </c:pt>
                <c:pt idx="2">
                  <c:v>10.716666666666665</c:v>
                </c:pt>
                <c:pt idx="3">
                  <c:v>12.633333333333333</c:v>
                </c:pt>
                <c:pt idx="4">
                  <c:v>14.05</c:v>
                </c:pt>
                <c:pt idx="5">
                  <c:v>16.066666666666666</c:v>
                </c:pt>
              </c:numCache>
            </c:numRef>
          </c:xVal>
          <c:yVal>
            <c:numRef>
              <c:f>'ΔOD and growth rate (G + F)'!$AC$7:$AC$12</c:f>
              <c:numCache>
                <c:formatCode>General</c:formatCode>
                <c:ptCount val="6"/>
                <c:pt idx="0">
                  <c:v>151</c:v>
                </c:pt>
                <c:pt idx="1">
                  <c:v>245</c:v>
                </c:pt>
                <c:pt idx="2">
                  <c:v>403</c:v>
                </c:pt>
                <c:pt idx="3">
                  <c:v>701</c:v>
                </c:pt>
                <c:pt idx="4">
                  <c:v>991</c:v>
                </c:pt>
                <c:pt idx="5">
                  <c:v>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D-4A06-8184-25EE5E16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sAa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F)'!$Z$3:$Z$17</c:f>
              <c:numCache>
                <c:formatCode>0.00</c:formatCode>
                <c:ptCount val="15"/>
                <c:pt idx="0">
                  <c:v>2.5833333333333335</c:v>
                </c:pt>
                <c:pt idx="1">
                  <c:v>4.0333333333333332</c:v>
                </c:pt>
                <c:pt idx="2">
                  <c:v>5.0833333333333321</c:v>
                </c:pt>
                <c:pt idx="3">
                  <c:v>6.6499999999999986</c:v>
                </c:pt>
                <c:pt idx="4">
                  <c:v>7.666666666666667</c:v>
                </c:pt>
                <c:pt idx="5">
                  <c:v>9.0666666666666647</c:v>
                </c:pt>
                <c:pt idx="6">
                  <c:v>10.716666666666665</c:v>
                </c:pt>
                <c:pt idx="7">
                  <c:v>12.633333333333333</c:v>
                </c:pt>
                <c:pt idx="8">
                  <c:v>14.05</c:v>
                </c:pt>
                <c:pt idx="9">
                  <c:v>16.066666666666666</c:v>
                </c:pt>
                <c:pt idx="10">
                  <c:v>18.833333333333332</c:v>
                </c:pt>
                <c:pt idx="11">
                  <c:v>21.166666666666664</c:v>
                </c:pt>
                <c:pt idx="12">
                  <c:v>24.483333333333331</c:v>
                </c:pt>
                <c:pt idx="13">
                  <c:v>27.566666666666666</c:v>
                </c:pt>
                <c:pt idx="14">
                  <c:v>30.616666666666667</c:v>
                </c:pt>
              </c:numCache>
            </c:numRef>
          </c:xVal>
          <c:yVal>
            <c:numRef>
              <c:f>'ΔOD and growth rate (G + F)'!$AD$3:$AD$17</c:f>
              <c:numCache>
                <c:formatCode>General</c:formatCode>
                <c:ptCount val="15"/>
                <c:pt idx="0">
                  <c:v>198</c:v>
                </c:pt>
                <c:pt idx="1">
                  <c:v>216</c:v>
                </c:pt>
                <c:pt idx="2">
                  <c:v>250</c:v>
                </c:pt>
                <c:pt idx="3">
                  <c:v>285</c:v>
                </c:pt>
                <c:pt idx="4">
                  <c:v>337</c:v>
                </c:pt>
                <c:pt idx="5">
                  <c:v>375</c:v>
                </c:pt>
                <c:pt idx="6">
                  <c:v>410</c:v>
                </c:pt>
                <c:pt idx="7">
                  <c:v>470</c:v>
                </c:pt>
                <c:pt idx="8">
                  <c:v>530</c:v>
                </c:pt>
                <c:pt idx="9">
                  <c:v>567</c:v>
                </c:pt>
                <c:pt idx="10">
                  <c:v>605</c:v>
                </c:pt>
                <c:pt idx="11">
                  <c:v>649</c:v>
                </c:pt>
                <c:pt idx="12">
                  <c:v>751</c:v>
                </c:pt>
                <c:pt idx="13">
                  <c:v>855</c:v>
                </c:pt>
                <c:pt idx="14">
                  <c:v>1032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2-4141-BBC3-377D5450A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F)'!$Z$6:$Z$17</c:f>
              <c:numCache>
                <c:formatCode>0.00</c:formatCode>
                <c:ptCount val="12"/>
                <c:pt idx="0">
                  <c:v>6.6499999999999986</c:v>
                </c:pt>
                <c:pt idx="1">
                  <c:v>7.666666666666667</c:v>
                </c:pt>
                <c:pt idx="2">
                  <c:v>9.0666666666666647</c:v>
                </c:pt>
                <c:pt idx="3">
                  <c:v>10.716666666666665</c:v>
                </c:pt>
                <c:pt idx="4">
                  <c:v>12.633333333333333</c:v>
                </c:pt>
                <c:pt idx="5">
                  <c:v>14.05</c:v>
                </c:pt>
                <c:pt idx="6">
                  <c:v>16.066666666666666</c:v>
                </c:pt>
                <c:pt idx="7">
                  <c:v>18.833333333333332</c:v>
                </c:pt>
                <c:pt idx="8">
                  <c:v>21.166666666666664</c:v>
                </c:pt>
                <c:pt idx="9">
                  <c:v>24.483333333333331</c:v>
                </c:pt>
                <c:pt idx="10">
                  <c:v>27.566666666666666</c:v>
                </c:pt>
                <c:pt idx="11">
                  <c:v>30.616666666666667</c:v>
                </c:pt>
              </c:numCache>
            </c:numRef>
          </c:xVal>
          <c:yVal>
            <c:numRef>
              <c:f>'ΔOD and growth rate (G + F)'!$AF$6:$AF$17</c:f>
              <c:numCache>
                <c:formatCode>General</c:formatCode>
                <c:ptCount val="12"/>
                <c:pt idx="0">
                  <c:v>119</c:v>
                </c:pt>
                <c:pt idx="1">
                  <c:v>156</c:v>
                </c:pt>
                <c:pt idx="2">
                  <c:v>181</c:v>
                </c:pt>
                <c:pt idx="3">
                  <c:v>239</c:v>
                </c:pt>
                <c:pt idx="4">
                  <c:v>348</c:v>
                </c:pt>
                <c:pt idx="5">
                  <c:v>349</c:v>
                </c:pt>
                <c:pt idx="6">
                  <c:v>431</c:v>
                </c:pt>
                <c:pt idx="7">
                  <c:v>531</c:v>
                </c:pt>
                <c:pt idx="8">
                  <c:v>616</c:v>
                </c:pt>
                <c:pt idx="9">
                  <c:v>731</c:v>
                </c:pt>
                <c:pt idx="10">
                  <c:v>881</c:v>
                </c:pt>
                <c:pt idx="11">
                  <c:v>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4-4D8F-B7E7-208D4588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sAb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F)'!$Z$6:$Z$17</c:f>
              <c:numCache>
                <c:formatCode>0.00</c:formatCode>
                <c:ptCount val="12"/>
                <c:pt idx="0">
                  <c:v>6.6499999999999986</c:v>
                </c:pt>
                <c:pt idx="1">
                  <c:v>7.666666666666667</c:v>
                </c:pt>
                <c:pt idx="2">
                  <c:v>9.0666666666666647</c:v>
                </c:pt>
                <c:pt idx="3">
                  <c:v>10.716666666666665</c:v>
                </c:pt>
                <c:pt idx="4">
                  <c:v>12.633333333333333</c:v>
                </c:pt>
                <c:pt idx="5">
                  <c:v>14.05</c:v>
                </c:pt>
                <c:pt idx="6">
                  <c:v>16.066666666666666</c:v>
                </c:pt>
                <c:pt idx="7">
                  <c:v>18.833333333333332</c:v>
                </c:pt>
                <c:pt idx="8">
                  <c:v>21.166666666666664</c:v>
                </c:pt>
                <c:pt idx="9">
                  <c:v>24.483333333333331</c:v>
                </c:pt>
                <c:pt idx="10">
                  <c:v>27.566666666666666</c:v>
                </c:pt>
                <c:pt idx="11">
                  <c:v>30.616666666666667</c:v>
                </c:pt>
              </c:numCache>
            </c:numRef>
          </c:xVal>
          <c:yVal>
            <c:numRef>
              <c:f>'ΔOD and growth rate (G + F)'!$AE$6:$AE$17</c:f>
              <c:numCache>
                <c:formatCode>General</c:formatCode>
                <c:ptCount val="12"/>
                <c:pt idx="0">
                  <c:v>208</c:v>
                </c:pt>
                <c:pt idx="1">
                  <c:v>235</c:v>
                </c:pt>
                <c:pt idx="2">
                  <c:v>268</c:v>
                </c:pt>
                <c:pt idx="3">
                  <c:v>320</c:v>
                </c:pt>
                <c:pt idx="4">
                  <c:v>390</c:v>
                </c:pt>
                <c:pt idx="5">
                  <c:v>427</c:v>
                </c:pt>
                <c:pt idx="6">
                  <c:v>507</c:v>
                </c:pt>
                <c:pt idx="7">
                  <c:v>568</c:v>
                </c:pt>
                <c:pt idx="8">
                  <c:v>597</c:v>
                </c:pt>
                <c:pt idx="9">
                  <c:v>730</c:v>
                </c:pt>
                <c:pt idx="10">
                  <c:v>831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2-43E0-ADAF-DFF4F65D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sAd</a:t>
            </a:r>
          </a:p>
        </c:rich>
      </c:tx>
      <c:layout>
        <c:manualLayout>
          <c:xMode val="edge"/>
          <c:yMode val="edge"/>
          <c:x val="0.476956577537108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F)'!$Z$6:$Z$17</c:f>
              <c:numCache>
                <c:formatCode>0.00</c:formatCode>
                <c:ptCount val="12"/>
                <c:pt idx="0">
                  <c:v>6.6499999999999986</c:v>
                </c:pt>
                <c:pt idx="1">
                  <c:v>7.666666666666667</c:v>
                </c:pt>
                <c:pt idx="2">
                  <c:v>9.0666666666666647</c:v>
                </c:pt>
                <c:pt idx="3">
                  <c:v>10.716666666666665</c:v>
                </c:pt>
                <c:pt idx="4">
                  <c:v>12.633333333333333</c:v>
                </c:pt>
                <c:pt idx="5">
                  <c:v>14.05</c:v>
                </c:pt>
                <c:pt idx="6">
                  <c:v>16.066666666666666</c:v>
                </c:pt>
                <c:pt idx="7">
                  <c:v>18.833333333333332</c:v>
                </c:pt>
                <c:pt idx="8">
                  <c:v>21.166666666666664</c:v>
                </c:pt>
                <c:pt idx="9">
                  <c:v>24.483333333333331</c:v>
                </c:pt>
                <c:pt idx="10">
                  <c:v>27.566666666666666</c:v>
                </c:pt>
                <c:pt idx="11">
                  <c:v>30.616666666666667</c:v>
                </c:pt>
              </c:numCache>
            </c:numRef>
          </c:xVal>
          <c:yVal>
            <c:numRef>
              <c:f>'ΔOD and growth rate (G + F)'!$AG$6:$AG$17</c:f>
              <c:numCache>
                <c:formatCode>General</c:formatCode>
                <c:ptCount val="12"/>
                <c:pt idx="0">
                  <c:v>185</c:v>
                </c:pt>
                <c:pt idx="1">
                  <c:v>208</c:v>
                </c:pt>
                <c:pt idx="2">
                  <c:v>257</c:v>
                </c:pt>
                <c:pt idx="3">
                  <c:v>315</c:v>
                </c:pt>
                <c:pt idx="4">
                  <c:v>352</c:v>
                </c:pt>
                <c:pt idx="5">
                  <c:v>395</c:v>
                </c:pt>
                <c:pt idx="6">
                  <c:v>454</c:v>
                </c:pt>
                <c:pt idx="7">
                  <c:v>526</c:v>
                </c:pt>
                <c:pt idx="8">
                  <c:v>624</c:v>
                </c:pt>
                <c:pt idx="9">
                  <c:v>790</c:v>
                </c:pt>
                <c:pt idx="10">
                  <c:v>986</c:v>
                </c:pt>
                <c:pt idx="11">
                  <c:v>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6-4AB3-9B75-8F4BDBA8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F)'!$D$2:$D$5</c:f>
              <c:numCache>
                <c:formatCode>0.00</c:formatCode>
                <c:ptCount val="4"/>
                <c:pt idx="0">
                  <c:v>0</c:v>
                </c:pt>
                <c:pt idx="1">
                  <c:v>2.5833333333333335</c:v>
                </c:pt>
                <c:pt idx="2">
                  <c:v>4.0333333333333332</c:v>
                </c:pt>
                <c:pt idx="3">
                  <c:v>5.0833333333333321</c:v>
                </c:pt>
              </c:numCache>
            </c:numRef>
          </c:xVal>
          <c:yVal>
            <c:numRef>
              <c:f>'ΔOD and growth rate (G + F)'!$E$2:$E$5</c:f>
              <c:numCache>
                <c:formatCode>General</c:formatCode>
                <c:ptCount val="4"/>
                <c:pt idx="0">
                  <c:v>227</c:v>
                </c:pt>
                <c:pt idx="1">
                  <c:v>486</c:v>
                </c:pt>
                <c:pt idx="2">
                  <c:v>805</c:v>
                </c:pt>
                <c:pt idx="3">
                  <c:v>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2-4FDC-BC27-3D24DC6B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s9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(F)'!$D$2:$D$13</c:f>
              <c:numCache>
                <c:formatCode>0.00</c:formatCode>
                <c:ptCount val="12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  <c:pt idx="5">
                  <c:v>6.6999999999999984</c:v>
                </c:pt>
                <c:pt idx="6">
                  <c:v>8.0166666666666657</c:v>
                </c:pt>
                <c:pt idx="7">
                  <c:v>9.3499999999999979</c:v>
                </c:pt>
                <c:pt idx="8">
                  <c:v>11</c:v>
                </c:pt>
                <c:pt idx="9">
                  <c:v>12.883333333333333</c:v>
                </c:pt>
                <c:pt idx="10">
                  <c:v>14.35</c:v>
                </c:pt>
                <c:pt idx="11">
                  <c:v>16.366666666666667</c:v>
                </c:pt>
              </c:numCache>
            </c:numRef>
          </c:xVal>
          <c:yVal>
            <c:numRef>
              <c:f>'ΔOD and growth rate (F)'!$M$2:$M$13</c:f>
              <c:numCache>
                <c:formatCode>General</c:formatCode>
                <c:ptCount val="12"/>
                <c:pt idx="0">
                  <c:v>79</c:v>
                </c:pt>
                <c:pt idx="1">
                  <c:v>143</c:v>
                </c:pt>
                <c:pt idx="2">
                  <c:v>177</c:v>
                </c:pt>
                <c:pt idx="3">
                  <c:v>212</c:v>
                </c:pt>
                <c:pt idx="5">
                  <c:v>276</c:v>
                </c:pt>
                <c:pt idx="6">
                  <c:v>369</c:v>
                </c:pt>
                <c:pt idx="7">
                  <c:v>464</c:v>
                </c:pt>
                <c:pt idx="8">
                  <c:v>595</c:v>
                </c:pt>
                <c:pt idx="9">
                  <c:v>777</c:v>
                </c:pt>
                <c:pt idx="10">
                  <c:v>901</c:v>
                </c:pt>
                <c:pt idx="11">
                  <c:v>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6-4460-8C5C-2203AF26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s10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(F)'!$D$10:$D$19</c:f>
              <c:numCache>
                <c:formatCode>0.00</c:formatCode>
                <c:ptCount val="10"/>
                <c:pt idx="0">
                  <c:v>11</c:v>
                </c:pt>
                <c:pt idx="1">
                  <c:v>12.883333333333333</c:v>
                </c:pt>
                <c:pt idx="2">
                  <c:v>14.35</c:v>
                </c:pt>
                <c:pt idx="3">
                  <c:v>16.366666666666667</c:v>
                </c:pt>
                <c:pt idx="4">
                  <c:v>19.100000000000001</c:v>
                </c:pt>
                <c:pt idx="5">
                  <c:v>21.25</c:v>
                </c:pt>
                <c:pt idx="6">
                  <c:v>24.549999999999997</c:v>
                </c:pt>
                <c:pt idx="7">
                  <c:v>27.733333333333331</c:v>
                </c:pt>
                <c:pt idx="8">
                  <c:v>30.699999999999996</c:v>
                </c:pt>
                <c:pt idx="9">
                  <c:v>35.083333333333329</c:v>
                </c:pt>
              </c:numCache>
            </c:numRef>
          </c:xVal>
          <c:yVal>
            <c:numRef>
              <c:f>'ΔOD and growth rate (F)'!$O$10:$O$19</c:f>
              <c:numCache>
                <c:formatCode>General</c:formatCode>
                <c:ptCount val="10"/>
                <c:pt idx="0">
                  <c:v>179</c:v>
                </c:pt>
                <c:pt idx="1">
                  <c:v>258</c:v>
                </c:pt>
                <c:pt idx="2">
                  <c:v>276</c:v>
                </c:pt>
                <c:pt idx="3">
                  <c:v>341</c:v>
                </c:pt>
                <c:pt idx="4">
                  <c:v>412</c:v>
                </c:pt>
                <c:pt idx="5">
                  <c:v>452</c:v>
                </c:pt>
                <c:pt idx="6">
                  <c:v>587</c:v>
                </c:pt>
                <c:pt idx="7">
                  <c:v>662</c:v>
                </c:pt>
                <c:pt idx="8">
                  <c:v>742</c:v>
                </c:pt>
                <c:pt idx="9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F-4CE6-B289-9EAB478D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s13</a:t>
            </a:r>
          </a:p>
        </c:rich>
      </c:tx>
      <c:layout>
        <c:manualLayout>
          <c:xMode val="edge"/>
          <c:yMode val="edge"/>
          <c:x val="0.47710207936687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(F)'!$D$5:$D$13</c:f>
              <c:numCache>
                <c:formatCode>0.00</c:formatCode>
                <c:ptCount val="9"/>
                <c:pt idx="0">
                  <c:v>5.0666666666666655</c:v>
                </c:pt>
                <c:pt idx="1">
                  <c:v>6.0666666666666647</c:v>
                </c:pt>
                <c:pt idx="2">
                  <c:v>6.6999999999999984</c:v>
                </c:pt>
                <c:pt idx="3">
                  <c:v>8.0166666666666657</c:v>
                </c:pt>
                <c:pt idx="4">
                  <c:v>9.3499999999999979</c:v>
                </c:pt>
                <c:pt idx="5">
                  <c:v>11</c:v>
                </c:pt>
                <c:pt idx="6">
                  <c:v>12.883333333333333</c:v>
                </c:pt>
                <c:pt idx="7">
                  <c:v>14.35</c:v>
                </c:pt>
                <c:pt idx="8">
                  <c:v>16.366666666666667</c:v>
                </c:pt>
              </c:numCache>
            </c:numRef>
          </c:xVal>
          <c:yVal>
            <c:numRef>
              <c:f>'ΔOD and growth rate (F)'!$Q$5:$Q$13</c:f>
              <c:numCache>
                <c:formatCode>General</c:formatCode>
                <c:ptCount val="9"/>
                <c:pt idx="0">
                  <c:v>200</c:v>
                </c:pt>
                <c:pt idx="2">
                  <c:v>278</c:v>
                </c:pt>
                <c:pt idx="3">
                  <c:v>378</c:v>
                </c:pt>
                <c:pt idx="4">
                  <c:v>522</c:v>
                </c:pt>
                <c:pt idx="5">
                  <c:v>677</c:v>
                </c:pt>
                <c:pt idx="6">
                  <c:v>867</c:v>
                </c:pt>
                <c:pt idx="7">
                  <c:v>956</c:v>
                </c:pt>
                <c:pt idx="8">
                  <c:v>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0-4DAA-9754-AD9281A6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s16</a:t>
            </a:r>
          </a:p>
        </c:rich>
      </c:tx>
      <c:layout>
        <c:manualLayout>
          <c:xMode val="edge"/>
          <c:yMode val="edge"/>
          <c:x val="0.47710207936687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(F)'!$D$8:$D$13</c:f>
              <c:numCache>
                <c:formatCode>0.00</c:formatCode>
                <c:ptCount val="6"/>
                <c:pt idx="0">
                  <c:v>8.0166666666666657</c:v>
                </c:pt>
                <c:pt idx="1">
                  <c:v>9.3499999999999979</c:v>
                </c:pt>
                <c:pt idx="2">
                  <c:v>11</c:v>
                </c:pt>
                <c:pt idx="3">
                  <c:v>12.883333333333333</c:v>
                </c:pt>
                <c:pt idx="4">
                  <c:v>14.35</c:v>
                </c:pt>
                <c:pt idx="5">
                  <c:v>16.366666666666667</c:v>
                </c:pt>
              </c:numCache>
            </c:numRef>
          </c:xVal>
          <c:yVal>
            <c:numRef>
              <c:f>'ΔOD and growth rate (F)'!$T$8:$T$13</c:f>
              <c:numCache>
                <c:formatCode>General</c:formatCode>
                <c:ptCount val="6"/>
                <c:pt idx="0">
                  <c:v>265</c:v>
                </c:pt>
                <c:pt idx="1">
                  <c:v>345</c:v>
                </c:pt>
                <c:pt idx="2">
                  <c:v>541</c:v>
                </c:pt>
                <c:pt idx="3">
                  <c:v>627</c:v>
                </c:pt>
                <c:pt idx="4">
                  <c:v>810</c:v>
                </c:pt>
                <c:pt idx="5">
                  <c:v>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3-4FE5-B2B0-872A5871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s17</a:t>
            </a:r>
          </a:p>
        </c:rich>
      </c:tx>
      <c:layout>
        <c:manualLayout>
          <c:xMode val="edge"/>
          <c:yMode val="edge"/>
          <c:x val="0.47710207936687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82821632999516E-2"/>
          <c:y val="0.19486111111111112"/>
          <c:w val="0.8485460934078039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(F)'!$D$2:$D$12</c:f>
              <c:numCache>
                <c:formatCode>0.00</c:formatCode>
                <c:ptCount val="11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  <c:pt idx="5">
                  <c:v>6.6999999999999984</c:v>
                </c:pt>
                <c:pt idx="6">
                  <c:v>8.0166666666666657</c:v>
                </c:pt>
                <c:pt idx="7">
                  <c:v>9.3499999999999979</c:v>
                </c:pt>
                <c:pt idx="8">
                  <c:v>11</c:v>
                </c:pt>
                <c:pt idx="9">
                  <c:v>12.883333333333333</c:v>
                </c:pt>
                <c:pt idx="10">
                  <c:v>14.35</c:v>
                </c:pt>
              </c:numCache>
            </c:numRef>
          </c:xVal>
          <c:yVal>
            <c:numRef>
              <c:f>'ΔOD and growth rate (F)'!$U$2:$U$12</c:f>
              <c:numCache>
                <c:formatCode>General</c:formatCode>
                <c:ptCount val="11"/>
                <c:pt idx="0">
                  <c:v>161</c:v>
                </c:pt>
                <c:pt idx="1">
                  <c:v>301</c:v>
                </c:pt>
                <c:pt idx="2">
                  <c:v>403</c:v>
                </c:pt>
                <c:pt idx="3">
                  <c:v>448</c:v>
                </c:pt>
                <c:pt idx="5">
                  <c:v>542</c:v>
                </c:pt>
                <c:pt idx="6">
                  <c:v>614</c:v>
                </c:pt>
                <c:pt idx="7">
                  <c:v>700</c:v>
                </c:pt>
                <c:pt idx="8">
                  <c:v>785</c:v>
                </c:pt>
                <c:pt idx="9">
                  <c:v>860</c:v>
                </c:pt>
                <c:pt idx="10">
                  <c:v>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3-49FA-8A63-A2AA8F32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s22</a:t>
            </a:r>
          </a:p>
        </c:rich>
      </c:tx>
      <c:layout>
        <c:manualLayout>
          <c:xMode val="edge"/>
          <c:yMode val="edge"/>
          <c:x val="0.4798890226036457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(F)'!$AC$2:$AC$9</c:f>
              <c:numCache>
                <c:formatCode>0.00</c:formatCode>
                <c:ptCount val="8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  <c:pt idx="5">
                  <c:v>6.6999999999999984</c:v>
                </c:pt>
                <c:pt idx="6">
                  <c:v>8.0166666666666657</c:v>
                </c:pt>
                <c:pt idx="7">
                  <c:v>9.3499999999999979</c:v>
                </c:pt>
              </c:numCache>
            </c:numRef>
          </c:xVal>
          <c:yVal>
            <c:numRef>
              <c:f>'ΔOD and growth rate (F)'!$Z$2:$Z$9</c:f>
              <c:numCache>
                <c:formatCode>General</c:formatCode>
                <c:ptCount val="8"/>
                <c:pt idx="0">
                  <c:v>99</c:v>
                </c:pt>
                <c:pt idx="1">
                  <c:v>283</c:v>
                </c:pt>
                <c:pt idx="2">
                  <c:v>266</c:v>
                </c:pt>
                <c:pt idx="3">
                  <c:v>552</c:v>
                </c:pt>
                <c:pt idx="5">
                  <c:v>759</c:v>
                </c:pt>
                <c:pt idx="6">
                  <c:v>850</c:v>
                </c:pt>
                <c:pt idx="7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8-4C4B-B254-A593EF47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sAd</a:t>
            </a:r>
          </a:p>
        </c:rich>
      </c:tx>
      <c:layout>
        <c:manualLayout>
          <c:xMode val="edge"/>
          <c:yMode val="edge"/>
          <c:x val="0.4798890226036457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(F)'!$AC$15:$AC$20</c:f>
              <c:numCache>
                <c:formatCode>0.00</c:formatCode>
                <c:ptCount val="6"/>
                <c:pt idx="0">
                  <c:v>21.25</c:v>
                </c:pt>
                <c:pt idx="1">
                  <c:v>24.549999999999997</c:v>
                </c:pt>
                <c:pt idx="2">
                  <c:v>27.733333333333331</c:v>
                </c:pt>
                <c:pt idx="3">
                  <c:v>30.699999999999996</c:v>
                </c:pt>
                <c:pt idx="4">
                  <c:v>35.083333333333329</c:v>
                </c:pt>
                <c:pt idx="5">
                  <c:v>42.216666666666661</c:v>
                </c:pt>
              </c:numCache>
            </c:numRef>
          </c:xVal>
          <c:yVal>
            <c:numRef>
              <c:f>'ΔOD and growth rate (F)'!$AG$15:$AG$20</c:f>
              <c:numCache>
                <c:formatCode>General</c:formatCode>
                <c:ptCount val="6"/>
                <c:pt idx="0">
                  <c:v>82</c:v>
                </c:pt>
                <c:pt idx="1">
                  <c:v>110</c:v>
                </c:pt>
                <c:pt idx="2">
                  <c:v>130</c:v>
                </c:pt>
                <c:pt idx="3">
                  <c:v>131</c:v>
                </c:pt>
                <c:pt idx="4">
                  <c:v>146</c:v>
                </c:pt>
                <c:pt idx="5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A-4AE2-86C6-969420D0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s15</a:t>
            </a:r>
          </a:p>
        </c:rich>
      </c:tx>
      <c:layout>
        <c:manualLayout>
          <c:xMode val="edge"/>
          <c:yMode val="edge"/>
          <c:x val="0.47710207936687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82821632999516E-2"/>
          <c:y val="2.5428331875182269E-2"/>
          <c:w val="0.8485460934078039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(F)'!$D$2:$D$9</c:f>
              <c:numCache>
                <c:formatCode>0.00</c:formatCode>
                <c:ptCount val="8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  <c:pt idx="5">
                  <c:v>6.6999999999999984</c:v>
                </c:pt>
                <c:pt idx="6">
                  <c:v>8.0166666666666657</c:v>
                </c:pt>
                <c:pt idx="7">
                  <c:v>9.3499999999999979</c:v>
                </c:pt>
              </c:numCache>
            </c:numRef>
          </c:xVal>
          <c:yVal>
            <c:numRef>
              <c:f>'ΔOD and growth rate (F)'!$S$2:$S$9</c:f>
              <c:numCache>
                <c:formatCode>General</c:formatCode>
                <c:ptCount val="8"/>
                <c:pt idx="0">
                  <c:v>142</c:v>
                </c:pt>
                <c:pt idx="1">
                  <c:v>332</c:v>
                </c:pt>
                <c:pt idx="2">
                  <c:v>462</c:v>
                </c:pt>
                <c:pt idx="3">
                  <c:v>605</c:v>
                </c:pt>
                <c:pt idx="5">
                  <c:v>868</c:v>
                </c:pt>
                <c:pt idx="6">
                  <c:v>1117</c:v>
                </c:pt>
                <c:pt idx="7">
                  <c:v>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B-4275-B825-FCC0A842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s18</a:t>
            </a:r>
          </a:p>
        </c:rich>
      </c:tx>
      <c:layout>
        <c:manualLayout>
          <c:xMode val="edge"/>
          <c:yMode val="edge"/>
          <c:x val="0.47710207936687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(F)'!$D$2:$D$6</c:f>
              <c:numCache>
                <c:formatCode>0.00</c:formatCode>
                <c:ptCount val="5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</c:numCache>
            </c:numRef>
          </c:xVal>
          <c:yVal>
            <c:numRef>
              <c:f>'ΔOD and growth rate (F)'!$V$2:$V$6</c:f>
              <c:numCache>
                <c:formatCode>General</c:formatCode>
                <c:ptCount val="5"/>
                <c:pt idx="0">
                  <c:v>243</c:v>
                </c:pt>
                <c:pt idx="1">
                  <c:v>598</c:v>
                </c:pt>
                <c:pt idx="2">
                  <c:v>716</c:v>
                </c:pt>
                <c:pt idx="3">
                  <c:v>834</c:v>
                </c:pt>
                <c:pt idx="4">
                  <c:v>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A-4DD1-8A7D-BE047ED7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00526525781858E-2"/>
          <c:y val="2.5428331875182269E-2"/>
          <c:w val="0.8487047604391566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(F)'!$D$3:$D$10</c:f>
              <c:numCache>
                <c:formatCode>0.00</c:formatCode>
                <c:ptCount val="8"/>
                <c:pt idx="0">
                  <c:v>2.8499999999999992</c:v>
                </c:pt>
                <c:pt idx="1">
                  <c:v>4.0166666666666639</c:v>
                </c:pt>
                <c:pt idx="2">
                  <c:v>5.0666666666666655</c:v>
                </c:pt>
                <c:pt idx="3">
                  <c:v>6.0666666666666647</c:v>
                </c:pt>
                <c:pt idx="4">
                  <c:v>6.6999999999999984</c:v>
                </c:pt>
                <c:pt idx="5">
                  <c:v>8.0166666666666657</c:v>
                </c:pt>
                <c:pt idx="6">
                  <c:v>9.3499999999999979</c:v>
                </c:pt>
                <c:pt idx="7">
                  <c:v>11</c:v>
                </c:pt>
              </c:numCache>
            </c:numRef>
          </c:xVal>
          <c:yVal>
            <c:numRef>
              <c:f>'ΔOD and growth rate (F)'!$E$3:$E$10</c:f>
              <c:numCache>
                <c:formatCode>General</c:formatCode>
                <c:ptCount val="8"/>
                <c:pt idx="0">
                  <c:v>238</c:v>
                </c:pt>
                <c:pt idx="1">
                  <c:v>294</c:v>
                </c:pt>
                <c:pt idx="2">
                  <c:v>437</c:v>
                </c:pt>
                <c:pt idx="4">
                  <c:v>528</c:v>
                </c:pt>
                <c:pt idx="5">
                  <c:v>728</c:v>
                </c:pt>
                <c:pt idx="6">
                  <c:v>837</c:v>
                </c:pt>
                <c:pt idx="7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F-42AC-ABED-FF48157F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F)'!$D$2:$D$5</c:f>
              <c:numCache>
                <c:formatCode>0.00</c:formatCode>
                <c:ptCount val="4"/>
                <c:pt idx="0">
                  <c:v>0</c:v>
                </c:pt>
                <c:pt idx="1">
                  <c:v>2.5833333333333335</c:v>
                </c:pt>
                <c:pt idx="2">
                  <c:v>4.0333333333333332</c:v>
                </c:pt>
                <c:pt idx="3">
                  <c:v>5.0833333333333321</c:v>
                </c:pt>
              </c:numCache>
            </c:numRef>
          </c:xVal>
          <c:yVal>
            <c:numRef>
              <c:f>'ΔOD and growth rate (G + F)'!$F$2:$F$5</c:f>
              <c:numCache>
                <c:formatCode>General</c:formatCode>
                <c:ptCount val="4"/>
                <c:pt idx="0">
                  <c:v>209</c:v>
                </c:pt>
                <c:pt idx="1">
                  <c:v>383</c:v>
                </c:pt>
                <c:pt idx="2">
                  <c:v>691</c:v>
                </c:pt>
                <c:pt idx="3">
                  <c:v>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5-416C-B794-59BA6623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04460205421803E-2"/>
          <c:y val="0.16245370370370371"/>
          <c:w val="0.8485461266435007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(F)'!$D$2:$D$9</c:f>
              <c:numCache>
                <c:formatCode>0.00</c:formatCode>
                <c:ptCount val="8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  <c:pt idx="5">
                  <c:v>6.6999999999999984</c:v>
                </c:pt>
                <c:pt idx="6">
                  <c:v>8.0166666666666657</c:v>
                </c:pt>
                <c:pt idx="7">
                  <c:v>9.3499999999999979</c:v>
                </c:pt>
              </c:numCache>
            </c:numRef>
          </c:xVal>
          <c:yVal>
            <c:numRef>
              <c:f>'ΔOD and growth rate (F)'!$F$2:$F$9</c:f>
              <c:numCache>
                <c:formatCode>General</c:formatCode>
                <c:ptCount val="8"/>
                <c:pt idx="0">
                  <c:v>115</c:v>
                </c:pt>
                <c:pt idx="1">
                  <c:v>293</c:v>
                </c:pt>
                <c:pt idx="2">
                  <c:v>400</c:v>
                </c:pt>
                <c:pt idx="3">
                  <c:v>510</c:v>
                </c:pt>
                <c:pt idx="5">
                  <c:v>707</c:v>
                </c:pt>
                <c:pt idx="6">
                  <c:v>897</c:v>
                </c:pt>
                <c:pt idx="7">
                  <c:v>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7-4EBC-8466-55B4839F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s10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(F)'!$D$15:$D$21</c:f>
              <c:numCache>
                <c:formatCode>0.00</c:formatCode>
                <c:ptCount val="7"/>
                <c:pt idx="0">
                  <c:v>21.25</c:v>
                </c:pt>
                <c:pt idx="1">
                  <c:v>24.549999999999997</c:v>
                </c:pt>
                <c:pt idx="2">
                  <c:v>27.733333333333331</c:v>
                </c:pt>
                <c:pt idx="3">
                  <c:v>30.699999999999996</c:v>
                </c:pt>
                <c:pt idx="4">
                  <c:v>35.083333333333329</c:v>
                </c:pt>
                <c:pt idx="5">
                  <c:v>42.216666666666661</c:v>
                </c:pt>
                <c:pt idx="6">
                  <c:v>50.599999999999994</c:v>
                </c:pt>
              </c:numCache>
            </c:numRef>
          </c:xVal>
          <c:yVal>
            <c:numRef>
              <c:f>'ΔOD and growth rate (F)'!$N$15:$N$21</c:f>
              <c:numCache>
                <c:formatCode>General</c:formatCode>
                <c:ptCount val="7"/>
                <c:pt idx="0">
                  <c:v>152</c:v>
                </c:pt>
                <c:pt idx="1">
                  <c:v>191</c:v>
                </c:pt>
                <c:pt idx="2">
                  <c:v>248</c:v>
                </c:pt>
                <c:pt idx="3">
                  <c:v>280</c:v>
                </c:pt>
                <c:pt idx="4">
                  <c:v>354</c:v>
                </c:pt>
                <c:pt idx="5">
                  <c:v>646</c:v>
                </c:pt>
                <c:pt idx="6">
                  <c:v>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A-45D9-9783-C7F25592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s11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(F)'!$D$10:$D$19</c:f>
              <c:numCache>
                <c:formatCode>0.00</c:formatCode>
                <c:ptCount val="10"/>
                <c:pt idx="0">
                  <c:v>11</c:v>
                </c:pt>
                <c:pt idx="1">
                  <c:v>12.883333333333333</c:v>
                </c:pt>
                <c:pt idx="2">
                  <c:v>14.35</c:v>
                </c:pt>
                <c:pt idx="3">
                  <c:v>16.366666666666667</c:v>
                </c:pt>
                <c:pt idx="4">
                  <c:v>19.100000000000001</c:v>
                </c:pt>
                <c:pt idx="5">
                  <c:v>21.25</c:v>
                </c:pt>
                <c:pt idx="6">
                  <c:v>24.549999999999997</c:v>
                </c:pt>
                <c:pt idx="7">
                  <c:v>27.733333333333331</c:v>
                </c:pt>
                <c:pt idx="8">
                  <c:v>30.699999999999996</c:v>
                </c:pt>
                <c:pt idx="9">
                  <c:v>35.083333333333329</c:v>
                </c:pt>
              </c:numCache>
            </c:numRef>
          </c:xVal>
          <c:yVal>
            <c:numRef>
              <c:f>'ΔOD and growth rate (F)'!$O$10:$O$19</c:f>
              <c:numCache>
                <c:formatCode>General</c:formatCode>
                <c:ptCount val="10"/>
                <c:pt idx="0">
                  <c:v>179</c:v>
                </c:pt>
                <c:pt idx="1">
                  <c:v>258</c:v>
                </c:pt>
                <c:pt idx="2">
                  <c:v>276</c:v>
                </c:pt>
                <c:pt idx="3">
                  <c:v>341</c:v>
                </c:pt>
                <c:pt idx="4">
                  <c:v>412</c:v>
                </c:pt>
                <c:pt idx="5">
                  <c:v>452</c:v>
                </c:pt>
                <c:pt idx="6">
                  <c:v>587</c:v>
                </c:pt>
                <c:pt idx="7">
                  <c:v>662</c:v>
                </c:pt>
                <c:pt idx="8">
                  <c:v>742</c:v>
                </c:pt>
                <c:pt idx="9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1-4F0C-B365-C7A32421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s8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(F)'!$D$3:$D$10</c:f>
              <c:numCache>
                <c:formatCode>0.00</c:formatCode>
                <c:ptCount val="8"/>
                <c:pt idx="0">
                  <c:v>2.8499999999999992</c:v>
                </c:pt>
                <c:pt idx="1">
                  <c:v>4.0166666666666639</c:v>
                </c:pt>
                <c:pt idx="2">
                  <c:v>5.0666666666666655</c:v>
                </c:pt>
                <c:pt idx="3">
                  <c:v>6.0666666666666647</c:v>
                </c:pt>
                <c:pt idx="4">
                  <c:v>6.6999999999999984</c:v>
                </c:pt>
                <c:pt idx="5">
                  <c:v>8.0166666666666657</c:v>
                </c:pt>
                <c:pt idx="6">
                  <c:v>9.3499999999999979</c:v>
                </c:pt>
                <c:pt idx="7">
                  <c:v>11</c:v>
                </c:pt>
              </c:numCache>
            </c:numRef>
          </c:xVal>
          <c:yVal>
            <c:numRef>
              <c:f>'ΔOD and growth rate (F)'!$L$3:$L$10</c:f>
              <c:numCache>
                <c:formatCode>General</c:formatCode>
                <c:ptCount val="8"/>
                <c:pt idx="0">
                  <c:v>137</c:v>
                </c:pt>
                <c:pt idx="1">
                  <c:v>180</c:v>
                </c:pt>
                <c:pt idx="2">
                  <c:v>228</c:v>
                </c:pt>
                <c:pt idx="4">
                  <c:v>436</c:v>
                </c:pt>
                <c:pt idx="5">
                  <c:v>707</c:v>
                </c:pt>
                <c:pt idx="6">
                  <c:v>1026</c:v>
                </c:pt>
                <c:pt idx="7">
                  <c:v>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C-417B-BB33-9DA27E72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s7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(F)'!$D$2:$D$9</c:f>
              <c:numCache>
                <c:formatCode>0.00</c:formatCode>
                <c:ptCount val="8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  <c:pt idx="5">
                  <c:v>6.6999999999999984</c:v>
                </c:pt>
                <c:pt idx="6">
                  <c:v>8.0166666666666657</c:v>
                </c:pt>
                <c:pt idx="7">
                  <c:v>9.3499999999999979</c:v>
                </c:pt>
              </c:numCache>
            </c:numRef>
          </c:xVal>
          <c:yVal>
            <c:numRef>
              <c:f>'ΔOD and growth rate (F)'!$K$2:$K$9</c:f>
              <c:numCache>
                <c:formatCode>General</c:formatCode>
                <c:ptCount val="8"/>
                <c:pt idx="0">
                  <c:v>256</c:v>
                </c:pt>
                <c:pt idx="1">
                  <c:v>448</c:v>
                </c:pt>
                <c:pt idx="2">
                  <c:v>560</c:v>
                </c:pt>
                <c:pt idx="3">
                  <c:v>658</c:v>
                </c:pt>
                <c:pt idx="5">
                  <c:v>814</c:v>
                </c:pt>
                <c:pt idx="6">
                  <c:v>927</c:v>
                </c:pt>
                <c:pt idx="7">
                  <c:v>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3-4442-B75D-936A2D9F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s5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(F)'!$D$5:$D$11</c:f>
              <c:numCache>
                <c:formatCode>0.00</c:formatCode>
                <c:ptCount val="7"/>
                <c:pt idx="0">
                  <c:v>5.0666666666666655</c:v>
                </c:pt>
                <c:pt idx="1">
                  <c:v>6.0666666666666647</c:v>
                </c:pt>
                <c:pt idx="2">
                  <c:v>6.6999999999999984</c:v>
                </c:pt>
                <c:pt idx="3">
                  <c:v>8.0166666666666657</c:v>
                </c:pt>
                <c:pt idx="4">
                  <c:v>9.3499999999999979</c:v>
                </c:pt>
                <c:pt idx="5">
                  <c:v>11</c:v>
                </c:pt>
                <c:pt idx="6">
                  <c:v>12.883333333333333</c:v>
                </c:pt>
              </c:numCache>
            </c:numRef>
          </c:xVal>
          <c:yVal>
            <c:numRef>
              <c:f>'ΔOD and growth rate (F)'!$I$5:$I$11</c:f>
              <c:numCache>
                <c:formatCode>General</c:formatCode>
                <c:ptCount val="7"/>
                <c:pt idx="0">
                  <c:v>138</c:v>
                </c:pt>
                <c:pt idx="2">
                  <c:v>239</c:v>
                </c:pt>
                <c:pt idx="3">
                  <c:v>394</c:v>
                </c:pt>
                <c:pt idx="4">
                  <c:v>587</c:v>
                </c:pt>
                <c:pt idx="5">
                  <c:v>935</c:v>
                </c:pt>
                <c:pt idx="6">
                  <c:v>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278-B7E9-AAAF39B7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s4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(F)'!$D$5:$D$11</c:f>
              <c:numCache>
                <c:formatCode>0.00</c:formatCode>
                <c:ptCount val="7"/>
                <c:pt idx="0">
                  <c:v>5.0666666666666655</c:v>
                </c:pt>
                <c:pt idx="1">
                  <c:v>6.0666666666666647</c:v>
                </c:pt>
                <c:pt idx="2">
                  <c:v>6.6999999999999984</c:v>
                </c:pt>
                <c:pt idx="3">
                  <c:v>8.0166666666666657</c:v>
                </c:pt>
                <c:pt idx="4">
                  <c:v>9.3499999999999979</c:v>
                </c:pt>
                <c:pt idx="5">
                  <c:v>11</c:v>
                </c:pt>
                <c:pt idx="6">
                  <c:v>12.883333333333333</c:v>
                </c:pt>
              </c:numCache>
            </c:numRef>
          </c:xVal>
          <c:yVal>
            <c:numRef>
              <c:f>'ΔOD and growth rate (F)'!$H$5:$H$11</c:f>
              <c:numCache>
                <c:formatCode>General</c:formatCode>
                <c:ptCount val="7"/>
                <c:pt idx="0">
                  <c:v>160</c:v>
                </c:pt>
                <c:pt idx="2">
                  <c:v>238</c:v>
                </c:pt>
                <c:pt idx="3">
                  <c:v>357</c:v>
                </c:pt>
                <c:pt idx="4">
                  <c:v>551</c:v>
                </c:pt>
                <c:pt idx="5">
                  <c:v>814</c:v>
                </c:pt>
                <c:pt idx="6">
                  <c:v>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F-4BCD-9A94-EB0CA056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(F)'!$D$2:$D$10</c:f>
              <c:numCache>
                <c:formatCode>0.00</c:formatCode>
                <c:ptCount val="9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  <c:pt idx="5">
                  <c:v>6.6999999999999984</c:v>
                </c:pt>
                <c:pt idx="6">
                  <c:v>8.0166666666666657</c:v>
                </c:pt>
                <c:pt idx="7">
                  <c:v>9.3499999999999979</c:v>
                </c:pt>
                <c:pt idx="8">
                  <c:v>11</c:v>
                </c:pt>
              </c:numCache>
            </c:numRef>
          </c:xVal>
          <c:yVal>
            <c:numRef>
              <c:f>'ΔOD and growth rate (F)'!$G$2:$G$10</c:f>
              <c:numCache>
                <c:formatCode>General</c:formatCode>
                <c:ptCount val="9"/>
                <c:pt idx="0">
                  <c:v>181</c:v>
                </c:pt>
                <c:pt idx="1">
                  <c:v>319</c:v>
                </c:pt>
                <c:pt idx="2">
                  <c:v>405</c:v>
                </c:pt>
                <c:pt idx="3">
                  <c:v>496</c:v>
                </c:pt>
                <c:pt idx="5">
                  <c:v>662</c:v>
                </c:pt>
                <c:pt idx="6">
                  <c:v>784</c:v>
                </c:pt>
                <c:pt idx="7">
                  <c:v>956</c:v>
                </c:pt>
                <c:pt idx="8">
                  <c:v>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B-40FE-95E9-F95C75E7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s12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(F)'!$D$9:$D$16</c:f>
              <c:numCache>
                <c:formatCode>0.00</c:formatCode>
                <c:ptCount val="8"/>
                <c:pt idx="0">
                  <c:v>9.3499999999999979</c:v>
                </c:pt>
                <c:pt idx="1">
                  <c:v>11</c:v>
                </c:pt>
                <c:pt idx="2">
                  <c:v>12.883333333333333</c:v>
                </c:pt>
                <c:pt idx="3">
                  <c:v>14.35</c:v>
                </c:pt>
                <c:pt idx="4">
                  <c:v>16.366666666666667</c:v>
                </c:pt>
                <c:pt idx="5">
                  <c:v>19.100000000000001</c:v>
                </c:pt>
                <c:pt idx="6">
                  <c:v>21.25</c:v>
                </c:pt>
                <c:pt idx="7">
                  <c:v>24.549999999999997</c:v>
                </c:pt>
              </c:numCache>
            </c:numRef>
          </c:xVal>
          <c:yVal>
            <c:numRef>
              <c:f>'ΔOD and growth rate (F)'!$P$9:$P$16</c:f>
              <c:numCache>
                <c:formatCode>General</c:formatCode>
                <c:ptCount val="8"/>
                <c:pt idx="0">
                  <c:v>271</c:v>
                </c:pt>
                <c:pt idx="1">
                  <c:v>334</c:v>
                </c:pt>
                <c:pt idx="2">
                  <c:v>419</c:v>
                </c:pt>
                <c:pt idx="3">
                  <c:v>502</c:v>
                </c:pt>
                <c:pt idx="4">
                  <c:v>613</c:v>
                </c:pt>
                <c:pt idx="5">
                  <c:v>794</c:v>
                </c:pt>
                <c:pt idx="6">
                  <c:v>917</c:v>
                </c:pt>
                <c:pt idx="7">
                  <c:v>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5-4E2F-BA69-08AC3742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s6</a:t>
            </a:r>
          </a:p>
        </c:rich>
      </c:tx>
      <c:layout>
        <c:manualLayout>
          <c:xMode val="edge"/>
          <c:yMode val="edge"/>
          <c:x val="0.47710215372937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(F)'!$D$5:$D$11</c:f>
              <c:numCache>
                <c:formatCode>0.00</c:formatCode>
                <c:ptCount val="7"/>
                <c:pt idx="0">
                  <c:v>5.0666666666666655</c:v>
                </c:pt>
                <c:pt idx="1">
                  <c:v>6.0666666666666647</c:v>
                </c:pt>
                <c:pt idx="2">
                  <c:v>6.6999999999999984</c:v>
                </c:pt>
                <c:pt idx="3">
                  <c:v>8.0166666666666657</c:v>
                </c:pt>
                <c:pt idx="4">
                  <c:v>9.3499999999999979</c:v>
                </c:pt>
                <c:pt idx="5">
                  <c:v>11</c:v>
                </c:pt>
                <c:pt idx="6">
                  <c:v>12.883333333333333</c:v>
                </c:pt>
              </c:numCache>
            </c:numRef>
          </c:xVal>
          <c:yVal>
            <c:numRef>
              <c:f>'ΔOD and growth rate (F)'!$J$5:$J$11</c:f>
              <c:numCache>
                <c:formatCode>General</c:formatCode>
                <c:ptCount val="7"/>
                <c:pt idx="0">
                  <c:v>215</c:v>
                </c:pt>
                <c:pt idx="2">
                  <c:v>340</c:v>
                </c:pt>
                <c:pt idx="3">
                  <c:v>478</c:v>
                </c:pt>
                <c:pt idx="4">
                  <c:v>708</c:v>
                </c:pt>
                <c:pt idx="5">
                  <c:v>950</c:v>
                </c:pt>
                <c:pt idx="6">
                  <c:v>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F-45A2-B205-90D5DF11D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s4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F)'!$D$10:$D$13</c:f>
              <c:numCache>
                <c:formatCode>0.00</c:formatCode>
                <c:ptCount val="4"/>
                <c:pt idx="0">
                  <c:v>12.633333333333333</c:v>
                </c:pt>
                <c:pt idx="1">
                  <c:v>14.05</c:v>
                </c:pt>
                <c:pt idx="2">
                  <c:v>16.066666666666666</c:v>
                </c:pt>
                <c:pt idx="3">
                  <c:v>18.833333333333332</c:v>
                </c:pt>
              </c:numCache>
            </c:numRef>
          </c:xVal>
          <c:yVal>
            <c:numRef>
              <c:f>'ΔOD and growth rate (G + F)'!$H$10:$H$13</c:f>
              <c:numCache>
                <c:formatCode>General</c:formatCode>
                <c:ptCount val="4"/>
                <c:pt idx="0">
                  <c:v>166</c:v>
                </c:pt>
                <c:pt idx="1">
                  <c:v>252</c:v>
                </c:pt>
                <c:pt idx="2">
                  <c:v>659</c:v>
                </c:pt>
                <c:pt idx="3">
                  <c:v>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9-4824-9E9B-F39A59EF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s19</a:t>
            </a:r>
          </a:p>
        </c:rich>
      </c:tx>
      <c:layout>
        <c:manualLayout>
          <c:xMode val="edge"/>
          <c:yMode val="edge"/>
          <c:x val="0.47710207936687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(F)'!$D$2:$D$6</c:f>
              <c:numCache>
                <c:formatCode>0.00</c:formatCode>
                <c:ptCount val="5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</c:numCache>
            </c:numRef>
          </c:xVal>
          <c:yVal>
            <c:numRef>
              <c:f>'ΔOD and growth rate (F)'!$W$2:$W$6</c:f>
              <c:numCache>
                <c:formatCode>General</c:formatCode>
                <c:ptCount val="5"/>
                <c:pt idx="0">
                  <c:v>236</c:v>
                </c:pt>
                <c:pt idx="1">
                  <c:v>532</c:v>
                </c:pt>
                <c:pt idx="2">
                  <c:v>729</c:v>
                </c:pt>
                <c:pt idx="3">
                  <c:v>867</c:v>
                </c:pt>
                <c:pt idx="4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7-4DF6-9804-1F6D8178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s14</a:t>
            </a:r>
          </a:p>
        </c:rich>
      </c:tx>
      <c:layout>
        <c:manualLayout>
          <c:xMode val="edge"/>
          <c:yMode val="edge"/>
          <c:x val="0.47710207936687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(F)'!$D$12:$D$16</c:f>
              <c:numCache>
                <c:formatCode>0.00</c:formatCode>
                <c:ptCount val="5"/>
                <c:pt idx="0">
                  <c:v>14.35</c:v>
                </c:pt>
                <c:pt idx="1">
                  <c:v>16.366666666666667</c:v>
                </c:pt>
                <c:pt idx="2">
                  <c:v>19.100000000000001</c:v>
                </c:pt>
                <c:pt idx="3">
                  <c:v>21.25</c:v>
                </c:pt>
                <c:pt idx="4">
                  <c:v>24.549999999999997</c:v>
                </c:pt>
              </c:numCache>
            </c:numRef>
          </c:xVal>
          <c:yVal>
            <c:numRef>
              <c:f>'ΔOD and growth rate (F)'!$R$12:$R$16</c:f>
              <c:numCache>
                <c:formatCode>General</c:formatCode>
                <c:ptCount val="5"/>
                <c:pt idx="0">
                  <c:v>225</c:v>
                </c:pt>
                <c:pt idx="1">
                  <c:v>309</c:v>
                </c:pt>
                <c:pt idx="2">
                  <c:v>477</c:v>
                </c:pt>
                <c:pt idx="3">
                  <c:v>691</c:v>
                </c:pt>
                <c:pt idx="4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5-4AC2-BD15-EC35A334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s21</a:t>
            </a:r>
          </a:p>
        </c:rich>
      </c:tx>
      <c:layout>
        <c:manualLayout>
          <c:xMode val="edge"/>
          <c:yMode val="edge"/>
          <c:x val="0.477102079366876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(F)'!$D$2:$D$9</c:f>
              <c:numCache>
                <c:formatCode>0.00</c:formatCode>
                <c:ptCount val="8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  <c:pt idx="5">
                  <c:v>6.6999999999999984</c:v>
                </c:pt>
                <c:pt idx="6">
                  <c:v>8.0166666666666657</c:v>
                </c:pt>
                <c:pt idx="7">
                  <c:v>9.3499999999999979</c:v>
                </c:pt>
              </c:numCache>
            </c:numRef>
          </c:xVal>
          <c:yVal>
            <c:numRef>
              <c:f>'ΔOD and growth rate (F)'!$Y$2:$Y$9</c:f>
              <c:numCache>
                <c:formatCode>General</c:formatCode>
                <c:ptCount val="8"/>
                <c:pt idx="0">
                  <c:v>90</c:v>
                </c:pt>
                <c:pt idx="1">
                  <c:v>250</c:v>
                </c:pt>
                <c:pt idx="2">
                  <c:v>389</c:v>
                </c:pt>
                <c:pt idx="3">
                  <c:v>535</c:v>
                </c:pt>
                <c:pt idx="5">
                  <c:v>843</c:v>
                </c:pt>
                <c:pt idx="6">
                  <c:v>1045</c:v>
                </c:pt>
                <c:pt idx="7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A-4526-93D6-28FC3711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s20</a:t>
            </a:r>
          </a:p>
        </c:rich>
      </c:tx>
      <c:layout>
        <c:manualLayout>
          <c:xMode val="edge"/>
          <c:yMode val="edge"/>
          <c:x val="0.47710207936687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(F)'!$D$2:$D$6</c:f>
              <c:numCache>
                <c:formatCode>0.00</c:formatCode>
                <c:ptCount val="5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</c:numCache>
            </c:numRef>
          </c:xVal>
          <c:yVal>
            <c:numRef>
              <c:f>'ΔOD and growth rate (F)'!$X$2:$X$6</c:f>
              <c:numCache>
                <c:formatCode>General</c:formatCode>
                <c:ptCount val="5"/>
                <c:pt idx="0">
                  <c:v>239</c:v>
                </c:pt>
                <c:pt idx="1">
                  <c:v>475</c:v>
                </c:pt>
                <c:pt idx="2">
                  <c:v>629</c:v>
                </c:pt>
                <c:pt idx="3">
                  <c:v>738</c:v>
                </c:pt>
                <c:pt idx="4">
                  <c:v>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C-4EED-9992-7A56711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s23</a:t>
            </a:r>
          </a:p>
        </c:rich>
      </c:tx>
      <c:layout>
        <c:manualLayout>
          <c:xMode val="edge"/>
          <c:yMode val="edge"/>
          <c:x val="0.4798890226036457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(F)'!$AC$2:$AC$9</c:f>
              <c:numCache>
                <c:formatCode>0.00</c:formatCode>
                <c:ptCount val="8"/>
                <c:pt idx="0">
                  <c:v>0</c:v>
                </c:pt>
                <c:pt idx="1">
                  <c:v>2.8499999999999992</c:v>
                </c:pt>
                <c:pt idx="2">
                  <c:v>4.0166666666666639</c:v>
                </c:pt>
                <c:pt idx="3">
                  <c:v>5.0666666666666655</c:v>
                </c:pt>
                <c:pt idx="4">
                  <c:v>6.0666666666666647</c:v>
                </c:pt>
                <c:pt idx="5">
                  <c:v>6.6999999999999984</c:v>
                </c:pt>
                <c:pt idx="6">
                  <c:v>8.0166666666666657</c:v>
                </c:pt>
                <c:pt idx="7">
                  <c:v>9.3499999999999979</c:v>
                </c:pt>
              </c:numCache>
            </c:numRef>
          </c:xVal>
          <c:yVal>
            <c:numRef>
              <c:f>'ΔOD and growth rate (F)'!$AA$2:$AA$9</c:f>
              <c:numCache>
                <c:formatCode>General</c:formatCode>
                <c:ptCount val="8"/>
                <c:pt idx="0">
                  <c:v>153</c:v>
                </c:pt>
                <c:pt idx="1">
                  <c:v>275</c:v>
                </c:pt>
                <c:pt idx="2">
                  <c:v>416</c:v>
                </c:pt>
                <c:pt idx="3">
                  <c:v>484</c:v>
                </c:pt>
                <c:pt idx="5">
                  <c:v>737</c:v>
                </c:pt>
                <c:pt idx="6">
                  <c:v>941</c:v>
                </c:pt>
                <c:pt idx="7">
                  <c:v>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4-45B9-BD51-543489FE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s24</a:t>
            </a:r>
          </a:p>
        </c:rich>
      </c:tx>
      <c:layout>
        <c:manualLayout>
          <c:xMode val="edge"/>
          <c:yMode val="edge"/>
          <c:x val="0.4798890226036457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(F)'!$AC$5:$AC$10</c:f>
              <c:numCache>
                <c:formatCode>0.00</c:formatCode>
                <c:ptCount val="6"/>
                <c:pt idx="0">
                  <c:v>5.0666666666666655</c:v>
                </c:pt>
                <c:pt idx="1">
                  <c:v>6.0666666666666647</c:v>
                </c:pt>
                <c:pt idx="2">
                  <c:v>6.6999999999999984</c:v>
                </c:pt>
                <c:pt idx="3">
                  <c:v>8.0166666666666657</c:v>
                </c:pt>
                <c:pt idx="4">
                  <c:v>9.3499999999999979</c:v>
                </c:pt>
                <c:pt idx="5">
                  <c:v>11</c:v>
                </c:pt>
              </c:numCache>
            </c:numRef>
          </c:xVal>
          <c:yVal>
            <c:numRef>
              <c:f>'ΔOD and growth rate (F)'!$AB$4:$AB$10</c:f>
              <c:numCache>
                <c:formatCode>General</c:formatCode>
                <c:ptCount val="7"/>
                <c:pt idx="0">
                  <c:v>142</c:v>
                </c:pt>
                <c:pt idx="1">
                  <c:v>188</c:v>
                </c:pt>
                <c:pt idx="3">
                  <c:v>350</c:v>
                </c:pt>
                <c:pt idx="4">
                  <c:v>566</c:v>
                </c:pt>
                <c:pt idx="5">
                  <c:v>822</c:v>
                </c:pt>
                <c:pt idx="6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3-4B6E-AB24-FDC900A0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sAa</a:t>
            </a:r>
          </a:p>
        </c:rich>
      </c:tx>
      <c:layout>
        <c:manualLayout>
          <c:xMode val="edge"/>
          <c:yMode val="edge"/>
          <c:x val="0.4798890226036457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(F)'!$AC$15:$AC$20</c:f>
              <c:numCache>
                <c:formatCode>0.00</c:formatCode>
                <c:ptCount val="6"/>
                <c:pt idx="0">
                  <c:v>21.25</c:v>
                </c:pt>
                <c:pt idx="1">
                  <c:v>24.549999999999997</c:v>
                </c:pt>
                <c:pt idx="2">
                  <c:v>27.733333333333331</c:v>
                </c:pt>
                <c:pt idx="3">
                  <c:v>30.699999999999996</c:v>
                </c:pt>
                <c:pt idx="4">
                  <c:v>35.083333333333329</c:v>
                </c:pt>
                <c:pt idx="5">
                  <c:v>42.216666666666661</c:v>
                </c:pt>
              </c:numCache>
            </c:numRef>
          </c:xVal>
          <c:yVal>
            <c:numRef>
              <c:f>'ΔOD and growth rate (F)'!$AD$15:$AD$20</c:f>
              <c:numCache>
                <c:formatCode>General</c:formatCode>
                <c:ptCount val="6"/>
                <c:pt idx="0">
                  <c:v>74</c:v>
                </c:pt>
                <c:pt idx="1">
                  <c:v>108</c:v>
                </c:pt>
                <c:pt idx="2">
                  <c:v>118</c:v>
                </c:pt>
                <c:pt idx="3">
                  <c:v>159</c:v>
                </c:pt>
                <c:pt idx="4">
                  <c:v>145</c:v>
                </c:pt>
                <c:pt idx="5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450B-B136-FC03F2FA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</a:t>
            </a:r>
          </a:p>
        </c:rich>
      </c:tx>
      <c:layout>
        <c:manualLayout>
          <c:xMode val="edge"/>
          <c:yMode val="edge"/>
          <c:x val="0.4798890226036457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(F)'!$AC$15:$AC$20</c:f>
              <c:numCache>
                <c:formatCode>0.00</c:formatCode>
                <c:ptCount val="6"/>
                <c:pt idx="0">
                  <c:v>21.25</c:v>
                </c:pt>
                <c:pt idx="1">
                  <c:v>24.549999999999997</c:v>
                </c:pt>
                <c:pt idx="2">
                  <c:v>27.733333333333331</c:v>
                </c:pt>
                <c:pt idx="3">
                  <c:v>30.699999999999996</c:v>
                </c:pt>
                <c:pt idx="4">
                  <c:v>35.083333333333329</c:v>
                </c:pt>
                <c:pt idx="5">
                  <c:v>42.216666666666661</c:v>
                </c:pt>
              </c:numCache>
            </c:numRef>
          </c:xVal>
          <c:yVal>
            <c:numRef>
              <c:f>'ΔOD and growth rate (F)'!$AF$15:$AF$20</c:f>
              <c:numCache>
                <c:formatCode>General</c:formatCode>
                <c:ptCount val="6"/>
                <c:pt idx="0">
                  <c:v>90</c:v>
                </c:pt>
                <c:pt idx="1">
                  <c:v>113</c:v>
                </c:pt>
                <c:pt idx="2">
                  <c:v>140</c:v>
                </c:pt>
                <c:pt idx="3">
                  <c:v>140</c:v>
                </c:pt>
                <c:pt idx="4">
                  <c:v>143</c:v>
                </c:pt>
                <c:pt idx="5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D-4BC3-BD26-9839CA0E1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sAb</a:t>
            </a:r>
          </a:p>
        </c:rich>
      </c:tx>
      <c:layout>
        <c:manualLayout>
          <c:xMode val="edge"/>
          <c:yMode val="edge"/>
          <c:x val="0.4798890226036457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(F)'!$AC$15:$AC$20</c:f>
              <c:numCache>
                <c:formatCode>0.00</c:formatCode>
                <c:ptCount val="6"/>
                <c:pt idx="0">
                  <c:v>21.25</c:v>
                </c:pt>
                <c:pt idx="1">
                  <c:v>24.549999999999997</c:v>
                </c:pt>
                <c:pt idx="2">
                  <c:v>27.733333333333331</c:v>
                </c:pt>
                <c:pt idx="3">
                  <c:v>30.699999999999996</c:v>
                </c:pt>
                <c:pt idx="4">
                  <c:v>35.083333333333329</c:v>
                </c:pt>
                <c:pt idx="5">
                  <c:v>42.216666666666661</c:v>
                </c:pt>
              </c:numCache>
            </c:numRef>
          </c:xVal>
          <c:yVal>
            <c:numRef>
              <c:f>'ΔOD and growth rate (F)'!$AE$15:$AE$20</c:f>
              <c:numCache>
                <c:formatCode>General</c:formatCode>
                <c:ptCount val="6"/>
                <c:pt idx="0">
                  <c:v>82</c:v>
                </c:pt>
                <c:pt idx="1">
                  <c:v>106</c:v>
                </c:pt>
                <c:pt idx="2">
                  <c:v>108</c:v>
                </c:pt>
                <c:pt idx="3">
                  <c:v>116</c:v>
                </c:pt>
                <c:pt idx="4">
                  <c:v>148</c:v>
                </c:pt>
                <c:pt idx="5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E-4C07-8E9C-CB165A73D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 Glu + Fru'!$J$1</c:f>
              <c:strCache>
                <c:ptCount val="1"/>
                <c:pt idx="0">
                  <c:v>Peak Area 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Glu + Fru'!$J$2:$J$7</c:f>
              <c:numCache>
                <c:formatCode>General</c:formatCode>
                <c:ptCount val="6"/>
                <c:pt idx="0">
                  <c:v>80151</c:v>
                </c:pt>
                <c:pt idx="1">
                  <c:v>222149</c:v>
                </c:pt>
                <c:pt idx="2">
                  <c:v>464354</c:v>
                </c:pt>
                <c:pt idx="3">
                  <c:v>689805</c:v>
                </c:pt>
                <c:pt idx="4">
                  <c:v>926291</c:v>
                </c:pt>
                <c:pt idx="5">
                  <c:v>1156637</c:v>
                </c:pt>
              </c:numCache>
            </c:numRef>
          </c:xVal>
          <c:yVal>
            <c:numRef>
              <c:f>'Std curve Glu + Fru'!$H$2:$H$7</c:f>
              <c:numCache>
                <c:formatCode>General</c:formatCode>
                <c:ptCount val="6"/>
                <c:pt idx="0">
                  <c:v>38.855214369768426</c:v>
                </c:pt>
                <c:pt idx="1">
                  <c:v>97.138035924421061</c:v>
                </c:pt>
                <c:pt idx="2">
                  <c:v>194.27607184884212</c:v>
                </c:pt>
                <c:pt idx="3">
                  <c:v>291.4141077732632</c:v>
                </c:pt>
                <c:pt idx="4">
                  <c:v>388.55214369768424</c:v>
                </c:pt>
                <c:pt idx="5">
                  <c:v>485.69017962210535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6-4D5A-A11F-2693D68E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25384"/>
        <c:axId val="599027680"/>
      </c:scatterChart>
      <c:valAx>
        <c:axId val="5990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7680"/>
        <c:crosses val="autoZero"/>
        <c:crossBetween val="midCat"/>
      </c:valAx>
      <c:valAx>
        <c:axId val="599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s5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F)'!$D$10:$D$12</c:f>
              <c:numCache>
                <c:formatCode>0.00</c:formatCode>
                <c:ptCount val="3"/>
                <c:pt idx="0">
                  <c:v>12.633333333333333</c:v>
                </c:pt>
                <c:pt idx="1">
                  <c:v>14.05</c:v>
                </c:pt>
                <c:pt idx="2">
                  <c:v>16.066666666666666</c:v>
                </c:pt>
              </c:numCache>
            </c:numRef>
          </c:xVal>
          <c:yVal>
            <c:numRef>
              <c:f>'ΔOD and growth rate (G + F)'!$I$10:$I$12</c:f>
              <c:numCache>
                <c:formatCode>General</c:formatCode>
                <c:ptCount val="3"/>
                <c:pt idx="0">
                  <c:v>322</c:v>
                </c:pt>
                <c:pt idx="1">
                  <c:v>594</c:v>
                </c:pt>
                <c:pt idx="2">
                  <c:v>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8-4BD7-9B5B-83640B03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 Glu + Fru'!$K$1</c:f>
              <c:strCache>
                <c:ptCount val="1"/>
                <c:pt idx="0">
                  <c:v>Peak Area fru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Glu + Fru'!$K$2:$K$7</c:f>
              <c:numCache>
                <c:formatCode>General</c:formatCode>
                <c:ptCount val="6"/>
                <c:pt idx="0">
                  <c:v>84681</c:v>
                </c:pt>
                <c:pt idx="1">
                  <c:v>237987</c:v>
                </c:pt>
                <c:pt idx="2">
                  <c:v>509144</c:v>
                </c:pt>
                <c:pt idx="3">
                  <c:v>756828</c:v>
                </c:pt>
                <c:pt idx="4">
                  <c:v>1015739</c:v>
                </c:pt>
                <c:pt idx="5">
                  <c:v>1270439</c:v>
                </c:pt>
              </c:numCache>
            </c:numRef>
          </c:xVal>
          <c:yVal>
            <c:numRef>
              <c:f>'Std curve Glu + Fru'!$I$2:$I$7</c:f>
              <c:numCache>
                <c:formatCode>General</c:formatCode>
                <c:ptCount val="6"/>
                <c:pt idx="0">
                  <c:v>38.855214369768426</c:v>
                </c:pt>
                <c:pt idx="1">
                  <c:v>97.138035924421061</c:v>
                </c:pt>
                <c:pt idx="2">
                  <c:v>194.27607184884212</c:v>
                </c:pt>
                <c:pt idx="3">
                  <c:v>291.4141077732632</c:v>
                </c:pt>
                <c:pt idx="4">
                  <c:v>388.55214369768424</c:v>
                </c:pt>
                <c:pt idx="5">
                  <c:v>485.69017962210535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2-4BD2-BBA2-74532350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25384"/>
        <c:axId val="599027680"/>
      </c:scatterChart>
      <c:valAx>
        <c:axId val="5990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7680"/>
        <c:crosses val="autoZero"/>
        <c:crossBetween val="midCat"/>
      </c:valAx>
      <c:valAx>
        <c:axId val="599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 Lact + Ace'!$G$1</c:f>
              <c:strCache>
                <c:ptCount val="1"/>
                <c:pt idx="0">
                  <c:v>Peak Area lactate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Lact + Ace'!$G$2:$G$6</c:f>
              <c:numCache>
                <c:formatCode>General</c:formatCode>
                <c:ptCount val="5"/>
                <c:pt idx="0">
                  <c:v>15341</c:v>
                </c:pt>
                <c:pt idx="1">
                  <c:v>45222</c:v>
                </c:pt>
                <c:pt idx="2">
                  <c:v>89673</c:v>
                </c:pt>
                <c:pt idx="3">
                  <c:v>223600</c:v>
                </c:pt>
                <c:pt idx="4">
                  <c:v>442311</c:v>
                </c:pt>
              </c:numCache>
            </c:numRef>
          </c:xVal>
          <c:yVal>
            <c:numRef>
              <c:f>'Std curve Lact + Ace'!$E$2:$E$6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B-464B-AAFF-0A7C6766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25384"/>
        <c:axId val="599027680"/>
      </c:scatterChart>
      <c:valAx>
        <c:axId val="5990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7680"/>
        <c:crosses val="autoZero"/>
        <c:crossBetween val="midCat"/>
      </c:valAx>
      <c:valAx>
        <c:axId val="599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 Lact + Ace'!$H$1</c:f>
              <c:strCache>
                <c:ptCount val="1"/>
                <c:pt idx="0">
                  <c:v>Peak Area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Lact + Ace'!$H$2:$H$6</c:f>
              <c:numCache>
                <c:formatCode>General</c:formatCode>
                <c:ptCount val="5"/>
                <c:pt idx="0">
                  <c:v>6912</c:v>
                </c:pt>
                <c:pt idx="1">
                  <c:v>25878</c:v>
                </c:pt>
                <c:pt idx="2">
                  <c:v>47629</c:v>
                </c:pt>
                <c:pt idx="3">
                  <c:v>101355</c:v>
                </c:pt>
                <c:pt idx="4">
                  <c:v>199728</c:v>
                </c:pt>
              </c:numCache>
            </c:numRef>
          </c:xVal>
          <c:yVal>
            <c:numRef>
              <c:f>'Std curve Lact + Ace'!$F$2:$F$6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2-4497-97B2-AEFBEF8A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25384"/>
        <c:axId val="599027680"/>
      </c:scatterChart>
      <c:valAx>
        <c:axId val="5990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7680"/>
        <c:crosses val="autoZero"/>
        <c:crossBetween val="midCat"/>
      </c:valAx>
      <c:valAx>
        <c:axId val="599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F)'!$D$7:$D$11</c:f>
              <c:numCache>
                <c:formatCode>0.00</c:formatCode>
                <c:ptCount val="5"/>
                <c:pt idx="0">
                  <c:v>7.666666666666667</c:v>
                </c:pt>
                <c:pt idx="1">
                  <c:v>9.0666666666666647</c:v>
                </c:pt>
                <c:pt idx="2">
                  <c:v>10.716666666666665</c:v>
                </c:pt>
                <c:pt idx="3">
                  <c:v>12.633333333333333</c:v>
                </c:pt>
                <c:pt idx="4">
                  <c:v>14.05</c:v>
                </c:pt>
              </c:numCache>
            </c:numRef>
          </c:xVal>
          <c:yVal>
            <c:numRef>
              <c:f>'ΔOD and growth rate (G + F)'!$G$7:$G$11</c:f>
              <c:numCache>
                <c:formatCode>General</c:formatCode>
                <c:ptCount val="5"/>
                <c:pt idx="0">
                  <c:v>138</c:v>
                </c:pt>
                <c:pt idx="1">
                  <c:v>264</c:v>
                </c:pt>
                <c:pt idx="2">
                  <c:v>543</c:v>
                </c:pt>
                <c:pt idx="3">
                  <c:v>1070</c:v>
                </c:pt>
                <c:pt idx="4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D-4DDB-97C1-BE88C9719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s6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F)'!$D$12:$D$15</c:f>
              <c:numCache>
                <c:formatCode>0.00</c:formatCode>
                <c:ptCount val="4"/>
                <c:pt idx="0">
                  <c:v>16.066666666666666</c:v>
                </c:pt>
                <c:pt idx="1">
                  <c:v>18.833333333333332</c:v>
                </c:pt>
                <c:pt idx="2">
                  <c:v>21.166666666666664</c:v>
                </c:pt>
                <c:pt idx="3">
                  <c:v>24.483333333333331</c:v>
                </c:pt>
              </c:numCache>
            </c:numRef>
          </c:xVal>
          <c:yVal>
            <c:numRef>
              <c:f>'ΔOD and growth rate (G + F)'!$J$12:$J$15</c:f>
              <c:numCache>
                <c:formatCode>General</c:formatCode>
                <c:ptCount val="4"/>
                <c:pt idx="0">
                  <c:v>164</c:v>
                </c:pt>
                <c:pt idx="1">
                  <c:v>215</c:v>
                </c:pt>
                <c:pt idx="2">
                  <c:v>726</c:v>
                </c:pt>
                <c:pt idx="3">
                  <c:v>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8-496F-BAA4-5AFF83411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s7</a:t>
            </a:r>
          </a:p>
        </c:rich>
      </c:tx>
      <c:layout>
        <c:manualLayout>
          <c:xMode val="edge"/>
          <c:yMode val="edge"/>
          <c:x val="0.47417524827196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562927512060428E-3"/>
                  <c:y val="-0.14586832895888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'ΔOD and growth rate (G + F)'!$D$3:$D$8</c:f>
              <c:numCache>
                <c:formatCode>0.00</c:formatCode>
                <c:ptCount val="6"/>
                <c:pt idx="0">
                  <c:v>2.5833333333333335</c:v>
                </c:pt>
                <c:pt idx="1">
                  <c:v>4.0333333333333332</c:v>
                </c:pt>
                <c:pt idx="2">
                  <c:v>5.0833333333333321</c:v>
                </c:pt>
                <c:pt idx="3">
                  <c:v>6.6499999999999986</c:v>
                </c:pt>
                <c:pt idx="4">
                  <c:v>7.666666666666667</c:v>
                </c:pt>
                <c:pt idx="5">
                  <c:v>9.0666666666666647</c:v>
                </c:pt>
              </c:numCache>
            </c:numRef>
          </c:xVal>
          <c:yVal>
            <c:numRef>
              <c:f>'ΔOD and growth rate (G + F)'!$K$3:$K$8</c:f>
              <c:numCache>
                <c:formatCode>General</c:formatCode>
                <c:ptCount val="6"/>
                <c:pt idx="0">
                  <c:v>151</c:v>
                </c:pt>
                <c:pt idx="1">
                  <c:v>279</c:v>
                </c:pt>
                <c:pt idx="2">
                  <c:v>444</c:v>
                </c:pt>
                <c:pt idx="3">
                  <c:v>771</c:v>
                </c:pt>
                <c:pt idx="4">
                  <c:v>1071</c:v>
                </c:pt>
                <c:pt idx="5">
                  <c:v>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3-451F-B692-A6BD931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8799"/>
        <c:axId val="1272081711"/>
      </c:scatterChart>
      <c:valAx>
        <c:axId val="12720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1711"/>
        <c:crosses val="autoZero"/>
        <c:crossBetween val="midCat"/>
      </c:valAx>
      <c:valAx>
        <c:axId val="1272081711"/>
        <c:scaling>
          <c:logBase val="10"/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5</xdr:row>
      <xdr:rowOff>14287</xdr:rowOff>
    </xdr:from>
    <xdr:to>
      <xdr:col>15</xdr:col>
      <xdr:colOff>523875</xdr:colOff>
      <xdr:row>18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7C583C-D463-4280-93F2-11AD37F52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532086</xdr:colOff>
      <xdr:row>20</xdr:row>
      <xdr:rowOff>131379</xdr:rowOff>
    </xdr:from>
    <xdr:to>
      <xdr:col>16</xdr:col>
      <xdr:colOff>210938</xdr:colOff>
      <xdr:row>35</xdr:row>
      <xdr:rowOff>17079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4F2DB-A928-46E9-886E-2535CCE4E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289765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481DD-14C3-4C8C-A9BE-5703818FE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525517</xdr:colOff>
      <xdr:row>23</xdr:row>
      <xdr:rowOff>32845</xdr:rowOff>
    </xdr:from>
    <xdr:to>
      <xdr:col>13</xdr:col>
      <xdr:colOff>204369</xdr:colOff>
      <xdr:row>37</xdr:row>
      <xdr:rowOff>109045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363BF-9FC9-4A9B-B513-152980FF7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545224</xdr:colOff>
      <xdr:row>22</xdr:row>
      <xdr:rowOff>131380</xdr:rowOff>
    </xdr:from>
    <xdr:to>
      <xdr:col>14</xdr:col>
      <xdr:colOff>224075</xdr:colOff>
      <xdr:row>37</xdr:row>
      <xdr:rowOff>17080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BA07D-14C2-423C-BFDA-8926C4771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275898</xdr:colOff>
      <xdr:row>21</xdr:row>
      <xdr:rowOff>6568</xdr:rowOff>
    </xdr:from>
    <xdr:to>
      <xdr:col>14</xdr:col>
      <xdr:colOff>565663</xdr:colOff>
      <xdr:row>35</xdr:row>
      <xdr:rowOff>82768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7D6502-9A7C-4702-BFDB-0204B9C02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413844</xdr:colOff>
      <xdr:row>22</xdr:row>
      <xdr:rowOff>164224</xdr:rowOff>
    </xdr:from>
    <xdr:to>
      <xdr:col>13</xdr:col>
      <xdr:colOff>92696</xdr:colOff>
      <xdr:row>37</xdr:row>
      <xdr:rowOff>49924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669851-B9CA-4A8A-89EF-D9A9B7B65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13138</xdr:colOff>
      <xdr:row>22</xdr:row>
      <xdr:rowOff>131379</xdr:rowOff>
    </xdr:from>
    <xdr:to>
      <xdr:col>13</xdr:col>
      <xdr:colOff>302903</xdr:colOff>
      <xdr:row>37</xdr:row>
      <xdr:rowOff>17079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36B113-905A-4FB5-9C52-0C99425E8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98535</xdr:colOff>
      <xdr:row>22</xdr:row>
      <xdr:rowOff>6569</xdr:rowOff>
    </xdr:from>
    <xdr:to>
      <xdr:col>15</xdr:col>
      <xdr:colOff>388301</xdr:colOff>
      <xdr:row>36</xdr:row>
      <xdr:rowOff>82769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32A00F-34FA-41FA-A3A4-4D93C7BFB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492672</xdr:colOff>
      <xdr:row>22</xdr:row>
      <xdr:rowOff>32845</xdr:rowOff>
    </xdr:from>
    <xdr:to>
      <xdr:col>13</xdr:col>
      <xdr:colOff>171524</xdr:colOff>
      <xdr:row>36</xdr:row>
      <xdr:rowOff>109045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5A41AA-4ADB-409C-85C7-30E7A33AD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564931</xdr:colOff>
      <xdr:row>20</xdr:row>
      <xdr:rowOff>26277</xdr:rowOff>
    </xdr:from>
    <xdr:to>
      <xdr:col>16</xdr:col>
      <xdr:colOff>243783</xdr:colOff>
      <xdr:row>34</xdr:row>
      <xdr:rowOff>102477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EC237C-5016-425E-97B3-F2BD1A8AF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124810</xdr:colOff>
      <xdr:row>22</xdr:row>
      <xdr:rowOff>6569</xdr:rowOff>
    </xdr:from>
    <xdr:to>
      <xdr:col>12</xdr:col>
      <xdr:colOff>414576</xdr:colOff>
      <xdr:row>36</xdr:row>
      <xdr:rowOff>82769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9A6D5F-BB74-4C5A-A392-010412544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177362</xdr:colOff>
      <xdr:row>22</xdr:row>
      <xdr:rowOff>6569</xdr:rowOff>
    </xdr:from>
    <xdr:to>
      <xdr:col>13</xdr:col>
      <xdr:colOff>467127</xdr:colOff>
      <xdr:row>36</xdr:row>
      <xdr:rowOff>82769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B7BA13-9EC7-4ADC-941F-F6902A55D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492672</xdr:colOff>
      <xdr:row>22</xdr:row>
      <xdr:rowOff>170793</xdr:rowOff>
    </xdr:from>
    <xdr:to>
      <xdr:col>13</xdr:col>
      <xdr:colOff>171524</xdr:colOff>
      <xdr:row>37</xdr:row>
      <xdr:rowOff>56493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788A0F0-3B61-4AA5-A98E-4AB830FD9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459827</xdr:colOff>
      <xdr:row>22</xdr:row>
      <xdr:rowOff>52552</xdr:rowOff>
    </xdr:from>
    <xdr:to>
      <xdr:col>13</xdr:col>
      <xdr:colOff>138679</xdr:colOff>
      <xdr:row>36</xdr:row>
      <xdr:rowOff>128752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97F38D-8296-4210-908D-71CD86DE8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387570</xdr:colOff>
      <xdr:row>22</xdr:row>
      <xdr:rowOff>124810</xdr:rowOff>
    </xdr:from>
    <xdr:to>
      <xdr:col>16</xdr:col>
      <xdr:colOff>66422</xdr:colOff>
      <xdr:row>37</xdr:row>
      <xdr:rowOff>10510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E754AA-EA46-441B-A7C7-BDA2E89CE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105103</xdr:colOff>
      <xdr:row>23</xdr:row>
      <xdr:rowOff>183931</xdr:rowOff>
    </xdr:from>
    <xdr:to>
      <xdr:col>16</xdr:col>
      <xdr:colOff>394869</xdr:colOff>
      <xdr:row>38</xdr:row>
      <xdr:rowOff>69631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C0556E-299E-45F2-BF63-B1269BD77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124811</xdr:colOff>
      <xdr:row>23</xdr:row>
      <xdr:rowOff>6569</xdr:rowOff>
    </xdr:from>
    <xdr:to>
      <xdr:col>22</xdr:col>
      <xdr:colOff>414576</xdr:colOff>
      <xdr:row>37</xdr:row>
      <xdr:rowOff>82769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6AD7C99-1070-4471-B991-C378D6E58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367863</xdr:colOff>
      <xdr:row>22</xdr:row>
      <xdr:rowOff>170793</xdr:rowOff>
    </xdr:from>
    <xdr:to>
      <xdr:col>26</xdr:col>
      <xdr:colOff>46715</xdr:colOff>
      <xdr:row>37</xdr:row>
      <xdr:rowOff>56493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B607348-B7A5-4C45-8E7C-02E49398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124811</xdr:colOff>
      <xdr:row>23</xdr:row>
      <xdr:rowOff>52551</xdr:rowOff>
    </xdr:from>
    <xdr:to>
      <xdr:col>24</xdr:col>
      <xdr:colOff>414576</xdr:colOff>
      <xdr:row>37</xdr:row>
      <xdr:rowOff>128751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A52102-F01D-4CFE-BECA-4699144E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203638</xdr:colOff>
      <xdr:row>23</xdr:row>
      <xdr:rowOff>26276</xdr:rowOff>
    </xdr:from>
    <xdr:to>
      <xdr:col>28</xdr:col>
      <xdr:colOff>493403</xdr:colOff>
      <xdr:row>37</xdr:row>
      <xdr:rowOff>102476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24A7C3B-37E8-4908-8C80-4DBC91699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348154</xdr:colOff>
      <xdr:row>21</xdr:row>
      <xdr:rowOff>91965</xdr:rowOff>
    </xdr:from>
    <xdr:to>
      <xdr:col>27</xdr:col>
      <xdr:colOff>27006</xdr:colOff>
      <xdr:row>35</xdr:row>
      <xdr:rowOff>168165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25249B1-0A34-4A84-B95D-DD0779831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499242</xdr:colOff>
      <xdr:row>21</xdr:row>
      <xdr:rowOff>52551</xdr:rowOff>
    </xdr:from>
    <xdr:to>
      <xdr:col>32</xdr:col>
      <xdr:colOff>178094</xdr:colOff>
      <xdr:row>35</xdr:row>
      <xdr:rowOff>128751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F01EE4-4834-4DCE-9E63-08D670A70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512379</xdr:colOff>
      <xdr:row>20</xdr:row>
      <xdr:rowOff>170793</xdr:rowOff>
    </xdr:from>
    <xdr:to>
      <xdr:col>33</xdr:col>
      <xdr:colOff>191231</xdr:colOff>
      <xdr:row>35</xdr:row>
      <xdr:rowOff>56493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0C1579F-7071-420F-B26F-FD531CE6F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459827</xdr:colOff>
      <xdr:row>22</xdr:row>
      <xdr:rowOff>91965</xdr:rowOff>
    </xdr:from>
    <xdr:to>
      <xdr:col>33</xdr:col>
      <xdr:colOff>138679</xdr:colOff>
      <xdr:row>36</xdr:row>
      <xdr:rowOff>168165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45497E6-9BF6-426A-9CB8-F7D66A4DD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551794</xdr:colOff>
      <xdr:row>21</xdr:row>
      <xdr:rowOff>0</xdr:rowOff>
    </xdr:from>
    <xdr:to>
      <xdr:col>35</xdr:col>
      <xdr:colOff>230646</xdr:colOff>
      <xdr:row>35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075492F-26C3-46ED-89CC-71C182650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275896</xdr:colOff>
      <xdr:row>22</xdr:row>
      <xdr:rowOff>91966</xdr:rowOff>
    </xdr:from>
    <xdr:to>
      <xdr:col>29</xdr:col>
      <xdr:colOff>565661</xdr:colOff>
      <xdr:row>36</xdr:row>
      <xdr:rowOff>168166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056DDA5-0BC3-4DF2-A231-7D22462CE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26275</xdr:colOff>
      <xdr:row>20</xdr:row>
      <xdr:rowOff>144517</xdr:rowOff>
    </xdr:from>
    <xdr:to>
      <xdr:col>29</xdr:col>
      <xdr:colOff>316040</xdr:colOff>
      <xdr:row>35</xdr:row>
      <xdr:rowOff>30217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CD25F8E-2A2A-41F6-A34A-FFBA8F38A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183932</xdr:colOff>
      <xdr:row>21</xdr:row>
      <xdr:rowOff>131380</xdr:rowOff>
    </xdr:from>
    <xdr:to>
      <xdr:col>34</xdr:col>
      <xdr:colOff>473697</xdr:colOff>
      <xdr:row>36</xdr:row>
      <xdr:rowOff>17080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F59BDE6-0343-4848-B467-C39536758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29308</xdr:colOff>
      <xdr:row>25</xdr:row>
      <xdr:rowOff>73268</xdr:rowOff>
    </xdr:from>
    <xdr:to>
      <xdr:col>11</xdr:col>
      <xdr:colOff>58233</xdr:colOff>
      <xdr:row>39</xdr:row>
      <xdr:rowOff>149468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66557-C06D-49E5-9693-49FF1B3F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293078</xdr:colOff>
      <xdr:row>50</xdr:row>
      <xdr:rowOff>29307</xdr:rowOff>
    </xdr:from>
    <xdr:to>
      <xdr:col>20</xdr:col>
      <xdr:colOff>593100</xdr:colOff>
      <xdr:row>64</xdr:row>
      <xdr:rowOff>105507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B40DB-3984-4BA6-9FAD-D47777C4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329711</xdr:colOff>
      <xdr:row>41</xdr:row>
      <xdr:rowOff>131885</xdr:rowOff>
    </xdr:from>
    <xdr:to>
      <xdr:col>20</xdr:col>
      <xdr:colOff>21598</xdr:colOff>
      <xdr:row>56</xdr:row>
      <xdr:rowOff>17585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CDA5BC-9159-4DAE-9404-4215A423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542191</xdr:colOff>
      <xdr:row>25</xdr:row>
      <xdr:rowOff>43961</xdr:rowOff>
    </xdr:from>
    <xdr:to>
      <xdr:col>11</xdr:col>
      <xdr:colOff>21597</xdr:colOff>
      <xdr:row>39</xdr:row>
      <xdr:rowOff>120161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E73B5-424D-4FD8-AF09-3146E6D59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402980</xdr:colOff>
      <xdr:row>42</xdr:row>
      <xdr:rowOff>161193</xdr:rowOff>
    </xdr:from>
    <xdr:to>
      <xdr:col>22</xdr:col>
      <xdr:colOff>94867</xdr:colOff>
      <xdr:row>57</xdr:row>
      <xdr:rowOff>46893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12AA7A-DA58-4832-A2DC-FF8222386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190503</xdr:colOff>
      <xdr:row>25</xdr:row>
      <xdr:rowOff>153865</xdr:rowOff>
    </xdr:from>
    <xdr:to>
      <xdr:col>19</xdr:col>
      <xdr:colOff>490524</xdr:colOff>
      <xdr:row>40</xdr:row>
      <xdr:rowOff>39565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AF59C6-C0C4-4B94-B577-2EE476B6A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388327</xdr:colOff>
      <xdr:row>23</xdr:row>
      <xdr:rowOff>102576</xdr:rowOff>
    </xdr:from>
    <xdr:to>
      <xdr:col>33</xdr:col>
      <xdr:colOff>138829</xdr:colOff>
      <xdr:row>37</xdr:row>
      <xdr:rowOff>178776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B32AA5-780B-4404-94DA-1B991595E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835269</xdr:colOff>
      <xdr:row>24</xdr:row>
      <xdr:rowOff>117231</xdr:rowOff>
    </xdr:from>
    <xdr:to>
      <xdr:col>12</xdr:col>
      <xdr:colOff>256060</xdr:colOff>
      <xdr:row>39</xdr:row>
      <xdr:rowOff>2931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4D00B0-A48E-409F-8727-318ED565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300404</xdr:colOff>
      <xdr:row>25</xdr:row>
      <xdr:rowOff>124557</xdr:rowOff>
    </xdr:from>
    <xdr:to>
      <xdr:col>12</xdr:col>
      <xdr:colOff>600426</xdr:colOff>
      <xdr:row>40</xdr:row>
      <xdr:rowOff>10257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90D071-6CB7-49E2-9C17-7EFC40D03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655551</xdr:colOff>
      <xdr:row>25</xdr:row>
      <xdr:rowOff>66977</xdr:rowOff>
    </xdr:from>
    <xdr:to>
      <xdr:col>12</xdr:col>
      <xdr:colOff>76342</xdr:colOff>
      <xdr:row>39</xdr:row>
      <xdr:rowOff>143177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FF7663-0423-4257-91D7-B30E6B74A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478800</xdr:colOff>
      <xdr:row>26</xdr:row>
      <xdr:rowOff>79960</xdr:rowOff>
    </xdr:from>
    <xdr:to>
      <xdr:col>11</xdr:col>
      <xdr:colOff>509000</xdr:colOff>
      <xdr:row>40</xdr:row>
      <xdr:rowOff>156160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5C4C82-4983-4B00-A353-C59A88986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402981</xdr:colOff>
      <xdr:row>25</xdr:row>
      <xdr:rowOff>21980</xdr:rowOff>
    </xdr:from>
    <xdr:to>
      <xdr:col>10</xdr:col>
      <xdr:colOff>490522</xdr:colOff>
      <xdr:row>39</xdr:row>
      <xdr:rowOff>98180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6DD825-7AAA-484E-B584-590D0021F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446940</xdr:colOff>
      <xdr:row>23</xdr:row>
      <xdr:rowOff>131884</xdr:rowOff>
    </xdr:from>
    <xdr:to>
      <xdr:col>11</xdr:col>
      <xdr:colOff>475865</xdr:colOff>
      <xdr:row>38</xdr:row>
      <xdr:rowOff>17584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691DE4-82D4-48EF-99CE-B9DB2E235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571500</xdr:colOff>
      <xdr:row>23</xdr:row>
      <xdr:rowOff>109903</xdr:rowOff>
    </xdr:from>
    <xdr:to>
      <xdr:col>11</xdr:col>
      <xdr:colOff>600425</xdr:colOff>
      <xdr:row>37</xdr:row>
      <xdr:rowOff>186103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506A9D-B179-40DE-BD0B-8D2AE0A70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168520</xdr:colOff>
      <xdr:row>24</xdr:row>
      <xdr:rowOff>80596</xdr:rowOff>
    </xdr:from>
    <xdr:to>
      <xdr:col>12</xdr:col>
      <xdr:colOff>468542</xdr:colOff>
      <xdr:row>38</xdr:row>
      <xdr:rowOff>156796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913474-A088-4D12-92CE-968BEC3F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410309</xdr:colOff>
      <xdr:row>25</xdr:row>
      <xdr:rowOff>95250</xdr:rowOff>
    </xdr:from>
    <xdr:to>
      <xdr:col>11</xdr:col>
      <xdr:colOff>439234</xdr:colOff>
      <xdr:row>39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F18D2B-625D-4779-A7B2-9FD361D64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692553</xdr:colOff>
      <xdr:row>24</xdr:row>
      <xdr:rowOff>138894</xdr:rowOff>
    </xdr:from>
    <xdr:to>
      <xdr:col>12</xdr:col>
      <xdr:colOff>113344</xdr:colOff>
      <xdr:row>39</xdr:row>
      <xdr:rowOff>24594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88DEA1-4504-41F4-928C-73597CC7C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545695</xdr:colOff>
      <xdr:row>23</xdr:row>
      <xdr:rowOff>182855</xdr:rowOff>
    </xdr:from>
    <xdr:to>
      <xdr:col>11</xdr:col>
      <xdr:colOff>579398</xdr:colOff>
      <xdr:row>38</xdr:row>
      <xdr:rowOff>68555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DCFD09D-8DFE-480C-8854-852C5AA6C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593482</xdr:colOff>
      <xdr:row>23</xdr:row>
      <xdr:rowOff>95251</xdr:rowOff>
    </xdr:from>
    <xdr:to>
      <xdr:col>13</xdr:col>
      <xdr:colOff>285369</xdr:colOff>
      <xdr:row>37</xdr:row>
      <xdr:rowOff>171451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ACCA3A9-9D1C-4EF1-8237-4DDF9BE93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95250</xdr:colOff>
      <xdr:row>24</xdr:row>
      <xdr:rowOff>7328</xdr:rowOff>
    </xdr:from>
    <xdr:to>
      <xdr:col>13</xdr:col>
      <xdr:colOff>395272</xdr:colOff>
      <xdr:row>38</xdr:row>
      <xdr:rowOff>83528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7199419-B538-4633-BF25-95137F8D7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307730</xdr:colOff>
      <xdr:row>23</xdr:row>
      <xdr:rowOff>139211</xdr:rowOff>
    </xdr:from>
    <xdr:to>
      <xdr:col>13</xdr:col>
      <xdr:colOff>607752</xdr:colOff>
      <xdr:row>38</xdr:row>
      <xdr:rowOff>24911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1F3F41A-AFD5-43D0-A399-5F698466F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65942</xdr:colOff>
      <xdr:row>23</xdr:row>
      <xdr:rowOff>175845</xdr:rowOff>
    </xdr:from>
    <xdr:to>
      <xdr:col>18</xdr:col>
      <xdr:colOff>365964</xdr:colOff>
      <xdr:row>38</xdr:row>
      <xdr:rowOff>61545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C4C16C3-FDD2-4214-BACF-EDF39A8E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483575</xdr:colOff>
      <xdr:row>23</xdr:row>
      <xdr:rowOff>102578</xdr:rowOff>
    </xdr:from>
    <xdr:to>
      <xdr:col>15</xdr:col>
      <xdr:colOff>175462</xdr:colOff>
      <xdr:row>37</xdr:row>
      <xdr:rowOff>178778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23A4191-8B17-4EC4-99E1-574FECFE1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395656</xdr:colOff>
      <xdr:row>25</xdr:row>
      <xdr:rowOff>51289</xdr:rowOff>
    </xdr:from>
    <xdr:to>
      <xdr:col>23</xdr:col>
      <xdr:colOff>87543</xdr:colOff>
      <xdr:row>39</xdr:row>
      <xdr:rowOff>127489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8C74FC-BFCC-411C-BE80-3A61A13D5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65941</xdr:colOff>
      <xdr:row>24</xdr:row>
      <xdr:rowOff>102577</xdr:rowOff>
    </xdr:from>
    <xdr:to>
      <xdr:col>23</xdr:col>
      <xdr:colOff>365963</xdr:colOff>
      <xdr:row>38</xdr:row>
      <xdr:rowOff>178777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7B3F05D-4F1F-47C2-BD1B-2B5F70BF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505558</xdr:colOff>
      <xdr:row>24</xdr:row>
      <xdr:rowOff>109905</xdr:rowOff>
    </xdr:from>
    <xdr:to>
      <xdr:col>23</xdr:col>
      <xdr:colOff>197445</xdr:colOff>
      <xdr:row>38</xdr:row>
      <xdr:rowOff>186105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FB23F56-1001-43E9-A513-E0D8EA3B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124557</xdr:colOff>
      <xdr:row>22</xdr:row>
      <xdr:rowOff>146538</xdr:rowOff>
    </xdr:from>
    <xdr:to>
      <xdr:col>25</xdr:col>
      <xdr:colOff>424579</xdr:colOff>
      <xdr:row>37</xdr:row>
      <xdr:rowOff>32238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DBCD638-1376-4383-9C6F-CDF4D90CF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366347</xdr:colOff>
      <xdr:row>23</xdr:row>
      <xdr:rowOff>51289</xdr:rowOff>
    </xdr:from>
    <xdr:to>
      <xdr:col>25</xdr:col>
      <xdr:colOff>58234</xdr:colOff>
      <xdr:row>37</xdr:row>
      <xdr:rowOff>127489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F0AEDE9-3E8C-432C-B1E3-F04F050C5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212482</xdr:colOff>
      <xdr:row>23</xdr:row>
      <xdr:rowOff>80596</xdr:rowOff>
    </xdr:from>
    <xdr:to>
      <xdr:col>25</xdr:col>
      <xdr:colOff>512504</xdr:colOff>
      <xdr:row>37</xdr:row>
      <xdr:rowOff>156796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FB619BC-231B-4C42-B6F8-5608A4632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12</xdr:row>
      <xdr:rowOff>4762</xdr:rowOff>
    </xdr:from>
    <xdr:to>
      <xdr:col>12</xdr:col>
      <xdr:colOff>180975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7D029-D6AA-441F-B3E1-1AF21316F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11</xdr:row>
      <xdr:rowOff>133350</xdr:rowOff>
    </xdr:from>
    <xdr:to>
      <xdr:col>20</xdr:col>
      <xdr:colOff>504825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3AFF2-212B-4D14-81EF-F5901797E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4762</xdr:rowOff>
    </xdr:from>
    <xdr:to>
      <xdr:col>9</xdr:col>
      <xdr:colOff>180975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4A04A-1B02-41D0-8256-437CAD864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10</xdr:row>
      <xdr:rowOff>133350</xdr:rowOff>
    </xdr:from>
    <xdr:to>
      <xdr:col>17</xdr:col>
      <xdr:colOff>504825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32BF6-3CBB-47F5-9336-A057AAFCB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zmogerr_iu_edu/Documents/Lab.Notebook/20190820_Bifidobacterium/data/20211012_OD-cell.count_std.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c"/>
      <sheetName val="F6"/>
      <sheetName val="Std curve"/>
    </sheetNames>
    <sheetDataSet>
      <sheetData sheetId="0" refreshError="1"/>
      <sheetData sheetId="1" refreshError="1"/>
      <sheetData sheetId="2">
        <row r="2">
          <cell r="C2">
            <v>1.1000000000000001</v>
          </cell>
          <cell r="H2">
            <v>245200000</v>
          </cell>
        </row>
        <row r="3">
          <cell r="C3">
            <v>0.996</v>
          </cell>
          <cell r="H3">
            <v>204190000</v>
          </cell>
        </row>
        <row r="4">
          <cell r="C4">
            <v>0.745</v>
          </cell>
          <cell r="H4">
            <v>147540000</v>
          </cell>
        </row>
        <row r="5">
          <cell r="C5">
            <v>0.66400000000000003</v>
          </cell>
          <cell r="H5">
            <v>125150000</v>
          </cell>
        </row>
        <row r="6">
          <cell r="C6">
            <v>0.57299999999999995</v>
          </cell>
          <cell r="H6">
            <v>105680000</v>
          </cell>
        </row>
        <row r="7">
          <cell r="C7">
            <v>0.38</v>
          </cell>
          <cell r="H7">
            <v>66050000</v>
          </cell>
        </row>
        <row r="8">
          <cell r="C8">
            <v>0.308</v>
          </cell>
          <cell r="H8">
            <v>60290000</v>
          </cell>
        </row>
        <row r="9">
          <cell r="C9">
            <v>0.14899999999999999</v>
          </cell>
          <cell r="H9">
            <v>29865000</v>
          </cell>
        </row>
        <row r="10">
          <cell r="C10">
            <v>1.498</v>
          </cell>
          <cell r="H10">
            <v>308780000</v>
          </cell>
        </row>
        <row r="11">
          <cell r="C11">
            <v>1.417</v>
          </cell>
          <cell r="H11">
            <v>236720000</v>
          </cell>
        </row>
        <row r="12">
          <cell r="C12">
            <v>1.3240000000000001</v>
          </cell>
          <cell r="H12">
            <v>286220000</v>
          </cell>
        </row>
        <row r="13">
          <cell r="C13">
            <v>1.155</v>
          </cell>
          <cell r="H13">
            <v>195920000</v>
          </cell>
        </row>
        <row r="14">
          <cell r="C14">
            <v>0.91100000000000003</v>
          </cell>
          <cell r="H14">
            <v>150610000</v>
          </cell>
        </row>
        <row r="15">
          <cell r="C15">
            <v>0.80200000000000005</v>
          </cell>
          <cell r="H15">
            <v>124260000</v>
          </cell>
        </row>
        <row r="16">
          <cell r="C16">
            <v>0.52900000000000003</v>
          </cell>
          <cell r="H16">
            <v>100190000</v>
          </cell>
        </row>
        <row r="17">
          <cell r="C17">
            <v>0.46100000000000002</v>
          </cell>
          <cell r="H17">
            <v>62220000</v>
          </cell>
        </row>
        <row r="18">
          <cell r="C18">
            <v>0.222</v>
          </cell>
          <cell r="H18">
            <v>32132000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E39E-E030-4333-8AC2-972A6F156884}">
  <dimension ref="A2:A7"/>
  <sheetViews>
    <sheetView workbookViewId="0">
      <selection activeCell="A8" sqref="A8"/>
    </sheetView>
  </sheetViews>
  <sheetFormatPr defaultRowHeight="15" x14ac:dyDescent="0.25"/>
  <sheetData>
    <row r="2" spans="1:1" x14ac:dyDescent="0.25">
      <c r="A2" t="s">
        <v>165</v>
      </c>
    </row>
    <row r="3" spans="1:1" x14ac:dyDescent="0.25">
      <c r="A3" t="s">
        <v>166</v>
      </c>
    </row>
    <row r="5" spans="1:1" x14ac:dyDescent="0.25">
      <c r="A5" t="s">
        <v>167</v>
      </c>
    </row>
    <row r="6" spans="1:1" x14ac:dyDescent="0.25">
      <c r="A6" t="s">
        <v>168</v>
      </c>
    </row>
    <row r="7" spans="1:1" x14ac:dyDescent="0.25">
      <c r="A7" t="s">
        <v>169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FB15-D187-40FD-8BD9-7F9C898403BF}">
  <dimension ref="A1:L30"/>
  <sheetViews>
    <sheetView workbookViewId="0">
      <selection activeCell="L37" sqref="L37"/>
    </sheetView>
  </sheetViews>
  <sheetFormatPr defaultRowHeight="15" x14ac:dyDescent="0.25"/>
  <cols>
    <col min="5" max="5" width="10" bestFit="1" customWidth="1"/>
    <col min="12" max="12" width="10" bestFit="1" customWidth="1"/>
  </cols>
  <sheetData>
    <row r="1" spans="1:8" s="8" customFormat="1" x14ac:dyDescent="0.25">
      <c r="A1" s="8" t="s">
        <v>125</v>
      </c>
      <c r="B1" s="8" t="s">
        <v>128</v>
      </c>
      <c r="C1" s="8" t="s">
        <v>124</v>
      </c>
      <c r="D1" s="8" t="s">
        <v>5</v>
      </c>
      <c r="E1" s="8" t="s">
        <v>127</v>
      </c>
      <c r="F1" s="8" t="s">
        <v>123</v>
      </c>
      <c r="G1" s="8" t="s">
        <v>126</v>
      </c>
      <c r="H1" s="8" t="s">
        <v>122</v>
      </c>
    </row>
    <row r="2" spans="1:8" x14ac:dyDescent="0.25">
      <c r="A2">
        <v>1</v>
      </c>
      <c r="B2">
        <v>10</v>
      </c>
      <c r="C2">
        <v>10</v>
      </c>
      <c r="D2">
        <v>2</v>
      </c>
      <c r="E2">
        <f>B2*$D2</f>
        <v>20</v>
      </c>
      <c r="F2">
        <f>C2*$D2</f>
        <v>20</v>
      </c>
      <c r="G2">
        <v>15341</v>
      </c>
      <c r="H2">
        <v>6912</v>
      </c>
    </row>
    <row r="3" spans="1:8" x14ac:dyDescent="0.25">
      <c r="A3">
        <v>2</v>
      </c>
      <c r="B3">
        <v>10</v>
      </c>
      <c r="C3">
        <v>10</v>
      </c>
      <c r="D3">
        <v>5</v>
      </c>
      <c r="E3">
        <f>B3*$D3</f>
        <v>50</v>
      </c>
      <c r="F3">
        <f>C3*$D3</f>
        <v>50</v>
      </c>
      <c r="G3">
        <v>45222</v>
      </c>
      <c r="H3">
        <v>25878</v>
      </c>
    </row>
    <row r="4" spans="1:8" x14ac:dyDescent="0.25">
      <c r="A4">
        <v>3</v>
      </c>
      <c r="B4">
        <v>10</v>
      </c>
      <c r="C4">
        <v>10</v>
      </c>
      <c r="D4">
        <v>10</v>
      </c>
      <c r="E4">
        <f>B4*$D4</f>
        <v>100</v>
      </c>
      <c r="F4">
        <f>C4*$D4</f>
        <v>100</v>
      </c>
      <c r="G4">
        <v>89673</v>
      </c>
      <c r="H4">
        <v>47629</v>
      </c>
    </row>
    <row r="5" spans="1:8" x14ac:dyDescent="0.25">
      <c r="A5">
        <v>4</v>
      </c>
      <c r="B5">
        <v>10</v>
      </c>
      <c r="C5">
        <v>10</v>
      </c>
      <c r="D5">
        <v>25</v>
      </c>
      <c r="E5">
        <f>B5*$D5</f>
        <v>250</v>
      </c>
      <c r="F5">
        <f>C5*$D5</f>
        <v>250</v>
      </c>
      <c r="G5">
        <v>223600</v>
      </c>
      <c r="H5">
        <v>101355</v>
      </c>
    </row>
    <row r="6" spans="1:8" x14ac:dyDescent="0.25">
      <c r="A6">
        <v>5</v>
      </c>
      <c r="B6">
        <v>10</v>
      </c>
      <c r="C6">
        <v>10</v>
      </c>
      <c r="D6">
        <v>50</v>
      </c>
      <c r="E6">
        <f>B6*$D6</f>
        <v>500</v>
      </c>
      <c r="F6">
        <f>C6*$D6</f>
        <v>500</v>
      </c>
      <c r="G6">
        <v>442311</v>
      </c>
      <c r="H6">
        <v>199728</v>
      </c>
    </row>
    <row r="28" spans="4:12" x14ac:dyDescent="0.25">
      <c r="D28" t="s">
        <v>130</v>
      </c>
      <c r="K28" t="s">
        <v>129</v>
      </c>
    </row>
    <row r="29" spans="4:12" x14ac:dyDescent="0.25">
      <c r="D29" t="s">
        <v>121</v>
      </c>
      <c r="E29">
        <v>1.1278E-3</v>
      </c>
      <c r="K29" t="s">
        <v>121</v>
      </c>
      <c r="L29">
        <v>2.5457000000000001E-3</v>
      </c>
    </row>
    <row r="30" spans="4:12" x14ac:dyDescent="0.25">
      <c r="D30" t="s">
        <v>120</v>
      </c>
      <c r="E30">
        <v>-8.3845600000000006E-2</v>
      </c>
      <c r="K30" t="s">
        <v>120</v>
      </c>
      <c r="L30">
        <v>-10.236106100000001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8009-A669-4A79-84CA-DA16A8B6193C}">
  <dimension ref="A1:AM56"/>
  <sheetViews>
    <sheetView tabSelected="1" workbookViewId="0">
      <pane ySplit="1" topLeftCell="A2" activePane="bottomLeft" state="frozen"/>
      <selection activeCell="F1" sqref="F1"/>
      <selection pane="bottomLeft" activeCell="A28" sqref="A28:XFD28"/>
    </sheetView>
  </sheetViews>
  <sheetFormatPr defaultRowHeight="15" x14ac:dyDescent="0.25"/>
  <cols>
    <col min="6" max="6" width="18.28515625" customWidth="1"/>
    <col min="16" max="16" width="10.42578125" style="11" customWidth="1"/>
    <col min="18" max="18" width="20.28515625" style="6" customWidth="1"/>
    <col min="19" max="19" width="22.5703125" style="6" customWidth="1"/>
    <col min="20" max="20" width="22.42578125" style="6" customWidth="1"/>
    <col min="21" max="21" width="9.140625" style="6"/>
  </cols>
  <sheetData>
    <row r="1" spans="1:39" x14ac:dyDescent="0.25">
      <c r="A1" t="s">
        <v>20</v>
      </c>
      <c r="B1" t="s">
        <v>164</v>
      </c>
      <c r="C1" t="s">
        <v>163</v>
      </c>
      <c r="D1" t="s">
        <v>162</v>
      </c>
      <c r="E1" t="s">
        <v>22</v>
      </c>
      <c r="F1" t="s">
        <v>19</v>
      </c>
      <c r="G1" t="s">
        <v>161</v>
      </c>
      <c r="H1" t="s">
        <v>160</v>
      </c>
      <c r="I1" t="s">
        <v>159</v>
      </c>
      <c r="J1" t="s">
        <v>58</v>
      </c>
      <c r="K1" t="s">
        <v>59</v>
      </c>
      <c r="L1" t="s">
        <v>60</v>
      </c>
      <c r="M1" t="s">
        <v>61</v>
      </c>
      <c r="N1" t="s">
        <v>64</v>
      </c>
      <c r="O1" t="s">
        <v>62</v>
      </c>
      <c r="P1" s="11" t="s">
        <v>74</v>
      </c>
      <c r="Q1" t="s">
        <v>63</v>
      </c>
      <c r="R1" s="5" t="s">
        <v>79</v>
      </c>
      <c r="S1" s="5" t="s">
        <v>78</v>
      </c>
      <c r="T1" s="5" t="s">
        <v>80</v>
      </c>
      <c r="U1" s="5" t="s">
        <v>81</v>
      </c>
      <c r="V1" s="5" t="s">
        <v>83</v>
      </c>
      <c r="W1" s="5" t="s">
        <v>84</v>
      </c>
      <c r="X1" s="5" t="s">
        <v>85</v>
      </c>
      <c r="Y1" s="5" t="s">
        <v>86</v>
      </c>
      <c r="Z1" s="8" t="s">
        <v>158</v>
      </c>
      <c r="AA1" s="8" t="s">
        <v>157</v>
      </c>
      <c r="AB1" s="8" t="s">
        <v>156</v>
      </c>
      <c r="AC1" s="8" t="s">
        <v>155</v>
      </c>
      <c r="AD1" s="8" t="s">
        <v>154</v>
      </c>
      <c r="AE1" s="8" t="s">
        <v>153</v>
      </c>
      <c r="AF1" s="8" t="s">
        <v>152</v>
      </c>
      <c r="AG1" s="8" t="s">
        <v>151</v>
      </c>
      <c r="AH1" s="8" t="s">
        <v>150</v>
      </c>
      <c r="AI1" s="8" t="s">
        <v>149</v>
      </c>
      <c r="AJ1" s="8" t="s">
        <v>148</v>
      </c>
      <c r="AK1" s="8" t="s">
        <v>147</v>
      </c>
      <c r="AL1" s="8" t="s">
        <v>146</v>
      </c>
      <c r="AM1" s="8" t="s">
        <v>145</v>
      </c>
    </row>
    <row r="2" spans="1:39" x14ac:dyDescent="0.25">
      <c r="A2">
        <v>1</v>
      </c>
      <c r="B2">
        <f>A2+200</f>
        <v>201</v>
      </c>
      <c r="C2">
        <v>1</v>
      </c>
      <c r="D2" t="s">
        <v>23</v>
      </c>
      <c r="E2" t="s">
        <v>56</v>
      </c>
      <c r="F2" t="s">
        <v>24</v>
      </c>
      <c r="G2" t="s">
        <v>143</v>
      </c>
      <c r="H2" t="s">
        <v>143</v>
      </c>
      <c r="I2" t="s">
        <v>144</v>
      </c>
      <c r="J2" t="e">
        <f>Samples!O58-Samples!O2</f>
        <v>#VALUE!</v>
      </c>
      <c r="K2">
        <f>Samples!P58-Samples!P2</f>
        <v>-6.9099211100000026</v>
      </c>
      <c r="L2">
        <f>Samples!Q58-Samples!Q2</f>
        <v>0.43080839999999965</v>
      </c>
      <c r="M2">
        <f>Samples!R58-Samples!R2</f>
        <v>13.883200946666665</v>
      </c>
      <c r="N2">
        <f>1024-80</f>
        <v>944</v>
      </c>
      <c r="O2">
        <f>N2/1000</f>
        <v>0.94399999999999995</v>
      </c>
      <c r="P2" s="11">
        <f>'Std curve values (OD-cell dens)'!$J$2*Flux_csv_output!O2+'Std curve values (OD-cell dens)'!$J$3</f>
        <v>196063455.35999998</v>
      </c>
      <c r="Q2">
        <v>0.18179999999999999</v>
      </c>
      <c r="R2" t="e">
        <f>J2/$P2*$Q2</f>
        <v>#VALUE!</v>
      </c>
      <c r="S2">
        <f>K2/$P2*$Q2</f>
        <v>-6.4072300240317495E-9</v>
      </c>
      <c r="T2">
        <f>L2/$P2*$Q2</f>
        <v>3.9946744270211734E-10</v>
      </c>
      <c r="U2">
        <f>M2/$P2*$Q2</f>
        <v>1.287320947939862E-8</v>
      </c>
      <c r="V2" t="e">
        <f>R2*10^9</f>
        <v>#VALUE!</v>
      </c>
      <c r="W2">
        <f>S2*10^9</f>
        <v>-6.4072300240317492</v>
      </c>
      <c r="X2">
        <f>T2*10^9</f>
        <v>0.39946744270211731</v>
      </c>
      <c r="Y2">
        <f>U2*10^9</f>
        <v>12.87320947939862</v>
      </c>
      <c r="Z2">
        <v>0</v>
      </c>
      <c r="AA2">
        <v>-6.4072300240317492</v>
      </c>
      <c r="AB2">
        <v>0.39946744270211731</v>
      </c>
      <c r="AC2">
        <v>12.87320947939862</v>
      </c>
      <c r="AD2">
        <v>0</v>
      </c>
      <c r="AE2">
        <v>-6.4072300240317492</v>
      </c>
      <c r="AF2">
        <v>0.19217813948682982</v>
      </c>
      <c r="AG2">
        <v>9.5268669036980764</v>
      </c>
      <c r="AH2">
        <v>0</v>
      </c>
      <c r="AI2">
        <v>4.2684932838770466</v>
      </c>
      <c r="AJ2">
        <v>0.39946744270211731</v>
      </c>
      <c r="AK2">
        <v>12.87320947939862</v>
      </c>
      <c r="AL2">
        <f>-1*AD2</f>
        <v>0</v>
      </c>
      <c r="AM2">
        <f>-1*AE2</f>
        <v>6.4072300240317492</v>
      </c>
    </row>
    <row r="3" spans="1:39" x14ac:dyDescent="0.25">
      <c r="A3">
        <v>2</v>
      </c>
      <c r="B3">
        <f>A3+200</f>
        <v>202</v>
      </c>
      <c r="C3">
        <v>2</v>
      </c>
      <c r="D3" t="s">
        <v>25</v>
      </c>
      <c r="E3" t="s">
        <v>56</v>
      </c>
      <c r="F3" t="s">
        <v>24</v>
      </c>
      <c r="G3" t="s">
        <v>143</v>
      </c>
      <c r="H3" t="s">
        <v>143</v>
      </c>
      <c r="I3" t="s">
        <v>144</v>
      </c>
      <c r="J3" t="e">
        <f>Samples!O59-Samples!O3</f>
        <v>#VALUE!</v>
      </c>
      <c r="K3">
        <f>Samples!P59-Samples!P3</f>
        <v>-7.7494347299999937</v>
      </c>
      <c r="L3">
        <f>Samples!Q59-Samples!Q3</f>
        <v>3.0881980799999993</v>
      </c>
      <c r="M3">
        <f>Samples!R59-Samples!R3</f>
        <v>13.921103039999998</v>
      </c>
      <c r="N3">
        <f>1056-115</f>
        <v>941</v>
      </c>
      <c r="O3">
        <f>N3/1000</f>
        <v>0.94099999999999995</v>
      </c>
      <c r="P3" s="11">
        <f>'Std curve values (OD-cell dens)'!$J$2*Flux_csv_output!O3+'Std curve values (OD-cell dens)'!$J$3</f>
        <v>195398446.66499999</v>
      </c>
      <c r="Q3">
        <v>0.2346</v>
      </c>
      <c r="R3" t="e">
        <f>J3/$P3*$Q3</f>
        <v>#VALUE!</v>
      </c>
      <c r="S3">
        <f>K3/$P3*$Q3</f>
        <v>-9.3041547601188994E-9</v>
      </c>
      <c r="T3">
        <f>L3/$P3*$Q3</f>
        <v>3.707763710169614E-9</v>
      </c>
      <c r="U3">
        <f>M3/$P3*$Q3</f>
        <v>1.6714005811843488E-8</v>
      </c>
      <c r="V3" t="e">
        <f>R3*10^9</f>
        <v>#VALUE!</v>
      </c>
      <c r="W3">
        <f>S3*10^9</f>
        <v>-9.3041547601188999</v>
      </c>
      <c r="X3">
        <f>T3*10^9</f>
        <v>3.7077637101696141</v>
      </c>
      <c r="Y3">
        <f>U3*10^9</f>
        <v>16.714005811843489</v>
      </c>
      <c r="Z3">
        <v>0</v>
      </c>
      <c r="AA3">
        <v>-9.3041547601188999</v>
      </c>
      <c r="AB3">
        <v>3.7077637101696141</v>
      </c>
      <c r="AC3">
        <v>16.714005811843489</v>
      </c>
      <c r="AD3">
        <v>0</v>
      </c>
      <c r="AE3">
        <v>-9.3041547601188999</v>
      </c>
      <c r="AF3">
        <v>0.19217813948682982</v>
      </c>
      <c r="AG3">
        <v>9.5268669036980764</v>
      </c>
      <c r="AH3">
        <v>0</v>
      </c>
      <c r="AI3">
        <v>4.2684932838770466</v>
      </c>
      <c r="AJ3">
        <v>3.7077637101696141</v>
      </c>
      <c r="AK3">
        <v>16.714005811843489</v>
      </c>
      <c r="AL3">
        <f>-1*AD3</f>
        <v>0</v>
      </c>
      <c r="AM3">
        <f>-1*AE3</f>
        <v>9.3041547601188999</v>
      </c>
    </row>
    <row r="4" spans="1:39" x14ac:dyDescent="0.25">
      <c r="A4">
        <v>3</v>
      </c>
      <c r="B4">
        <f>A4+200</f>
        <v>203</v>
      </c>
      <c r="C4">
        <v>3</v>
      </c>
      <c r="D4" t="s">
        <v>26</v>
      </c>
      <c r="E4" t="s">
        <v>56</v>
      </c>
      <c r="F4" t="s">
        <v>24</v>
      </c>
      <c r="G4" t="s">
        <v>143</v>
      </c>
      <c r="H4" t="s">
        <v>143</v>
      </c>
      <c r="I4" t="s">
        <v>144</v>
      </c>
      <c r="J4" t="e">
        <f>Samples!O60-Samples!O4</f>
        <v>#VALUE!</v>
      </c>
      <c r="K4">
        <f>Samples!P60-Samples!P4</f>
        <v>-8.0539213399999952</v>
      </c>
      <c r="L4">
        <f>Samples!Q60-Samples!Q4</f>
        <v>0.68986103999999981</v>
      </c>
      <c r="M4">
        <f>Samples!R60-Samples!R4</f>
        <v>13.478272253333333</v>
      </c>
      <c r="N4">
        <f>1103-181</f>
        <v>922</v>
      </c>
      <c r="O4">
        <f>N4/1000</f>
        <v>0.92200000000000004</v>
      </c>
      <c r="P4" s="11">
        <f>'Std curve values (OD-cell dens)'!$J$2*Flux_csv_output!O4+'Std curve values (OD-cell dens)'!$J$3</f>
        <v>191186724.93000001</v>
      </c>
      <c r="Q4">
        <v>0.16669999999999999</v>
      </c>
      <c r="R4" t="e">
        <f>J4/$P4*$Q4</f>
        <v>#VALUE!</v>
      </c>
      <c r="S4">
        <f>K4/$P4*$Q4</f>
        <v>-7.0223949276267308E-9</v>
      </c>
      <c r="T4">
        <f>L4/$P4*$Q4</f>
        <v>6.0150533678583241E-10</v>
      </c>
      <c r="U4">
        <f>M4/$P4*$Q4</f>
        <v>1.1752008333493379E-8</v>
      </c>
      <c r="V4" t="e">
        <f>R4*10^9</f>
        <v>#VALUE!</v>
      </c>
      <c r="W4">
        <f>S4*10^9</f>
        <v>-7.0223949276267303</v>
      </c>
      <c r="X4">
        <f>T4*10^9</f>
        <v>0.6015053367858324</v>
      </c>
      <c r="Y4">
        <f>U4*10^9</f>
        <v>11.752008333493379</v>
      </c>
      <c r="Z4">
        <v>0</v>
      </c>
      <c r="AA4">
        <v>-7.0223949276267303</v>
      </c>
      <c r="AB4">
        <v>0.6015053367858324</v>
      </c>
      <c r="AC4">
        <v>11.752008333493379</v>
      </c>
      <c r="AD4">
        <v>0</v>
      </c>
      <c r="AE4">
        <v>-7.0223949276267303</v>
      </c>
      <c r="AF4">
        <v>0.19217813948682999</v>
      </c>
      <c r="AG4">
        <v>9.52686690369808</v>
      </c>
      <c r="AH4">
        <v>0</v>
      </c>
      <c r="AI4">
        <v>4.2684932838770502</v>
      </c>
      <c r="AJ4">
        <v>0.6015053367858324</v>
      </c>
      <c r="AK4">
        <v>11.752008333493379</v>
      </c>
      <c r="AL4">
        <f>-1*AD4</f>
        <v>0</v>
      </c>
      <c r="AM4">
        <f>-1*AE4</f>
        <v>7.0223949276267303</v>
      </c>
    </row>
    <row r="5" spans="1:39" x14ac:dyDescent="0.25">
      <c r="A5">
        <v>4</v>
      </c>
      <c r="B5">
        <f>A5+200</f>
        <v>204</v>
      </c>
      <c r="C5">
        <v>4</v>
      </c>
      <c r="D5" t="s">
        <v>27</v>
      </c>
      <c r="E5" t="s">
        <v>56</v>
      </c>
      <c r="F5" t="s">
        <v>24</v>
      </c>
      <c r="G5" t="s">
        <v>143</v>
      </c>
      <c r="H5" t="s">
        <v>143</v>
      </c>
      <c r="I5" t="s">
        <v>138</v>
      </c>
      <c r="J5">
        <f>Samples!O61-Samples!O5</f>
        <v>-1.21259294</v>
      </c>
      <c r="K5">
        <f>Samples!P61-Samples!P5</f>
        <v>-10.927765640000004</v>
      </c>
      <c r="L5">
        <f>Samples!Q61-Samples!Q5</f>
        <v>8.9780697599999986</v>
      </c>
      <c r="M5">
        <f>Samples!R61-Samples!R5</f>
        <v>17.125988906666663</v>
      </c>
      <c r="N5">
        <f>1081-70</f>
        <v>1011</v>
      </c>
      <c r="O5">
        <f>N5/1000</f>
        <v>1.0109999999999999</v>
      </c>
      <c r="P5" s="11">
        <f>'Std curve values (OD-cell dens)'!$J$2*Flux_csv_output!O5+'Std curve values (OD-cell dens)'!$J$3</f>
        <v>210915316.21499997</v>
      </c>
      <c r="Q5">
        <v>0.25459999999999999</v>
      </c>
      <c r="R5">
        <f>J5/$P5*$Q5</f>
        <v>-1.4637446348813044E-9</v>
      </c>
      <c r="S5">
        <f>K5/$P5*$Q5</f>
        <v>-1.319111945909092E-8</v>
      </c>
      <c r="T5">
        <f>L5/$P5*$Q5</f>
        <v>1.083760346055625E-8</v>
      </c>
      <c r="U5">
        <f>M5/$P5*$Q5</f>
        <v>2.0673115892601241E-8</v>
      </c>
      <c r="V5">
        <f>R5*10^9</f>
        <v>-1.4637446348813044</v>
      </c>
      <c r="W5">
        <f>S5*10^9</f>
        <v>-13.19111945909092</v>
      </c>
      <c r="X5">
        <f>T5*10^9</f>
        <v>10.837603460556251</v>
      </c>
      <c r="Y5">
        <f>U5*10^9</f>
        <v>20.673115892601242</v>
      </c>
      <c r="Z5">
        <v>-1.4637446348813044</v>
      </c>
      <c r="AA5">
        <v>-13.19111945909092</v>
      </c>
      <c r="AB5">
        <v>10.837603460556251</v>
      </c>
      <c r="AC5">
        <v>20.673115892601242</v>
      </c>
      <c r="AD5">
        <v>0</v>
      </c>
      <c r="AE5">
        <v>-13.19111945909092</v>
      </c>
      <c r="AF5">
        <v>0.19217813948682999</v>
      </c>
      <c r="AG5">
        <v>9.52686690369808</v>
      </c>
      <c r="AH5">
        <v>0</v>
      </c>
      <c r="AI5">
        <v>4.2684932838770502</v>
      </c>
      <c r="AJ5">
        <v>10.837603460556251</v>
      </c>
      <c r="AK5">
        <v>20.673115892601242</v>
      </c>
      <c r="AL5">
        <f>-1*AD5</f>
        <v>0</v>
      </c>
      <c r="AM5">
        <f>-1*AE5</f>
        <v>13.19111945909092</v>
      </c>
    </row>
    <row r="6" spans="1:39" x14ac:dyDescent="0.25">
      <c r="A6">
        <v>5</v>
      </c>
      <c r="B6">
        <f>A6+200</f>
        <v>205</v>
      </c>
      <c r="C6">
        <v>5</v>
      </c>
      <c r="D6" t="s">
        <v>28</v>
      </c>
      <c r="E6" t="s">
        <v>56</v>
      </c>
      <c r="F6" t="s">
        <v>24</v>
      </c>
      <c r="G6" t="s">
        <v>143</v>
      </c>
      <c r="H6" t="s">
        <v>143</v>
      </c>
      <c r="I6" t="s">
        <v>138</v>
      </c>
      <c r="J6">
        <f>Samples!O62-Samples!O6</f>
        <v>-1.87354289</v>
      </c>
      <c r="K6">
        <f>Samples!P62-Samples!P6</f>
        <v>-14.08760058</v>
      </c>
      <c r="L6">
        <f>Samples!Q62-Samples!Q6</f>
        <v>9.4327173599999998</v>
      </c>
      <c r="M6">
        <f>Samples!R62-Samples!R6</f>
        <v>19.529413419999997</v>
      </c>
      <c r="N6">
        <f>1254-36</f>
        <v>1218</v>
      </c>
      <c r="O6">
        <f>N6/1000</f>
        <v>1.218</v>
      </c>
      <c r="P6" s="11">
        <f>'Std curve values (OD-cell dens)'!$J$2*Flux_csv_output!O6+'Std curve values (OD-cell dens)'!$J$3</f>
        <v>256800916.17000002</v>
      </c>
      <c r="Q6">
        <v>0.28899999999999998</v>
      </c>
      <c r="R6">
        <f>J6/$P6*$Q6</f>
        <v>-2.1084578018076933E-9</v>
      </c>
      <c r="S6">
        <f>K6/$P6*$Q6</f>
        <v>-1.5853979916975152E-8</v>
      </c>
      <c r="T6">
        <f>L6/$P6*$Q6</f>
        <v>1.061544233446338E-8</v>
      </c>
      <c r="U6">
        <f>M6/$P6*$Q6</f>
        <v>2.1978116599255896E-8</v>
      </c>
      <c r="V6">
        <f>R6*10^9</f>
        <v>-2.1084578018076932</v>
      </c>
      <c r="W6">
        <f>S6*10^9</f>
        <v>-15.853979916975153</v>
      </c>
      <c r="X6">
        <f>T6*10^9</f>
        <v>10.615442334463379</v>
      </c>
      <c r="Y6">
        <f>U6*10^9</f>
        <v>21.978116599255895</v>
      </c>
      <c r="Z6">
        <v>-2.1084578018076932</v>
      </c>
      <c r="AA6">
        <v>-15.853979916975153</v>
      </c>
      <c r="AB6">
        <v>10.615442334463379</v>
      </c>
      <c r="AC6">
        <v>21.978116599255895</v>
      </c>
      <c r="AD6">
        <v>0</v>
      </c>
      <c r="AE6">
        <v>-15.853979916975153</v>
      </c>
      <c r="AF6">
        <v>0.19217813948682999</v>
      </c>
      <c r="AG6">
        <v>9.52686690369808</v>
      </c>
      <c r="AH6">
        <v>0</v>
      </c>
      <c r="AI6">
        <v>4.2684932838770502</v>
      </c>
      <c r="AJ6">
        <v>10.615442334463379</v>
      </c>
      <c r="AK6">
        <v>21.978116599255895</v>
      </c>
      <c r="AL6">
        <f>-1*AD6</f>
        <v>0</v>
      </c>
      <c r="AM6">
        <f>-1*AE6</f>
        <v>15.853979916975153</v>
      </c>
    </row>
    <row r="7" spans="1:39" x14ac:dyDescent="0.25">
      <c r="A7">
        <v>6</v>
      </c>
      <c r="B7">
        <f>A7+200</f>
        <v>206</v>
      </c>
      <c r="C7">
        <v>6</v>
      </c>
      <c r="D7" t="s">
        <v>29</v>
      </c>
      <c r="E7" t="s">
        <v>56</v>
      </c>
      <c r="F7" t="s">
        <v>24</v>
      </c>
      <c r="G7" t="s">
        <v>143</v>
      </c>
      <c r="H7" t="s">
        <v>143</v>
      </c>
      <c r="I7" t="s">
        <v>138</v>
      </c>
      <c r="J7">
        <f>Samples!O63-Samples!O7</f>
        <v>-2.41239464</v>
      </c>
      <c r="K7">
        <f>Samples!P63-Samples!P7</f>
        <v>-10.97801742</v>
      </c>
      <c r="L7">
        <f>Samples!Q63-Samples!Q7</f>
        <v>4.5099225599999997</v>
      </c>
      <c r="M7">
        <f>Samples!R63-Samples!R7</f>
        <v>18.151504406666664</v>
      </c>
      <c r="N7">
        <f>1214-117</f>
        <v>1097</v>
      </c>
      <c r="O7">
        <f>N7/1000</f>
        <v>1.097</v>
      </c>
      <c r="P7" s="11">
        <f>'Std curve values (OD-cell dens)'!$J$2*Flux_csv_output!O7+'Std curve values (OD-cell dens)'!$J$3</f>
        <v>229978898.80500001</v>
      </c>
      <c r="Q7">
        <v>0.22570000000000001</v>
      </c>
      <c r="R7">
        <f>J7/$P7*$Q7</f>
        <v>-2.3675105545646804E-9</v>
      </c>
      <c r="S7">
        <f>K7/$P7*$Q7</f>
        <v>-1.0773764656534356E-8</v>
      </c>
      <c r="T7">
        <f>L7/$P7*$Q7</f>
        <v>4.4260126780373548E-9</v>
      </c>
      <c r="U7">
        <f>M7/$P7*$Q7</f>
        <v>1.7813784507501075E-8</v>
      </c>
      <c r="V7">
        <f>R7*10^9</f>
        <v>-2.3675105545646802</v>
      </c>
      <c r="W7">
        <f>S7*10^9</f>
        <v>-10.773764656534356</v>
      </c>
      <c r="X7">
        <f>T7*10^9</f>
        <v>4.4260126780373552</v>
      </c>
      <c r="Y7">
        <f>U7*10^9</f>
        <v>17.813784507501076</v>
      </c>
      <c r="Z7">
        <v>-2.3675105545646802</v>
      </c>
      <c r="AA7">
        <v>-10.773764656534356</v>
      </c>
      <c r="AB7">
        <v>4.4260126780373552</v>
      </c>
      <c r="AC7">
        <v>17.813784507501076</v>
      </c>
      <c r="AD7">
        <v>0</v>
      </c>
      <c r="AE7">
        <v>-10.773764656534356</v>
      </c>
      <c r="AF7">
        <v>0.19217813948682999</v>
      </c>
      <c r="AG7">
        <v>9.52686690369808</v>
      </c>
      <c r="AH7">
        <v>0</v>
      </c>
      <c r="AI7">
        <v>4.2684932838770502</v>
      </c>
      <c r="AJ7">
        <v>4.4260126780373552</v>
      </c>
      <c r="AK7">
        <v>17.813784507501076</v>
      </c>
      <c r="AL7">
        <f>-1*AD7</f>
        <v>0</v>
      </c>
      <c r="AM7">
        <f>-1*AE7</f>
        <v>10.773764656534356</v>
      </c>
    </row>
    <row r="8" spans="1:39" x14ac:dyDescent="0.25">
      <c r="A8">
        <v>7</v>
      </c>
      <c r="B8">
        <f>A8+200</f>
        <v>207</v>
      </c>
      <c r="C8">
        <v>7</v>
      </c>
      <c r="D8" t="s">
        <v>30</v>
      </c>
      <c r="E8" t="s">
        <v>56</v>
      </c>
      <c r="F8" t="s">
        <v>24</v>
      </c>
      <c r="G8" t="s">
        <v>143</v>
      </c>
      <c r="H8" t="s">
        <v>143</v>
      </c>
      <c r="I8" t="s">
        <v>144</v>
      </c>
      <c r="J8" t="e">
        <f>Samples!O64-Samples!O8</f>
        <v>#VALUE!</v>
      </c>
      <c r="K8">
        <f>Samples!P64-Samples!P8</f>
        <v>-7.7167748399999994</v>
      </c>
      <c r="L8">
        <f>Samples!Q64-Samples!Q8</f>
        <v>0.70518624000000063</v>
      </c>
      <c r="M8">
        <f>Samples!R64-Samples!R8</f>
        <v>13.563192133333327</v>
      </c>
      <c r="N8">
        <f>1069-256</f>
        <v>813</v>
      </c>
      <c r="O8">
        <f>N8/1000</f>
        <v>0.81299999999999994</v>
      </c>
      <c r="P8" s="11">
        <f>'Std curve values (OD-cell dens)'!$J$2*Flux_csv_output!O8+'Std curve values (OD-cell dens)'!$J$3</f>
        <v>167024742.345</v>
      </c>
      <c r="Q8">
        <v>0.1512</v>
      </c>
      <c r="R8" t="e">
        <f>J8/$P8*$Q8</f>
        <v>#VALUE!</v>
      </c>
      <c r="S8">
        <f>K8/$P8*$Q8</f>
        <v>-6.9856497871312432E-9</v>
      </c>
      <c r="T8">
        <f>L8/$P8*$Q8</f>
        <v>6.3837344091069614E-10</v>
      </c>
      <c r="U8">
        <f>M8/$P8*$Q8</f>
        <v>1.2278148864460079E-8</v>
      </c>
      <c r="V8" t="e">
        <f>R8*10^9</f>
        <v>#VALUE!</v>
      </c>
      <c r="W8">
        <f>S8*10^9</f>
        <v>-6.9856497871312433</v>
      </c>
      <c r="X8">
        <f>T8*10^9</f>
        <v>0.63837344091069614</v>
      </c>
      <c r="Y8">
        <f>U8*10^9</f>
        <v>12.27814886446008</v>
      </c>
      <c r="Z8">
        <v>0</v>
      </c>
      <c r="AA8">
        <v>-6.9856497871312433</v>
      </c>
      <c r="AB8">
        <v>0.63837344091069614</v>
      </c>
      <c r="AC8">
        <v>12.27814886446008</v>
      </c>
      <c r="AD8">
        <v>0</v>
      </c>
      <c r="AE8">
        <v>-6.9856497871312433</v>
      </c>
      <c r="AF8">
        <v>0.19217813948682999</v>
      </c>
      <c r="AG8">
        <v>9.52686690369808</v>
      </c>
      <c r="AH8">
        <v>0</v>
      </c>
      <c r="AI8">
        <v>4.2684932838770502</v>
      </c>
      <c r="AJ8">
        <v>0.63837344091069614</v>
      </c>
      <c r="AK8">
        <v>12.27814886446008</v>
      </c>
      <c r="AL8">
        <f>-1*AD8</f>
        <v>0</v>
      </c>
      <c r="AM8">
        <f>-1*AE8</f>
        <v>6.9856497871312433</v>
      </c>
    </row>
    <row r="9" spans="1:39" x14ac:dyDescent="0.25">
      <c r="A9">
        <v>8</v>
      </c>
      <c r="B9">
        <f>A9+200</f>
        <v>208</v>
      </c>
      <c r="C9">
        <v>8</v>
      </c>
      <c r="D9" t="s">
        <v>31</v>
      </c>
      <c r="E9" t="s">
        <v>56</v>
      </c>
      <c r="F9" t="s">
        <v>24</v>
      </c>
      <c r="G9" t="s">
        <v>143</v>
      </c>
      <c r="H9" t="s">
        <v>143</v>
      </c>
      <c r="I9" t="s">
        <v>138</v>
      </c>
      <c r="J9">
        <f>Samples!O65-Samples!O9</f>
        <v>-1.5340766700000001</v>
      </c>
      <c r="K9">
        <f>Samples!P65-Samples!P9</f>
        <v>-13.996627530000005</v>
      </c>
      <c r="L9">
        <f>Samples!Q65-Samples!Q9</f>
        <v>11.856936959999999</v>
      </c>
      <c r="M9">
        <f>Samples!R65-Samples!R9</f>
        <v>20.97952832</v>
      </c>
      <c r="N9">
        <f>1121-71</f>
        <v>1050</v>
      </c>
      <c r="O9">
        <f>N9/1000</f>
        <v>1.05</v>
      </c>
      <c r="P9" s="11">
        <f>'Std curve values (OD-cell dens)'!$J$2*Flux_csv_output!O9+'Std curve values (OD-cell dens)'!$J$3</f>
        <v>219560429.25</v>
      </c>
      <c r="Q9">
        <v>0.28610000000000002</v>
      </c>
      <c r="R9">
        <f>J9/$P9*$Q9</f>
        <v>-1.9989910603939122E-9</v>
      </c>
      <c r="S9">
        <f>K9/$P9*$Q9</f>
        <v>-1.8238419145070064E-8</v>
      </c>
      <c r="T9">
        <f>L9/$P9*$Q9</f>
        <v>1.5450277975151116E-8</v>
      </c>
      <c r="U9">
        <f>M9/$P9*$Q9</f>
        <v>2.7337544715389558E-8</v>
      </c>
      <c r="V9">
        <f>R9*10^9</f>
        <v>-1.9989910603939123</v>
      </c>
      <c r="W9">
        <f>S9*10^9</f>
        <v>-18.238419145070065</v>
      </c>
      <c r="X9">
        <f>T9*10^9</f>
        <v>15.450277975151115</v>
      </c>
      <c r="Y9">
        <f>U9*10^9</f>
        <v>27.337544715389559</v>
      </c>
      <c r="Z9">
        <v>-1.9989910603939123</v>
      </c>
      <c r="AA9">
        <v>-18.238419145070065</v>
      </c>
      <c r="AB9">
        <v>15.450277975151115</v>
      </c>
      <c r="AC9">
        <v>27.337544715389559</v>
      </c>
      <c r="AD9">
        <v>0</v>
      </c>
      <c r="AE9">
        <v>-18.238419145070065</v>
      </c>
      <c r="AF9">
        <v>0.19217813948682999</v>
      </c>
      <c r="AG9">
        <v>9.52686690369808</v>
      </c>
      <c r="AH9">
        <v>0</v>
      </c>
      <c r="AI9">
        <v>4.2684932838770502</v>
      </c>
      <c r="AJ9">
        <v>15.450277975151115</v>
      </c>
      <c r="AK9">
        <v>27.337544715389559</v>
      </c>
      <c r="AL9">
        <f>-1*AD9</f>
        <v>0</v>
      </c>
      <c r="AM9">
        <f>-1*AE9</f>
        <v>18.238419145070065</v>
      </c>
    </row>
    <row r="10" spans="1:39" x14ac:dyDescent="0.25">
      <c r="A10">
        <v>9</v>
      </c>
      <c r="B10">
        <f>A10+200</f>
        <v>209</v>
      </c>
      <c r="C10">
        <v>9</v>
      </c>
      <c r="D10" t="s">
        <v>32</v>
      </c>
      <c r="E10" t="s">
        <v>56</v>
      </c>
      <c r="F10" t="s">
        <v>24</v>
      </c>
      <c r="G10" t="s">
        <v>143</v>
      </c>
      <c r="H10" t="s">
        <v>142</v>
      </c>
      <c r="I10" t="s">
        <v>138</v>
      </c>
      <c r="J10" t="e">
        <f>Samples!O66-Samples!O10</f>
        <v>#VALUE!</v>
      </c>
      <c r="K10">
        <f>Samples!P66-Samples!P10</f>
        <v>-6.7610492699999973</v>
      </c>
      <c r="L10">
        <f>Samples!Q66-Samples!Q10</f>
        <v>4.7366219999999988</v>
      </c>
      <c r="M10">
        <f>Samples!R66-Samples!R10</f>
        <v>17.866039273333332</v>
      </c>
      <c r="N10">
        <f>1055-79</f>
        <v>976</v>
      </c>
      <c r="O10">
        <f>N10/1000</f>
        <v>0.97599999999999998</v>
      </c>
      <c r="P10" s="11">
        <f>'Std curve values (OD-cell dens)'!$J$2*Flux_csv_output!O10+'Std curve values (OD-cell dens)'!$J$3</f>
        <v>203156881.44</v>
      </c>
      <c r="Q10">
        <v>0.16139999999999999</v>
      </c>
      <c r="R10" t="e">
        <f>J10/$P10*$Q10</f>
        <v>#VALUE!</v>
      </c>
      <c r="S10">
        <f>K10/$P10*$Q10</f>
        <v>-5.3713826696059144E-9</v>
      </c>
      <c r="T10">
        <f>L10/$P10*$Q10</f>
        <v>3.763056340406481E-9</v>
      </c>
      <c r="U10">
        <f>M10/$P10*$Q10</f>
        <v>1.4193852151484374E-8</v>
      </c>
      <c r="V10" t="e">
        <f>R10*10^9</f>
        <v>#VALUE!</v>
      </c>
      <c r="W10">
        <f>S10*10^9</f>
        <v>-5.3713826696059144</v>
      </c>
      <c r="X10">
        <f>T10*10^9</f>
        <v>3.763056340406481</v>
      </c>
      <c r="Y10">
        <f>U10*10^9</f>
        <v>14.193852151484373</v>
      </c>
      <c r="Z10">
        <v>0</v>
      </c>
      <c r="AA10">
        <v>-5.3713826696059144</v>
      </c>
      <c r="AB10">
        <v>3.763056340406481</v>
      </c>
      <c r="AC10">
        <v>14.193852151484373</v>
      </c>
      <c r="AD10">
        <v>0</v>
      </c>
      <c r="AE10">
        <v>-5.3713826696059144</v>
      </c>
      <c r="AF10">
        <v>0.19217813948682999</v>
      </c>
      <c r="AG10">
        <v>9.52686690369808</v>
      </c>
      <c r="AH10">
        <v>0</v>
      </c>
      <c r="AI10">
        <v>4.2684932838770502</v>
      </c>
      <c r="AJ10">
        <v>3.763056340406481</v>
      </c>
      <c r="AK10">
        <v>14.193852151484373</v>
      </c>
      <c r="AL10">
        <f>-1*AD10</f>
        <v>0</v>
      </c>
      <c r="AM10">
        <f>-1*AE10</f>
        <v>5.3713826696059144</v>
      </c>
    </row>
    <row r="11" spans="1:39" x14ac:dyDescent="0.25">
      <c r="A11">
        <v>10</v>
      </c>
      <c r="B11">
        <f>A11+200</f>
        <v>210</v>
      </c>
      <c r="C11">
        <v>10</v>
      </c>
      <c r="D11" t="s">
        <v>33</v>
      </c>
      <c r="E11" t="s">
        <v>56</v>
      </c>
      <c r="F11" t="s">
        <v>24</v>
      </c>
      <c r="G11" t="s">
        <v>143</v>
      </c>
      <c r="H11" t="s">
        <v>142</v>
      </c>
      <c r="I11" t="s">
        <v>138</v>
      </c>
      <c r="J11" t="e">
        <f>Samples!O67-Samples!O11</f>
        <v>#VALUE!</v>
      </c>
      <c r="K11">
        <f>Samples!P67-Samples!P11</f>
        <v>-10.443065750000002</v>
      </c>
      <c r="L11">
        <f>Samples!Q67-Samples!Q11</f>
        <v>1.1495035199999992</v>
      </c>
      <c r="M11">
        <f>Samples!R67-Samples!R11</f>
        <v>21.361427893333328</v>
      </c>
      <c r="N11">
        <f>1067-1</f>
        <v>1066</v>
      </c>
      <c r="O11">
        <f>N11/1000</f>
        <v>1.0660000000000001</v>
      </c>
      <c r="P11" s="11">
        <f>'Std curve values (OD-cell dens)'!$J$2*Flux_csv_output!O11+'Std curve values (OD-cell dens)'!$J$3</f>
        <v>223107142.29000002</v>
      </c>
      <c r="Q11">
        <v>6.6400000000000001E-2</v>
      </c>
      <c r="R11" t="e">
        <f>J11/$P11*$Q11</f>
        <v>#VALUE!</v>
      </c>
      <c r="S11">
        <f>K11/$P11*$Q11</f>
        <v>-3.1080115082047743E-9</v>
      </c>
      <c r="T11">
        <f>L11/$P11*$Q11</f>
        <v>3.4210932444640541E-10</v>
      </c>
      <c r="U11">
        <f>M11/$P11*$Q11</f>
        <v>6.3574782840150595E-9</v>
      </c>
      <c r="V11" t="e">
        <f>R11*10^9</f>
        <v>#VALUE!</v>
      </c>
      <c r="W11">
        <f>S11*10^9</f>
        <v>-3.1080115082047741</v>
      </c>
      <c r="X11">
        <f>T11*10^9</f>
        <v>0.34210932444640541</v>
      </c>
      <c r="Y11">
        <f>U11*10^9</f>
        <v>6.3574782840150599</v>
      </c>
      <c r="Z11">
        <v>0</v>
      </c>
      <c r="AA11">
        <v>-3.1080115082047741</v>
      </c>
      <c r="AB11">
        <v>0.34210932444640541</v>
      </c>
      <c r="AC11">
        <v>6.3574782840150599</v>
      </c>
      <c r="AD11">
        <v>0</v>
      </c>
      <c r="AE11">
        <v>-3.1080115082047741</v>
      </c>
      <c r="AF11">
        <v>0.19217813948682999</v>
      </c>
      <c r="AG11">
        <v>9.52686690369808</v>
      </c>
      <c r="AH11">
        <v>0</v>
      </c>
      <c r="AI11">
        <v>4.2684932838770502</v>
      </c>
      <c r="AJ11">
        <v>0.34210932444640541</v>
      </c>
      <c r="AK11">
        <v>6.3574782840150599</v>
      </c>
      <c r="AL11">
        <f>-1*AD11</f>
        <v>0</v>
      </c>
      <c r="AM11">
        <f>-1*AE11</f>
        <v>3.1080115082047741</v>
      </c>
    </row>
    <row r="12" spans="1:39" x14ac:dyDescent="0.25">
      <c r="A12">
        <v>11</v>
      </c>
      <c r="B12">
        <f>A12+200</f>
        <v>211</v>
      </c>
      <c r="C12">
        <v>11</v>
      </c>
      <c r="D12" t="s">
        <v>34</v>
      </c>
      <c r="E12" t="s">
        <v>56</v>
      </c>
      <c r="F12" t="s">
        <v>24</v>
      </c>
      <c r="G12" t="s">
        <v>143</v>
      </c>
      <c r="H12" t="s">
        <v>142</v>
      </c>
      <c r="I12" t="s">
        <v>138</v>
      </c>
      <c r="J12" t="e">
        <f>Samples!O68-Samples!O12</f>
        <v>#VALUE!</v>
      </c>
      <c r="K12">
        <f>Samples!P68-Samples!P12</f>
        <v>-8.9470393700000059</v>
      </c>
      <c r="L12">
        <f>Samples!Q68-Samples!Q12</f>
        <v>3.7459329599999993</v>
      </c>
      <c r="M12">
        <f>Samples!R68-Samples!R12</f>
        <v>23.653305106666661</v>
      </c>
      <c r="N12">
        <f>888-1</f>
        <v>887</v>
      </c>
      <c r="O12">
        <f>N12/1000</f>
        <v>0.88700000000000001</v>
      </c>
      <c r="P12" s="11">
        <f>'Std curve values (OD-cell dens)'!$J$2*Flux_csv_output!O12+'Std curve values (OD-cell dens)'!$J$3</f>
        <v>183428290.155</v>
      </c>
      <c r="Q12">
        <v>6.1100000000000002E-2</v>
      </c>
      <c r="R12" t="e">
        <f>J12/$P12*$Q12</f>
        <v>#VALUE!</v>
      </c>
      <c r="S12">
        <f>K12/$P12*$Q12</f>
        <v>-2.9802605969071618E-9</v>
      </c>
      <c r="T12">
        <f>L12/$P12*$Q12</f>
        <v>1.2477710153793368E-9</v>
      </c>
      <c r="U12">
        <f>M12/$P12*$Q12</f>
        <v>7.8789206441171123E-9</v>
      </c>
      <c r="V12" t="e">
        <f>R12*10^9</f>
        <v>#VALUE!</v>
      </c>
      <c r="W12">
        <f>S12*10^9</f>
        <v>-2.9802605969071618</v>
      </c>
      <c r="X12">
        <f>T12*10^9</f>
        <v>1.2477710153793367</v>
      </c>
      <c r="Y12">
        <f>U12*10^9</f>
        <v>7.8789206441171125</v>
      </c>
      <c r="Z12">
        <v>0</v>
      </c>
      <c r="AA12">
        <v>-2.9802605969071618</v>
      </c>
      <c r="AB12">
        <v>1.2477710153793367</v>
      </c>
      <c r="AC12">
        <v>7.8789206441171125</v>
      </c>
      <c r="AD12">
        <v>0</v>
      </c>
      <c r="AE12">
        <v>-2.9802605969071618</v>
      </c>
      <c r="AF12">
        <v>0.19217813948682999</v>
      </c>
      <c r="AG12">
        <v>9.52686690369808</v>
      </c>
      <c r="AH12">
        <v>0</v>
      </c>
      <c r="AI12">
        <v>4.2684932838770502</v>
      </c>
      <c r="AJ12">
        <v>1.2477710153793367</v>
      </c>
      <c r="AK12">
        <v>7.8789206441171125</v>
      </c>
      <c r="AL12">
        <f>-1*AD12</f>
        <v>0</v>
      </c>
      <c r="AM12">
        <f>-1*AE12</f>
        <v>2.9802605969071618</v>
      </c>
    </row>
    <row r="13" spans="1:39" x14ac:dyDescent="0.25">
      <c r="A13">
        <v>12</v>
      </c>
      <c r="B13">
        <f>A13+200</f>
        <v>212</v>
      </c>
      <c r="C13">
        <v>12</v>
      </c>
      <c r="D13" t="s">
        <v>35</v>
      </c>
      <c r="E13" t="s">
        <v>56</v>
      </c>
      <c r="F13" t="s">
        <v>24</v>
      </c>
      <c r="G13" t="s">
        <v>143</v>
      </c>
      <c r="H13" t="s">
        <v>142</v>
      </c>
      <c r="I13" t="s">
        <v>138</v>
      </c>
      <c r="J13" t="e">
        <f>Samples!O69-Samples!O13</f>
        <v>#VALUE!</v>
      </c>
      <c r="K13">
        <f>Samples!P69-Samples!P13</f>
        <v>-9.274655359999997</v>
      </c>
      <c r="L13">
        <f>Samples!Q69-Samples!Q13</f>
        <v>2.3895959999999996</v>
      </c>
      <c r="M13">
        <f>Samples!R69-Samples!R13</f>
        <v>21.972659119999996</v>
      </c>
      <c r="N13">
        <f>1102-192</f>
        <v>910</v>
      </c>
      <c r="O13">
        <f>N13/1000</f>
        <v>0.91</v>
      </c>
      <c r="P13" s="11">
        <f>'Std curve values (OD-cell dens)'!$J$2*Flux_csv_output!O13+'Std curve values (OD-cell dens)'!$J$3</f>
        <v>188526690.15000001</v>
      </c>
      <c r="Q13">
        <v>9.3700000000000006E-2</v>
      </c>
      <c r="R13" t="e">
        <f>J13/$P13*$Q13</f>
        <v>#VALUE!</v>
      </c>
      <c r="S13">
        <f>K13/$P13*$Q13</f>
        <v>-4.6096136655269218E-9</v>
      </c>
      <c r="T13">
        <f>L13/$P13*$Q13</f>
        <v>1.1876575408068287E-9</v>
      </c>
      <c r="U13">
        <f>M13/$P13*$Q13</f>
        <v>1.0920672069858642E-8</v>
      </c>
      <c r="V13" t="e">
        <f>R13*10^9</f>
        <v>#VALUE!</v>
      </c>
      <c r="W13">
        <f>S13*10^9</f>
        <v>-4.609613665526922</v>
      </c>
      <c r="X13">
        <f>T13*10^9</f>
        <v>1.1876575408068286</v>
      </c>
      <c r="Y13">
        <f>U13*10^9</f>
        <v>10.920672069858643</v>
      </c>
      <c r="Z13">
        <v>0</v>
      </c>
      <c r="AA13">
        <v>-4.609613665526922</v>
      </c>
      <c r="AB13">
        <v>1.1876575408068286</v>
      </c>
      <c r="AC13">
        <v>10.920672069858643</v>
      </c>
      <c r="AD13">
        <v>0</v>
      </c>
      <c r="AE13">
        <v>-4.609613665526922</v>
      </c>
      <c r="AF13">
        <v>0.19217813948682999</v>
      </c>
      <c r="AG13">
        <v>9.52686690369808</v>
      </c>
      <c r="AH13">
        <v>0</v>
      </c>
      <c r="AI13">
        <v>4.2684932838770502</v>
      </c>
      <c r="AJ13">
        <v>1.1876575408068286</v>
      </c>
      <c r="AK13">
        <v>10.920672069858643</v>
      </c>
      <c r="AL13">
        <f>-1*AD13</f>
        <v>0</v>
      </c>
      <c r="AM13">
        <f>-1*AE13</f>
        <v>4.609613665526922</v>
      </c>
    </row>
    <row r="14" spans="1:39" x14ac:dyDescent="0.25">
      <c r="A14">
        <v>13</v>
      </c>
      <c r="B14">
        <f>A14+200</f>
        <v>213</v>
      </c>
      <c r="C14">
        <v>13</v>
      </c>
      <c r="D14" t="s">
        <v>36</v>
      </c>
      <c r="E14" t="s">
        <v>56</v>
      </c>
      <c r="F14" t="s">
        <v>24</v>
      </c>
      <c r="G14" t="s">
        <v>143</v>
      </c>
      <c r="H14" t="s">
        <v>142</v>
      </c>
      <c r="I14" t="s">
        <v>138</v>
      </c>
      <c r="J14">
        <f>Samples!O70-Samples!O14</f>
        <v>-1.6560918099999993</v>
      </c>
      <c r="K14">
        <f>Samples!P70-Samples!P14</f>
        <v>-9.5779365299999988</v>
      </c>
      <c r="L14">
        <f>Samples!Q70-Samples!Q14</f>
        <v>3.860134079999999</v>
      </c>
      <c r="M14">
        <f>Samples!R70-Samples!R14</f>
        <v>20.098424593333327</v>
      </c>
      <c r="N14">
        <f>1129-60</f>
        <v>1069</v>
      </c>
      <c r="O14">
        <f>N14/1000</f>
        <v>1.069</v>
      </c>
      <c r="P14" s="11">
        <f>'Std curve values (OD-cell dens)'!$J$2*Flux_csv_output!O14+'Std curve values (OD-cell dens)'!$J$3</f>
        <v>223772150.98499998</v>
      </c>
      <c r="Q14">
        <v>0.15579999999999999</v>
      </c>
      <c r="R14">
        <f>J14/$P14*$Q14</f>
        <v>-1.1530438567187726E-9</v>
      </c>
      <c r="S14">
        <f>K14/$P14*$Q14</f>
        <v>-6.6685800927660046E-9</v>
      </c>
      <c r="T14">
        <f>L14/$P14*$Q14</f>
        <v>2.6875948906810739E-9</v>
      </c>
      <c r="U14">
        <f>M14/$P14*$Q14</f>
        <v>1.3993405961634758E-8</v>
      </c>
      <c r="V14">
        <f>R14*10^9</f>
        <v>-1.1530438567187726</v>
      </c>
      <c r="W14">
        <f>S14*10^9</f>
        <v>-6.6685800927660051</v>
      </c>
      <c r="X14">
        <f>T14*10^9</f>
        <v>2.687594890681074</v>
      </c>
      <c r="Y14">
        <f>U14*10^9</f>
        <v>13.993405961634759</v>
      </c>
      <c r="Z14">
        <v>-1.1530438567187726</v>
      </c>
      <c r="AA14">
        <v>-6.6685800927660051</v>
      </c>
      <c r="AB14">
        <f>MAX(0,X14)</f>
        <v>2.687594890681074</v>
      </c>
      <c r="AC14">
        <v>13.993405961634759</v>
      </c>
      <c r="AD14">
        <v>0</v>
      </c>
      <c r="AE14">
        <v>-6.6685800927660051</v>
      </c>
      <c r="AF14">
        <v>0.19217813948682999</v>
      </c>
      <c r="AG14">
        <v>9.52686690369808</v>
      </c>
      <c r="AH14">
        <v>0</v>
      </c>
      <c r="AI14">
        <v>4.2684932838770502</v>
      </c>
      <c r="AJ14">
        <v>2.687594890681074</v>
      </c>
      <c r="AK14">
        <v>13.993405961634759</v>
      </c>
      <c r="AL14">
        <f>-1*AD14</f>
        <v>0</v>
      </c>
      <c r="AM14">
        <f>-1*AE14</f>
        <v>6.6685800927660051</v>
      </c>
    </row>
    <row r="15" spans="1:39" x14ac:dyDescent="0.25">
      <c r="A15">
        <v>14</v>
      </c>
      <c r="B15">
        <f>A15+200</f>
        <v>214</v>
      </c>
      <c r="C15">
        <v>14</v>
      </c>
      <c r="D15" t="s">
        <v>37</v>
      </c>
      <c r="E15" t="s">
        <v>56</v>
      </c>
      <c r="F15" t="s">
        <v>24</v>
      </c>
      <c r="G15" t="s">
        <v>143</v>
      </c>
      <c r="H15" t="s">
        <v>142</v>
      </c>
      <c r="I15" t="s">
        <v>138</v>
      </c>
      <c r="J15" t="e">
        <f>Samples!O71-Samples!O15</f>
        <v>#VALUE!</v>
      </c>
      <c r="K15">
        <f>Samples!P71-Samples!P15</f>
        <v>-6.9179824900000035</v>
      </c>
      <c r="L15">
        <f>Samples!Q71-Samples!Q15</f>
        <v>1.8573007199999998</v>
      </c>
      <c r="M15">
        <f>Samples!R71-Samples!R15</f>
        <v>16.728256813333328</v>
      </c>
      <c r="N15">
        <f>1022-37</f>
        <v>985</v>
      </c>
      <c r="O15">
        <f>N15/1000</f>
        <v>0.98499999999999999</v>
      </c>
      <c r="P15" s="11">
        <f>'Std curve values (OD-cell dens)'!$J$2*Flux_csv_output!O15+'Std curve values (OD-cell dens)'!$J$3</f>
        <v>205151907.52500001</v>
      </c>
      <c r="Q15">
        <v>0.15079999999999999</v>
      </c>
      <c r="R15" t="e">
        <f>J15/$P15*$Q15</f>
        <v>#VALUE!</v>
      </c>
      <c r="S15">
        <f>K15/$P15*$Q15</f>
        <v>-5.0851672405964405E-9</v>
      </c>
      <c r="T15">
        <f>L15/$P15*$Q15</f>
        <v>1.3652368723009266E-9</v>
      </c>
      <c r="U15">
        <f>M15/$P15*$Q15</f>
        <v>1.2296357162281109E-8</v>
      </c>
      <c r="V15" t="e">
        <f>R15*10^9</f>
        <v>#VALUE!</v>
      </c>
      <c r="W15">
        <f>S15*10^9</f>
        <v>-5.0851672405964408</v>
      </c>
      <c r="X15">
        <f>T15*10^9</f>
        <v>1.3652368723009265</v>
      </c>
      <c r="Y15">
        <f>U15*10^9</f>
        <v>12.29635716228111</v>
      </c>
      <c r="Z15">
        <v>0</v>
      </c>
      <c r="AA15">
        <v>-5.0851672405964408</v>
      </c>
      <c r="AB15">
        <f t="shared" ref="AB15:AB56" si="0">MAX(0,X15)</f>
        <v>1.3652368723009265</v>
      </c>
      <c r="AC15">
        <v>12.29635716228111</v>
      </c>
      <c r="AD15">
        <v>0</v>
      </c>
      <c r="AE15">
        <v>-5.0851672405964408</v>
      </c>
      <c r="AF15">
        <v>0.19217813948682999</v>
      </c>
      <c r="AG15">
        <v>9.52686690369808</v>
      </c>
      <c r="AH15">
        <v>0</v>
      </c>
      <c r="AI15">
        <v>4.2684932838770502</v>
      </c>
      <c r="AJ15">
        <v>1.3652368723009265</v>
      </c>
      <c r="AK15">
        <v>12.29635716228111</v>
      </c>
      <c r="AL15">
        <f>-1*AD15</f>
        <v>0</v>
      </c>
      <c r="AM15">
        <f>-1*AE15</f>
        <v>5.0851672405964408</v>
      </c>
    </row>
    <row r="16" spans="1:39" x14ac:dyDescent="0.25">
      <c r="A16">
        <v>15</v>
      </c>
      <c r="B16">
        <f>A16+200</f>
        <v>215</v>
      </c>
      <c r="C16">
        <v>15</v>
      </c>
      <c r="D16" t="s">
        <v>38</v>
      </c>
      <c r="E16" t="s">
        <v>56</v>
      </c>
      <c r="F16" t="s">
        <v>24</v>
      </c>
      <c r="G16" t="s">
        <v>143</v>
      </c>
      <c r="H16" t="s">
        <v>142</v>
      </c>
      <c r="I16" t="s">
        <v>138</v>
      </c>
      <c r="J16">
        <f>Samples!O72-Samples!O16</f>
        <v>-1.5811301599999998</v>
      </c>
      <c r="K16">
        <f>Samples!P72-Samples!P16</f>
        <v>-13.493846039999998</v>
      </c>
      <c r="L16">
        <f>Samples!Q72-Samples!Q16</f>
        <v>11.007126239999998</v>
      </c>
      <c r="M16">
        <f>Samples!R72-Samples!R16</f>
        <v>20.557567673333327</v>
      </c>
      <c r="N16">
        <f>1256-142</f>
        <v>1114</v>
      </c>
      <c r="O16">
        <f>N16/1000</f>
        <v>1.1140000000000001</v>
      </c>
      <c r="P16" s="11">
        <f>'Std curve values (OD-cell dens)'!$J$2*Flux_csv_output!O16+'Std curve values (OD-cell dens)'!$J$3</f>
        <v>233747281.41000003</v>
      </c>
      <c r="Q16">
        <v>0.23680000000000001</v>
      </c>
      <c r="R16">
        <f>J16/$P16*$Q16</f>
        <v>-1.6017795784810447E-9</v>
      </c>
      <c r="S16">
        <f>K16/$P16*$Q16</f>
        <v>-1.3670074462458747E-8</v>
      </c>
      <c r="T16">
        <f>L16/$P16*$Q16</f>
        <v>1.1150878324270814E-8</v>
      </c>
      <c r="U16">
        <f>M16/$P16*$Q16</f>
        <v>2.0826047668578665E-8</v>
      </c>
      <c r="V16">
        <f>R16*10^9</f>
        <v>-1.6017795784810447</v>
      </c>
      <c r="W16">
        <f>S16*10^9</f>
        <v>-13.670074462458746</v>
      </c>
      <c r="X16">
        <f>T16*10^9</f>
        <v>11.150878324270813</v>
      </c>
      <c r="Y16">
        <f>U16*10^9</f>
        <v>20.826047668578667</v>
      </c>
      <c r="Z16">
        <v>-1.6017795784810447</v>
      </c>
      <c r="AA16">
        <v>-13.670074462458746</v>
      </c>
      <c r="AB16">
        <f t="shared" si="0"/>
        <v>11.150878324270813</v>
      </c>
      <c r="AC16">
        <v>20.826047668578667</v>
      </c>
      <c r="AD16">
        <v>0</v>
      </c>
      <c r="AE16">
        <v>-13.670074462458746</v>
      </c>
      <c r="AF16">
        <v>0.19217813948682999</v>
      </c>
      <c r="AG16">
        <v>9.52686690369808</v>
      </c>
      <c r="AH16">
        <v>0</v>
      </c>
      <c r="AI16">
        <v>4.2684932838770502</v>
      </c>
      <c r="AJ16">
        <v>11.150878324270813</v>
      </c>
      <c r="AK16">
        <v>20.826047668578667</v>
      </c>
      <c r="AL16">
        <f>-1*AD16</f>
        <v>0</v>
      </c>
      <c r="AM16">
        <f>-1*AE16</f>
        <v>13.670074462458746</v>
      </c>
    </row>
    <row r="17" spans="1:39" x14ac:dyDescent="0.25">
      <c r="A17">
        <v>16</v>
      </c>
      <c r="B17">
        <f>A17+200</f>
        <v>216</v>
      </c>
      <c r="C17">
        <v>16</v>
      </c>
      <c r="D17" t="s">
        <v>39</v>
      </c>
      <c r="E17" t="s">
        <v>56</v>
      </c>
      <c r="F17" t="s">
        <v>24</v>
      </c>
      <c r="G17" t="s">
        <v>143</v>
      </c>
      <c r="H17" t="s">
        <v>142</v>
      </c>
      <c r="I17" t="s">
        <v>138</v>
      </c>
      <c r="J17">
        <f>Samples!O73-Samples!O17</f>
        <v>-1.4053336699999999</v>
      </c>
      <c r="K17">
        <f>Samples!P73-Samples!P17</f>
        <v>-6.487866430000004</v>
      </c>
      <c r="L17">
        <f>Samples!Q73-Samples!Q17</f>
        <v>1.2079663199999997</v>
      </c>
      <c r="M17">
        <f>Samples!R73-Samples!R17</f>
        <v>15.777106179999997</v>
      </c>
      <c r="N17">
        <f>1037-63</f>
        <v>974</v>
      </c>
      <c r="O17">
        <f>N17/1000</f>
        <v>0.97399999999999998</v>
      </c>
      <c r="P17" s="11">
        <f>'Std curve values (OD-cell dens)'!$J$2*Flux_csv_output!O17+'Std curve values (OD-cell dens)'!$J$3</f>
        <v>202713542.31</v>
      </c>
      <c r="Q17">
        <v>0.1615</v>
      </c>
      <c r="R17">
        <f>J17/$P17*$Q17</f>
        <v>-1.1196163074192594E-9</v>
      </c>
      <c r="S17">
        <f>K17/$P17*$Q17</f>
        <v>-5.1688230421363046E-9</v>
      </c>
      <c r="T17">
        <f>L17/$P17*$Q17</f>
        <v>9.6237556927333223E-10</v>
      </c>
      <c r="U17">
        <f>M17/$P17*$Q17</f>
        <v>1.256947423953286E-8</v>
      </c>
      <c r="V17">
        <f>R17*10^9</f>
        <v>-1.1196163074192593</v>
      </c>
      <c r="W17">
        <f>S17*10^9</f>
        <v>-5.1688230421363048</v>
      </c>
      <c r="X17">
        <f>T17*10^9</f>
        <v>0.96237556927333223</v>
      </c>
      <c r="Y17">
        <f>U17*10^9</f>
        <v>12.569474239532859</v>
      </c>
      <c r="Z17">
        <v>-1.1196163074192593</v>
      </c>
      <c r="AA17">
        <v>-5.1688230421363048</v>
      </c>
      <c r="AB17">
        <f t="shared" si="0"/>
        <v>0.96237556927333223</v>
      </c>
      <c r="AC17">
        <v>12.569474239532859</v>
      </c>
      <c r="AD17">
        <v>0</v>
      </c>
      <c r="AE17">
        <v>-5.1688230421363048</v>
      </c>
      <c r="AF17">
        <v>0.19217813948682999</v>
      </c>
      <c r="AG17">
        <v>9.52686690369808</v>
      </c>
      <c r="AH17">
        <v>0</v>
      </c>
      <c r="AI17">
        <v>4.2684932838770502</v>
      </c>
      <c r="AJ17">
        <v>0.96237556927333223</v>
      </c>
      <c r="AK17">
        <v>12.569474239532859</v>
      </c>
      <c r="AL17">
        <f>-1*AD17</f>
        <v>0</v>
      </c>
      <c r="AM17">
        <f>-1*AE17</f>
        <v>5.1688230421363048</v>
      </c>
    </row>
    <row r="18" spans="1:39" x14ac:dyDescent="0.25">
      <c r="A18">
        <v>17</v>
      </c>
      <c r="B18">
        <f>A18+200</f>
        <v>217</v>
      </c>
      <c r="C18">
        <v>17</v>
      </c>
      <c r="D18" t="s">
        <v>40</v>
      </c>
      <c r="E18" t="s">
        <v>56</v>
      </c>
      <c r="F18" t="s">
        <v>24</v>
      </c>
      <c r="G18" t="s">
        <v>143</v>
      </c>
      <c r="H18" t="s">
        <v>141</v>
      </c>
      <c r="I18" t="s">
        <v>138</v>
      </c>
      <c r="J18" t="e">
        <f>Samples!O74-Samples!O18</f>
        <v>#VALUE!</v>
      </c>
      <c r="K18">
        <f>Samples!P74-Samples!P18</f>
        <v>-4.7574573099999995</v>
      </c>
      <c r="L18">
        <f>Samples!Q74-Samples!Q18</f>
        <v>1.8904485599999994</v>
      </c>
      <c r="M18">
        <f>Samples!R74-Samples!R18</f>
        <v>13.059430133333333</v>
      </c>
      <c r="N18">
        <f>1144-161</f>
        <v>983</v>
      </c>
      <c r="O18">
        <f>N18/1000</f>
        <v>0.98299999999999998</v>
      </c>
      <c r="P18" s="11">
        <f>'Std curve values (OD-cell dens)'!$J$2*Flux_csv_output!O18+'Std curve values (OD-cell dens)'!$J$3</f>
        <v>204708568.39500001</v>
      </c>
      <c r="Q18">
        <v>0.1208</v>
      </c>
      <c r="R18" t="e">
        <f>J18/$P18*$Q18</f>
        <v>#VALUE!</v>
      </c>
      <c r="S18">
        <f>K18/$P18*$Q18</f>
        <v>-2.8074098097304509E-9</v>
      </c>
      <c r="T18">
        <f>L18/$P18*$Q18</f>
        <v>1.1155673054551915E-9</v>
      </c>
      <c r="U18">
        <f>M18/$P18*$Q18</f>
        <v>7.706463742458564E-9</v>
      </c>
      <c r="V18" t="e">
        <f>R18*10^9</f>
        <v>#VALUE!</v>
      </c>
      <c r="W18">
        <f>S18*10^9</f>
        <v>-2.807409809730451</v>
      </c>
      <c r="X18">
        <f>T18*10^9</f>
        <v>1.1155673054551916</v>
      </c>
      <c r="Y18">
        <f>U18*10^9</f>
        <v>7.7064637424585642</v>
      </c>
      <c r="Z18">
        <v>0</v>
      </c>
      <c r="AA18">
        <v>-2.807409809730451</v>
      </c>
      <c r="AB18">
        <f t="shared" si="0"/>
        <v>1.1155673054551916</v>
      </c>
      <c r="AC18">
        <v>7.7064637424585642</v>
      </c>
      <c r="AD18">
        <v>0</v>
      </c>
      <c r="AE18">
        <v>-2.807409809730451</v>
      </c>
      <c r="AF18">
        <v>0.19217813948682999</v>
      </c>
      <c r="AG18">
        <v>9.52686690369808</v>
      </c>
      <c r="AH18">
        <v>0</v>
      </c>
      <c r="AI18">
        <v>4.2684932838770502</v>
      </c>
      <c r="AJ18">
        <v>1.1155673054551916</v>
      </c>
      <c r="AK18">
        <v>7.7064637424585642</v>
      </c>
      <c r="AL18">
        <f>-1*AD18</f>
        <v>0</v>
      </c>
      <c r="AM18">
        <f>-1*AE18</f>
        <v>2.807409809730451</v>
      </c>
    </row>
    <row r="19" spans="1:39" x14ac:dyDescent="0.25">
      <c r="A19">
        <v>18</v>
      </c>
      <c r="B19">
        <f>A19+200</f>
        <v>218</v>
      </c>
      <c r="C19">
        <v>18</v>
      </c>
      <c r="D19" t="s">
        <v>41</v>
      </c>
      <c r="E19" t="s">
        <v>56</v>
      </c>
      <c r="F19" t="s">
        <v>24</v>
      </c>
      <c r="G19" t="s">
        <v>143</v>
      </c>
      <c r="H19" t="s">
        <v>141</v>
      </c>
      <c r="I19" t="s">
        <v>138</v>
      </c>
      <c r="J19">
        <f>Samples!O75-Samples!O19</f>
        <v>-1.1326892200000005</v>
      </c>
      <c r="K19">
        <f>Samples!P75-Samples!P19</f>
        <v>-5.23530126</v>
      </c>
      <c r="L19">
        <f>Samples!Q75-Samples!Q19</f>
        <v>4.6238966399999999</v>
      </c>
      <c r="M19">
        <f>Samples!R75-Samples!R19</f>
        <v>10.305051426666667</v>
      </c>
      <c r="N19">
        <f>969-243</f>
        <v>726</v>
      </c>
      <c r="O19">
        <f>N19/1000</f>
        <v>0.72599999999999998</v>
      </c>
      <c r="P19" s="11">
        <f>'Std curve values (OD-cell dens)'!$J$2*Flux_csv_output!O19+'Std curve values (OD-cell dens)'!$J$3</f>
        <v>147739490.19</v>
      </c>
      <c r="Q19">
        <v>0.2278</v>
      </c>
      <c r="R19">
        <f>J19/$P19*$Q19</f>
        <v>-1.7464971889652905E-9</v>
      </c>
      <c r="S19">
        <f>K19/$P19*$Q19</f>
        <v>-8.0723280247837437E-9</v>
      </c>
      <c r="T19">
        <f>L19/$P19*$Q19</f>
        <v>7.1296012544606445E-9</v>
      </c>
      <c r="U19">
        <f>M19/$P19*$Q19</f>
        <v>1.5889392280802391E-8</v>
      </c>
      <c r="V19">
        <f>R19*10^9</f>
        <v>-1.7464971889652905</v>
      </c>
      <c r="W19">
        <f>S19*10^9</f>
        <v>-8.0723280247837437</v>
      </c>
      <c r="X19">
        <f>T19*10^9</f>
        <v>7.1296012544606446</v>
      </c>
      <c r="Y19">
        <f>U19*10^9</f>
        <v>15.88939228080239</v>
      </c>
      <c r="Z19">
        <v>-1.7464971889652905</v>
      </c>
      <c r="AA19">
        <v>-8.0723280247837437</v>
      </c>
      <c r="AB19">
        <f t="shared" si="0"/>
        <v>7.1296012544606446</v>
      </c>
      <c r="AC19">
        <v>15.88939228080239</v>
      </c>
      <c r="AD19">
        <v>0</v>
      </c>
      <c r="AE19">
        <v>-8.0723280247837437</v>
      </c>
      <c r="AF19">
        <v>0.19217813948682999</v>
      </c>
      <c r="AG19">
        <v>9.52686690369808</v>
      </c>
      <c r="AH19">
        <v>0</v>
      </c>
      <c r="AI19">
        <v>4.2684932838770502</v>
      </c>
      <c r="AJ19">
        <v>7.1296012544606446</v>
      </c>
      <c r="AK19">
        <v>15.88939228080239</v>
      </c>
      <c r="AL19">
        <f>-1*AD19</f>
        <v>0</v>
      </c>
      <c r="AM19">
        <f>-1*AE19</f>
        <v>8.0723280247837437</v>
      </c>
    </row>
    <row r="20" spans="1:39" x14ac:dyDescent="0.25">
      <c r="A20">
        <v>19</v>
      </c>
      <c r="B20">
        <f>A20+200</f>
        <v>219</v>
      </c>
      <c r="C20">
        <v>19</v>
      </c>
      <c r="D20" t="s">
        <v>42</v>
      </c>
      <c r="E20" t="s">
        <v>56</v>
      </c>
      <c r="F20" t="s">
        <v>24</v>
      </c>
      <c r="G20" t="s">
        <v>143</v>
      </c>
      <c r="H20" t="s">
        <v>141</v>
      </c>
      <c r="I20" t="s">
        <v>138</v>
      </c>
      <c r="J20">
        <f>Samples!O76-Samples!O20</f>
        <v>-2.12209994</v>
      </c>
      <c r="K20">
        <f>Samples!P76-Samples!P20</f>
        <v>-6.9577996799999973</v>
      </c>
      <c r="L20">
        <f>Samples!Q76-Samples!Q20</f>
        <v>3.2816361600000001</v>
      </c>
      <c r="M20">
        <f>Samples!R76-Samples!R20</f>
        <v>10.876941239999997</v>
      </c>
      <c r="N20">
        <f>949-236</f>
        <v>713</v>
      </c>
      <c r="O20">
        <f>N20/1000</f>
        <v>0.71299999999999997</v>
      </c>
      <c r="P20" s="11">
        <f>'Std curve values (OD-cell dens)'!$J$2*Flux_csv_output!O20+'Std curve values (OD-cell dens)'!$J$3</f>
        <v>144857785.845</v>
      </c>
      <c r="Q20">
        <v>0.23719999999999999</v>
      </c>
      <c r="R20">
        <f>J20/$P20*$Q20</f>
        <v>-3.474870907571409E-9</v>
      </c>
      <c r="S20">
        <f>K20/$P20*$Q20</f>
        <v>-1.1393174860907659E-8</v>
      </c>
      <c r="T20">
        <f>L20/$P20*$Q20</f>
        <v>5.373574451737817E-9</v>
      </c>
      <c r="U20">
        <f>M20/$P20*$Q20</f>
        <v>1.7810644053945774E-8</v>
      </c>
      <c r="V20">
        <f>R20*10^9</f>
        <v>-3.4748709075714088</v>
      </c>
      <c r="W20">
        <f>S20*10^9</f>
        <v>-11.393174860907658</v>
      </c>
      <c r="X20">
        <f>T20*10^9</f>
        <v>5.3735744517378166</v>
      </c>
      <c r="Y20">
        <f>U20*10^9</f>
        <v>17.810644053945772</v>
      </c>
      <c r="Z20">
        <v>-3.4748709075714088</v>
      </c>
      <c r="AA20">
        <v>-11.393174860907658</v>
      </c>
      <c r="AB20">
        <f t="shared" si="0"/>
        <v>5.3735744517378166</v>
      </c>
      <c r="AC20">
        <v>17.810644053945772</v>
      </c>
      <c r="AD20">
        <v>0</v>
      </c>
      <c r="AE20">
        <v>-11.393174860907658</v>
      </c>
      <c r="AF20">
        <v>0.19217813948682999</v>
      </c>
      <c r="AG20">
        <v>9.52686690369808</v>
      </c>
      <c r="AH20">
        <v>0</v>
      </c>
      <c r="AI20">
        <v>4.2684932838770502</v>
      </c>
      <c r="AJ20">
        <v>5.3735744517378166</v>
      </c>
      <c r="AK20">
        <v>17.810644053945772</v>
      </c>
      <c r="AL20">
        <f>-1*AD20</f>
        <v>0</v>
      </c>
      <c r="AM20">
        <f>-1*AE20</f>
        <v>11.393174860907658</v>
      </c>
    </row>
    <row r="21" spans="1:39" x14ac:dyDescent="0.25">
      <c r="A21">
        <v>20</v>
      </c>
      <c r="B21">
        <f>A21+200</f>
        <v>220</v>
      </c>
      <c r="C21">
        <v>20</v>
      </c>
      <c r="D21" t="s">
        <v>43</v>
      </c>
      <c r="E21" t="s">
        <v>56</v>
      </c>
      <c r="F21" t="s">
        <v>24</v>
      </c>
      <c r="G21" t="s">
        <v>143</v>
      </c>
      <c r="H21" t="s">
        <v>141</v>
      </c>
      <c r="I21" t="s">
        <v>138</v>
      </c>
      <c r="J21">
        <f>Samples!O77-Samples!O21</f>
        <v>-1.0893319000000004</v>
      </c>
      <c r="K21">
        <f>Samples!P77-Samples!P21</f>
        <v>-5.1196166900000009</v>
      </c>
      <c r="L21">
        <f>Samples!Q77-Samples!Q21</f>
        <v>0.56374031999999996</v>
      </c>
      <c r="M21">
        <f>Samples!R77-Samples!R21</f>
        <v>7.4134575466666659</v>
      </c>
      <c r="N21">
        <f>816-239</f>
        <v>577</v>
      </c>
      <c r="O21">
        <f>N21/1000</f>
        <v>0.57699999999999996</v>
      </c>
      <c r="P21" s="11">
        <f>'Std curve values (OD-cell dens)'!$J$2*Flux_csv_output!O21+'Std curve values (OD-cell dens)'!$J$3</f>
        <v>114710725.005</v>
      </c>
      <c r="Q21">
        <v>0.2084</v>
      </c>
      <c r="R21">
        <f>J21/$P21*$Q21</f>
        <v>-1.9790369902213145E-9</v>
      </c>
      <c r="S21">
        <f>K21/$P21*$Q21</f>
        <v>-9.3010319492749707E-9</v>
      </c>
      <c r="T21">
        <f>L21/$P21*$Q21</f>
        <v>1.0241717388054092E-9</v>
      </c>
      <c r="U21">
        <f>M21/$P21*$Q21</f>
        <v>1.3468353134878987E-8</v>
      </c>
      <c r="V21">
        <f>R21*10^9</f>
        <v>-1.9790369902213145</v>
      </c>
      <c r="W21">
        <f>S21*10^9</f>
        <v>-9.3010319492749716</v>
      </c>
      <c r="X21">
        <f>T21*10^9</f>
        <v>1.0241717388054092</v>
      </c>
      <c r="Y21">
        <f>U21*10^9</f>
        <v>13.468353134878987</v>
      </c>
      <c r="Z21">
        <v>-1.9790369902213145</v>
      </c>
      <c r="AA21">
        <v>-9.3010319492749716</v>
      </c>
      <c r="AB21">
        <f t="shared" si="0"/>
        <v>1.0241717388054092</v>
      </c>
      <c r="AC21">
        <v>13.468353134878987</v>
      </c>
      <c r="AD21">
        <v>0</v>
      </c>
      <c r="AE21">
        <v>-9.3010319492749716</v>
      </c>
      <c r="AF21">
        <v>0.19217813948682999</v>
      </c>
      <c r="AG21">
        <v>9.52686690369808</v>
      </c>
      <c r="AH21">
        <v>0</v>
      </c>
      <c r="AI21">
        <v>4.2684932838770502</v>
      </c>
      <c r="AJ21">
        <v>1.0241717388054092</v>
      </c>
      <c r="AK21">
        <v>13.468353134878987</v>
      </c>
      <c r="AL21">
        <f>-1*AD21</f>
        <v>0</v>
      </c>
      <c r="AM21">
        <f>-1*AE21</f>
        <v>9.3010319492749716</v>
      </c>
    </row>
    <row r="22" spans="1:39" x14ac:dyDescent="0.25">
      <c r="A22">
        <v>21</v>
      </c>
      <c r="B22">
        <f>A22+200</f>
        <v>221</v>
      </c>
      <c r="C22">
        <v>21</v>
      </c>
      <c r="D22" t="s">
        <v>44</v>
      </c>
      <c r="E22" t="s">
        <v>56</v>
      </c>
      <c r="F22" t="s">
        <v>24</v>
      </c>
      <c r="G22" t="s">
        <v>143</v>
      </c>
      <c r="H22" t="s">
        <v>141</v>
      </c>
      <c r="I22" t="s">
        <v>138</v>
      </c>
      <c r="J22">
        <f>Samples!O78-Samples!O22</f>
        <v>-1.1750913500000002</v>
      </c>
      <c r="K22">
        <f>Samples!P78-Samples!P22</f>
        <v>-9.5367632199999974</v>
      </c>
      <c r="L22">
        <f>Samples!Q78-Samples!Q22</f>
        <v>10.503210959999997</v>
      </c>
      <c r="M22">
        <f>Samples!R78-Samples!R22</f>
        <v>18.445845346666665</v>
      </c>
      <c r="N22">
        <f>1200-90</f>
        <v>1110</v>
      </c>
      <c r="O22">
        <f>N22/1000</f>
        <v>1.1100000000000001</v>
      </c>
      <c r="P22" s="11">
        <f>'Std curve values (OD-cell dens)'!$J$2*Flux_csv_output!O22+'Std curve values (OD-cell dens)'!$J$3</f>
        <v>232860603.15000004</v>
      </c>
      <c r="Q22">
        <v>0.28189999999999998</v>
      </c>
      <c r="R22">
        <f>J22/$P22*$Q22</f>
        <v>-1.4225603089742748E-9</v>
      </c>
      <c r="S22">
        <f>K22/$P22*$Q22</f>
        <v>-1.1545162708293014E-8</v>
      </c>
      <c r="T22">
        <f>L22/$P22*$Q22</f>
        <v>1.2715140000374934E-8</v>
      </c>
      <c r="U22">
        <f>M22/$P22*$Q22</f>
        <v>2.2330457504981051E-8</v>
      </c>
      <c r="V22">
        <f>R22*10^9</f>
        <v>-1.4225603089742749</v>
      </c>
      <c r="W22">
        <f>S22*10^9</f>
        <v>-11.545162708293015</v>
      </c>
      <c r="X22">
        <f>T22*10^9</f>
        <v>12.715140000374934</v>
      </c>
      <c r="Y22">
        <f>U22*10^9</f>
        <v>22.330457504981052</v>
      </c>
      <c r="Z22">
        <v>-1.4225603089742749</v>
      </c>
      <c r="AA22">
        <v>-11.545162708293015</v>
      </c>
      <c r="AB22">
        <f t="shared" si="0"/>
        <v>12.715140000374934</v>
      </c>
      <c r="AC22">
        <v>22.330457504981052</v>
      </c>
      <c r="AD22">
        <v>0</v>
      </c>
      <c r="AE22">
        <v>-11.545162708293015</v>
      </c>
      <c r="AF22">
        <v>0.19217813948682999</v>
      </c>
      <c r="AG22">
        <v>9.52686690369808</v>
      </c>
      <c r="AH22">
        <v>0</v>
      </c>
      <c r="AI22">
        <v>4.2684932838770502</v>
      </c>
      <c r="AJ22">
        <v>12.715140000374934</v>
      </c>
      <c r="AK22">
        <v>22.330457504981052</v>
      </c>
      <c r="AL22">
        <f>-1*AD22</f>
        <v>0</v>
      </c>
      <c r="AM22">
        <f>-1*AE22</f>
        <v>11.545162708293015</v>
      </c>
    </row>
    <row r="23" spans="1:39" x14ac:dyDescent="0.25">
      <c r="A23">
        <v>22</v>
      </c>
      <c r="B23">
        <f>A23+200</f>
        <v>222</v>
      </c>
      <c r="C23">
        <v>22</v>
      </c>
      <c r="D23" t="s">
        <v>45</v>
      </c>
      <c r="E23" t="s">
        <v>56</v>
      </c>
      <c r="F23" t="s">
        <v>24</v>
      </c>
      <c r="G23" t="s">
        <v>143</v>
      </c>
      <c r="H23" t="s">
        <v>141</v>
      </c>
      <c r="I23" t="s">
        <v>138</v>
      </c>
      <c r="J23" t="e">
        <f>Samples!O79-Samples!O23</f>
        <v>#VALUE!</v>
      </c>
      <c r="K23">
        <f>Samples!P79-Samples!P23</f>
        <v>-7.6870908800000066</v>
      </c>
      <c r="L23">
        <f>Samples!Q79-Samples!Q23</f>
        <v>5.1588028799999996</v>
      </c>
      <c r="M23">
        <f>Samples!R79-Samples!R23</f>
        <v>15.501476399999998</v>
      </c>
      <c r="N23">
        <f>1045-99</f>
        <v>946</v>
      </c>
      <c r="O23">
        <f>N23/1000</f>
        <v>0.94599999999999995</v>
      </c>
      <c r="P23" s="11">
        <f>'Std curve values (OD-cell dens)'!$J$2*Flux_csv_output!O23+'Std curve values (OD-cell dens)'!$J$3</f>
        <v>196506794.48999998</v>
      </c>
      <c r="Q23">
        <v>0.25109999999999999</v>
      </c>
      <c r="R23" t="e">
        <f>J23/$P23*$Q23</f>
        <v>#VALUE!</v>
      </c>
      <c r="S23">
        <f>K23/$P23*$Q23</f>
        <v>-9.8227062579570436E-9</v>
      </c>
      <c r="T23">
        <f>L23/$P23*$Q23</f>
        <v>6.592013301778835E-9</v>
      </c>
      <c r="U23">
        <f>M23/$P23*$Q23</f>
        <v>1.9808071950601589E-8</v>
      </c>
      <c r="V23" t="e">
        <f>R23*10^9</f>
        <v>#VALUE!</v>
      </c>
      <c r="W23">
        <f>S23*10^9</f>
        <v>-9.8227062579570443</v>
      </c>
      <c r="X23">
        <f>T23*10^9</f>
        <v>6.5920133017788354</v>
      </c>
      <c r="Y23">
        <f>U23*10^9</f>
        <v>19.80807195060159</v>
      </c>
      <c r="Z23">
        <v>0</v>
      </c>
      <c r="AA23">
        <v>-9.8227062579570443</v>
      </c>
      <c r="AB23">
        <f t="shared" si="0"/>
        <v>6.5920133017788354</v>
      </c>
      <c r="AC23">
        <v>19.80807195060159</v>
      </c>
      <c r="AD23">
        <v>0</v>
      </c>
      <c r="AE23">
        <v>-9.8227062579570443</v>
      </c>
      <c r="AF23">
        <v>0.19217813948682999</v>
      </c>
      <c r="AG23">
        <v>9.52686690369808</v>
      </c>
      <c r="AH23">
        <v>0</v>
      </c>
      <c r="AI23">
        <v>4.2684932838770502</v>
      </c>
      <c r="AJ23">
        <v>6.5920133017788354</v>
      </c>
      <c r="AK23">
        <v>19.80807195060159</v>
      </c>
      <c r="AL23">
        <f>-1*AD23</f>
        <v>0</v>
      </c>
      <c r="AM23">
        <f>-1*AE23</f>
        <v>9.8227062579570443</v>
      </c>
    </row>
    <row r="24" spans="1:39" x14ac:dyDescent="0.25">
      <c r="A24">
        <v>23</v>
      </c>
      <c r="B24">
        <f>A24+200</f>
        <v>223</v>
      </c>
      <c r="C24">
        <v>23</v>
      </c>
      <c r="D24" t="s">
        <v>46</v>
      </c>
      <c r="E24" t="s">
        <v>56</v>
      </c>
      <c r="F24" t="s">
        <v>24</v>
      </c>
      <c r="G24" t="s">
        <v>143</v>
      </c>
      <c r="H24" t="s">
        <v>141</v>
      </c>
      <c r="I24" t="s">
        <v>138</v>
      </c>
      <c r="J24">
        <f>Samples!O80-Samples!O24</f>
        <v>-1.1818607400000001</v>
      </c>
      <c r="K24">
        <f>Samples!P80-Samples!P24</f>
        <v>-9.0323995900000007</v>
      </c>
      <c r="L24">
        <f>Samples!Q80-Samples!Q24</f>
        <v>10.041071039999999</v>
      </c>
      <c r="M24">
        <f>Samples!R80-Samples!R24</f>
        <v>17.45967126</v>
      </c>
      <c r="N24">
        <f>1077-153</f>
        <v>924</v>
      </c>
      <c r="O24">
        <f>N24/1000</f>
        <v>0.92400000000000004</v>
      </c>
      <c r="P24" s="11">
        <f>'Std curve values (OD-cell dens)'!$J$2*Flux_csv_output!O24+'Std curve values (OD-cell dens)'!$J$3</f>
        <v>191630064.06</v>
      </c>
      <c r="Q24">
        <v>0.21709999999999999</v>
      </c>
      <c r="R24">
        <f>J24/$P24*$Q24</f>
        <v>-1.3389442200137414E-9</v>
      </c>
      <c r="S24">
        <f>K24/$P24*$Q24</f>
        <v>-1.0232913925108459E-8</v>
      </c>
      <c r="T24">
        <f>L24/$P24*$Q24</f>
        <v>1.1375649919427364E-8</v>
      </c>
      <c r="U24">
        <f>M24/$P24*$Q24</f>
        <v>1.978027116538031E-8</v>
      </c>
      <c r="V24">
        <f>R24*10^9</f>
        <v>-1.3389442200137414</v>
      </c>
      <c r="W24">
        <f>S24*10^9</f>
        <v>-10.232913925108459</v>
      </c>
      <c r="X24">
        <f>T24*10^9</f>
        <v>11.375649919427364</v>
      </c>
      <c r="Y24">
        <f>U24*10^9</f>
        <v>19.780271165380309</v>
      </c>
      <c r="Z24">
        <v>-1.3389442200137414</v>
      </c>
      <c r="AA24">
        <v>-10.232913925108459</v>
      </c>
      <c r="AB24">
        <f t="shared" si="0"/>
        <v>11.375649919427364</v>
      </c>
      <c r="AC24">
        <v>19.780271165380309</v>
      </c>
      <c r="AD24">
        <v>0</v>
      </c>
      <c r="AE24">
        <v>-10.232913925108459</v>
      </c>
      <c r="AF24">
        <v>0.19217813948682999</v>
      </c>
      <c r="AG24">
        <v>9.52686690369808</v>
      </c>
      <c r="AH24">
        <v>0</v>
      </c>
      <c r="AI24">
        <v>4.2684932838770502</v>
      </c>
      <c r="AJ24">
        <v>11.375649919427364</v>
      </c>
      <c r="AK24">
        <v>19.780271165380309</v>
      </c>
      <c r="AL24">
        <f>-1*AD24</f>
        <v>0</v>
      </c>
      <c r="AM24">
        <f>-1*AE24</f>
        <v>10.232913925108459</v>
      </c>
    </row>
    <row r="25" spans="1:39" x14ac:dyDescent="0.25">
      <c r="A25">
        <v>24</v>
      </c>
      <c r="B25">
        <f>A25+200</f>
        <v>224</v>
      </c>
      <c r="C25">
        <v>24</v>
      </c>
      <c r="D25" t="s">
        <v>47</v>
      </c>
      <c r="E25" t="s">
        <v>56</v>
      </c>
      <c r="F25" t="s">
        <v>24</v>
      </c>
      <c r="G25" t="s">
        <v>143</v>
      </c>
      <c r="H25" t="s">
        <v>141</v>
      </c>
      <c r="I25" t="s">
        <v>138</v>
      </c>
      <c r="J25" t="e">
        <f>Samples!O81-Samples!O25</f>
        <v>#VALUE!</v>
      </c>
      <c r="K25">
        <f>Samples!P81-Samples!P25</f>
        <v>-6.196225290000001</v>
      </c>
      <c r="L25">
        <f>Samples!Q81-Samples!Q25</f>
        <v>4.0499395199999988</v>
      </c>
      <c r="M25">
        <f>Samples!R81-Samples!R25</f>
        <v>14.687301053333332</v>
      </c>
      <c r="N25">
        <f>1023-146</f>
        <v>877</v>
      </c>
      <c r="O25">
        <f>N25/1000</f>
        <v>0.877</v>
      </c>
      <c r="P25" s="11">
        <f>'Std curve values (OD-cell dens)'!$J$2*Flux_csv_output!O25+'Std curve values (OD-cell dens)'!$J$3</f>
        <v>181211594.505</v>
      </c>
      <c r="Q25">
        <v>0.30449999999999999</v>
      </c>
      <c r="R25" t="e">
        <f>J25/$P25*$Q25</f>
        <v>#VALUE!</v>
      </c>
      <c r="S25">
        <f>K25/$P25*$Q25</f>
        <v>-1.0411864682052345E-8</v>
      </c>
      <c r="T25">
        <f>L25/$P25*$Q25</f>
        <v>6.8053403934149091E-9</v>
      </c>
      <c r="U25">
        <f>M25/$P25*$Q25</f>
        <v>2.4679895251496175E-8</v>
      </c>
      <c r="V25" t="e">
        <f>R25*10^9</f>
        <v>#VALUE!</v>
      </c>
      <c r="W25">
        <f>S25*10^9</f>
        <v>-10.411864682052345</v>
      </c>
      <c r="X25">
        <f>T25*10^9</f>
        <v>6.8053403934149088</v>
      </c>
      <c r="Y25">
        <f>U25*10^9</f>
        <v>24.679895251496173</v>
      </c>
      <c r="Z25">
        <v>0</v>
      </c>
      <c r="AA25">
        <v>-10.411864682052345</v>
      </c>
      <c r="AB25">
        <f t="shared" si="0"/>
        <v>6.8053403934149088</v>
      </c>
      <c r="AC25">
        <v>24.679895251496173</v>
      </c>
      <c r="AD25">
        <v>0</v>
      </c>
      <c r="AE25">
        <v>-10.411864682052345</v>
      </c>
      <c r="AF25">
        <v>0.19217813948682999</v>
      </c>
      <c r="AG25">
        <v>9.52686690369808</v>
      </c>
      <c r="AH25">
        <v>0</v>
      </c>
      <c r="AI25">
        <v>4.2684932838770502</v>
      </c>
      <c r="AJ25">
        <v>6.8053403934149088</v>
      </c>
      <c r="AK25">
        <v>24.679895251496173</v>
      </c>
      <c r="AL25">
        <f>-1*AD25</f>
        <v>0</v>
      </c>
      <c r="AM25">
        <f>-1*AE25</f>
        <v>10.411864682052345</v>
      </c>
    </row>
    <row r="26" spans="1:39" x14ac:dyDescent="0.25">
      <c r="A26">
        <v>41</v>
      </c>
      <c r="B26">
        <f>A26+200</f>
        <v>241</v>
      </c>
      <c r="C26">
        <v>25</v>
      </c>
      <c r="D26" t="s">
        <v>48</v>
      </c>
      <c r="E26" t="s">
        <v>56</v>
      </c>
      <c r="F26" t="s">
        <v>24</v>
      </c>
      <c r="G26" t="s">
        <v>143</v>
      </c>
      <c r="H26" t="s">
        <v>139</v>
      </c>
      <c r="I26" t="s">
        <v>138</v>
      </c>
      <c r="J26" t="e">
        <f>Samples!O82-Samples!O26</f>
        <v>#VALUE!</v>
      </c>
      <c r="K26">
        <f>Samples!P82-Samples!P26</f>
        <v>-1.5903520600000007</v>
      </c>
      <c r="L26">
        <f>Samples!Q82-Samples!Q26</f>
        <v>-0.51833232000000007</v>
      </c>
      <c r="M26">
        <f>Samples!R82-Samples!R26</f>
        <v>4.2738208533333326</v>
      </c>
      <c r="N26">
        <f>163-46</f>
        <v>117</v>
      </c>
      <c r="O26">
        <f>N26/1000</f>
        <v>0.11700000000000001</v>
      </c>
      <c r="P26" s="11">
        <f>'Std curve values (OD-cell dens)'!$J$2*Flux_csv_output!O26+'Std curve values (OD-cell dens)'!$J$3</f>
        <v>12742725.105</v>
      </c>
      <c r="Q26">
        <v>3.6089999999999997E-2</v>
      </c>
      <c r="R26" t="e">
        <f>J26/$P26*$Q26</f>
        <v>#VALUE!</v>
      </c>
      <c r="S26">
        <f>K26/$P26*$Q26</f>
        <v>-4.5042018384967756E-9</v>
      </c>
      <c r="T26">
        <f>L26/$P26*$Q26</f>
        <v>-1.4680229915232092E-9</v>
      </c>
      <c r="U26">
        <f>M26/$P26*$Q26</f>
        <v>1.2104333517818593E-8</v>
      </c>
      <c r="V26" t="e">
        <f>R26*10^9</f>
        <v>#VALUE!</v>
      </c>
      <c r="W26">
        <f>S26*10^9</f>
        <v>-4.5042018384967752</v>
      </c>
      <c r="X26">
        <f>T26*10^9</f>
        <v>-1.4680229915232093</v>
      </c>
      <c r="Y26">
        <f>U26*10^9</f>
        <v>12.104333517818592</v>
      </c>
      <c r="Z26">
        <v>0</v>
      </c>
      <c r="AA26">
        <v>-4.5042018384967752</v>
      </c>
      <c r="AB26">
        <f t="shared" si="0"/>
        <v>0</v>
      </c>
      <c r="AC26">
        <v>12.104333517818592</v>
      </c>
      <c r="AD26">
        <v>0</v>
      </c>
      <c r="AE26">
        <v>-4.5042018384967752</v>
      </c>
      <c r="AF26">
        <v>0.19217813948682999</v>
      </c>
      <c r="AG26">
        <v>9.52686690369808</v>
      </c>
      <c r="AH26">
        <v>0</v>
      </c>
      <c r="AI26">
        <v>4.2684932838770502</v>
      </c>
      <c r="AJ26">
        <v>0</v>
      </c>
      <c r="AK26">
        <v>12.104333517818592</v>
      </c>
      <c r="AL26">
        <f>-1*AD26</f>
        <v>0</v>
      </c>
      <c r="AM26">
        <f>-1*AE26</f>
        <v>4.5042018384967752</v>
      </c>
    </row>
    <row r="27" spans="1:39" x14ac:dyDescent="0.25">
      <c r="A27">
        <v>42</v>
      </c>
      <c r="B27">
        <f>A27+200</f>
        <v>242</v>
      </c>
      <c r="C27">
        <v>26</v>
      </c>
      <c r="D27" t="s">
        <v>49</v>
      </c>
      <c r="E27" t="s">
        <v>56</v>
      </c>
      <c r="F27" t="s">
        <v>24</v>
      </c>
      <c r="G27" t="s">
        <v>143</v>
      </c>
      <c r="H27" t="s">
        <v>139</v>
      </c>
      <c r="I27" t="s">
        <v>138</v>
      </c>
      <c r="J27" t="e">
        <f>Samples!O83-Samples!O27</f>
        <v>#VALUE!</v>
      </c>
      <c r="K27">
        <f>Samples!P83-Samples!P27</f>
        <v>-1.033740139999999</v>
      </c>
      <c r="L27">
        <f>Samples!Q83-Samples!Q27</f>
        <v>0.34146816000000002</v>
      </c>
      <c r="M27">
        <f>Samples!R83-Samples!R27</f>
        <v>6.9221696533333326</v>
      </c>
      <c r="N27">
        <f>145-1</f>
        <v>144</v>
      </c>
      <c r="O27">
        <f>N27/1000</f>
        <v>0.14399999999999999</v>
      </c>
      <c r="P27" s="11">
        <f>'Std curve values (OD-cell dens)'!$J$2*Flux_csv_output!O27+'Std curve values (OD-cell dens)'!$J$3</f>
        <v>18727803.359999999</v>
      </c>
      <c r="Q27">
        <v>3.1620000000000002E-2</v>
      </c>
      <c r="R27" t="e">
        <f>J27/$P27*$Q27</f>
        <v>#VALUE!</v>
      </c>
      <c r="S27">
        <f>K27/$P27*$Q27</f>
        <v>-1.7453655721639302E-9</v>
      </c>
      <c r="T27">
        <f>L27/$P27*$Q27</f>
        <v>5.7653441846048951E-10</v>
      </c>
      <c r="U27">
        <f>M27/$P27*$Q27</f>
        <v>1.1687382670083738E-8</v>
      </c>
      <c r="V27" t="e">
        <f>R27*10^9</f>
        <v>#VALUE!</v>
      </c>
      <c r="W27">
        <f>S27*10^9</f>
        <v>-1.7453655721639303</v>
      </c>
      <c r="X27">
        <f>T27*10^9</f>
        <v>0.57653441846048947</v>
      </c>
      <c r="Y27">
        <f>U27*10^9</f>
        <v>11.687382670083737</v>
      </c>
      <c r="Z27">
        <v>0</v>
      </c>
      <c r="AA27">
        <v>-1.7453655721639303</v>
      </c>
      <c r="AB27">
        <f t="shared" si="0"/>
        <v>0.57653441846048947</v>
      </c>
      <c r="AC27">
        <v>11.687382670083737</v>
      </c>
      <c r="AD27">
        <v>0</v>
      </c>
      <c r="AE27">
        <v>-1.7453655721639303</v>
      </c>
      <c r="AF27">
        <v>0.19217813948682999</v>
      </c>
      <c r="AG27">
        <v>9.52686690369808</v>
      </c>
      <c r="AH27">
        <v>0</v>
      </c>
      <c r="AI27">
        <v>4.2684932838770502</v>
      </c>
      <c r="AJ27">
        <v>0.57653441846048947</v>
      </c>
      <c r="AK27">
        <v>11.687382670083737</v>
      </c>
      <c r="AL27">
        <f>-1*AD27</f>
        <v>0</v>
      </c>
      <c r="AM27">
        <f>-1*AE27</f>
        <v>1.7453655721639303</v>
      </c>
    </row>
    <row r="28" spans="1:39" x14ac:dyDescent="0.25">
      <c r="A28">
        <v>44</v>
      </c>
      <c r="B28">
        <f>A28+200</f>
        <v>244</v>
      </c>
      <c r="C28">
        <v>28</v>
      </c>
      <c r="D28" t="s">
        <v>51</v>
      </c>
      <c r="E28" t="s">
        <v>56</v>
      </c>
      <c r="F28" t="s">
        <v>24</v>
      </c>
      <c r="G28" t="s">
        <v>143</v>
      </c>
      <c r="H28" t="s">
        <v>139</v>
      </c>
      <c r="I28" t="s">
        <v>138</v>
      </c>
      <c r="J28">
        <f>Samples!O85-Samples!O29</f>
        <v>-2.5632731299999998</v>
      </c>
      <c r="K28">
        <f>Samples!P85-Samples!P29</f>
        <v>-5.4925120199999995</v>
      </c>
      <c r="L28">
        <f>Samples!Q85-Samples!Q29</f>
        <v>-0.42604056000000023</v>
      </c>
      <c r="M28">
        <f>Samples!R85-Samples!R29</f>
        <v>4.0121044999999995</v>
      </c>
      <c r="N28">
        <f>166-1</f>
        <v>165</v>
      </c>
      <c r="O28">
        <f>N28/1000</f>
        <v>0.16500000000000001</v>
      </c>
      <c r="P28" s="11">
        <f>'Std curve values (OD-cell dens)'!$J$2*Flux_csv_output!O28+'Std curve values (OD-cell dens)'!$J$3</f>
        <v>23382864.225000001</v>
      </c>
      <c r="Q28">
        <v>2.7910000000000001E-2</v>
      </c>
      <c r="R28">
        <f>J28/$P28*$Q28</f>
        <v>-3.0595461860404312E-9</v>
      </c>
      <c r="S28">
        <f>K28/$P28*$Q28</f>
        <v>-6.5559124409704339E-9</v>
      </c>
      <c r="T28">
        <f>L28/$P28*$Q28</f>
        <v>-5.0852589807568821E-10</v>
      </c>
      <c r="U28">
        <f>M28/$P28*$Q28</f>
        <v>4.7888845231918964E-9</v>
      </c>
      <c r="V28">
        <f>R28*10^9</f>
        <v>-3.0595461860404312</v>
      </c>
      <c r="W28">
        <f>S28*10^9</f>
        <v>-6.5559124409704337</v>
      </c>
      <c r="X28">
        <f>T28*10^9</f>
        <v>-0.50852589807568827</v>
      </c>
      <c r="Y28">
        <f>U28*10^9</f>
        <v>4.7888845231918964</v>
      </c>
      <c r="Z28">
        <v>-3.0595461860404312</v>
      </c>
      <c r="AA28">
        <v>-6.5559124409704337</v>
      </c>
      <c r="AB28">
        <f t="shared" si="0"/>
        <v>0</v>
      </c>
      <c r="AC28">
        <v>4.7888845231918964</v>
      </c>
      <c r="AD28">
        <v>-3.0595461860404312</v>
      </c>
      <c r="AE28">
        <v>-6.5559124409704337</v>
      </c>
      <c r="AF28">
        <v>0.19217813948682999</v>
      </c>
      <c r="AG28">
        <v>9.52686690369808</v>
      </c>
      <c r="AH28">
        <v>0</v>
      </c>
      <c r="AI28">
        <v>4.2684932838770502</v>
      </c>
      <c r="AJ28">
        <v>0</v>
      </c>
      <c r="AK28">
        <v>4.7888845231918964</v>
      </c>
      <c r="AL28">
        <f>-1*AD28</f>
        <v>3.0595461860404312</v>
      </c>
      <c r="AM28">
        <f>-1*AE28</f>
        <v>6.5559124409704337</v>
      </c>
    </row>
    <row r="29" spans="1:39" x14ac:dyDescent="0.25">
      <c r="A29">
        <v>101</v>
      </c>
      <c r="B29">
        <f>A29+200</f>
        <v>301</v>
      </c>
      <c r="C29">
        <v>1</v>
      </c>
      <c r="D29" t="s">
        <v>23</v>
      </c>
      <c r="E29" t="s">
        <v>56</v>
      </c>
      <c r="F29" t="s">
        <v>52</v>
      </c>
      <c r="G29" t="s">
        <v>140</v>
      </c>
      <c r="H29" t="s">
        <v>143</v>
      </c>
      <c r="I29" t="s">
        <v>144</v>
      </c>
      <c r="J29">
        <f>Samples!O86-Samples!O30</f>
        <v>-8.7241655700000003</v>
      </c>
      <c r="K29">
        <f>Samples!P86-Samples!P30</f>
        <v>-1.5856433100000018</v>
      </c>
      <c r="L29">
        <f>Samples!Q86-Samples!Q30</f>
        <v>7.4403278399999984</v>
      </c>
      <c r="M29">
        <f>Samples!R86-Samples!R30</f>
        <v>12.726947213333334</v>
      </c>
      <c r="N29">
        <f>1044-227</f>
        <v>817</v>
      </c>
      <c r="O29">
        <f>N29/1000</f>
        <v>0.81699999999999995</v>
      </c>
      <c r="P29" s="11">
        <f>'Std curve values (OD-cell dens)'!$J$2*Flux_csv_output!O29+'Std curve values (OD-cell dens)'!$J$3</f>
        <v>167911420.60499999</v>
      </c>
      <c r="Q29">
        <v>0.30470000000000003</v>
      </c>
      <c r="R29">
        <f>J29/$P29*$Q29</f>
        <v>-1.5831283182532042E-8</v>
      </c>
      <c r="S29">
        <f>K29/$P29*$Q29</f>
        <v>-2.8773832942165799E-9</v>
      </c>
      <c r="T29">
        <f>L29/$P29*$Q29</f>
        <v>1.3501570558330991E-8</v>
      </c>
      <c r="U29">
        <f>M29/$P29*$Q29</f>
        <v>2.3094919940110331E-8</v>
      </c>
      <c r="V29">
        <f>R29*10^9</f>
        <v>-15.831283182532042</v>
      </c>
      <c r="W29">
        <f>S29*10^9</f>
        <v>-2.87738329421658</v>
      </c>
      <c r="X29">
        <f>T29*10^9</f>
        <v>13.501570558330991</v>
      </c>
      <c r="Y29">
        <f>U29*10^9</f>
        <v>23.09491994011033</v>
      </c>
      <c r="Z29">
        <v>-15.831283182532042</v>
      </c>
      <c r="AA29">
        <v>-2.87738329421658</v>
      </c>
      <c r="AB29">
        <f t="shared" si="0"/>
        <v>13.501570558330991</v>
      </c>
      <c r="AC29">
        <v>23.09491994011033</v>
      </c>
      <c r="AD29">
        <v>-15.831283182532042</v>
      </c>
      <c r="AE29">
        <v>-2.87738329421658</v>
      </c>
      <c r="AF29">
        <v>1.9411672103515889</v>
      </c>
      <c r="AG29">
        <v>7.5868381830810652</v>
      </c>
      <c r="AH29">
        <v>6.8875454534798211</v>
      </c>
      <c r="AI29">
        <v>1.5481257026206174</v>
      </c>
      <c r="AJ29">
        <v>13.501570558330991</v>
      </c>
      <c r="AK29">
        <v>23.09491994011033</v>
      </c>
      <c r="AL29">
        <f>-1*AD29</f>
        <v>15.831283182532042</v>
      </c>
      <c r="AM29">
        <f>-1*AE29</f>
        <v>2.87738329421658</v>
      </c>
    </row>
    <row r="30" spans="1:39" x14ac:dyDescent="0.25">
      <c r="A30">
        <v>102</v>
      </c>
      <c r="B30">
        <f>A30+200</f>
        <v>302</v>
      </c>
      <c r="C30">
        <v>2</v>
      </c>
      <c r="D30" t="s">
        <v>25</v>
      </c>
      <c r="E30" t="s">
        <v>56</v>
      </c>
      <c r="F30" t="s">
        <v>52</v>
      </c>
      <c r="G30" t="s">
        <v>140</v>
      </c>
      <c r="H30" t="s">
        <v>143</v>
      </c>
      <c r="I30" t="s">
        <v>144</v>
      </c>
      <c r="J30">
        <f>Samples!O87-Samples!O31</f>
        <v>-5.4981567000000027</v>
      </c>
      <c r="K30">
        <f>Samples!P87-Samples!P31</f>
        <v>-9.5041410000007431E-2</v>
      </c>
      <c r="L30">
        <f>Samples!Q87-Samples!Q31</f>
        <v>4.4519138399999987</v>
      </c>
      <c r="M30">
        <f>Samples!R87-Samples!R31</f>
        <v>7.6048871066666646</v>
      </c>
      <c r="N30">
        <f>893-209</f>
        <v>684</v>
      </c>
      <c r="O30">
        <f>N30/1000</f>
        <v>0.68400000000000005</v>
      </c>
      <c r="P30" s="11">
        <f>'Std curve values (OD-cell dens)'!$J$2*Flux_csv_output!O30+'Std curve values (OD-cell dens)'!$J$3</f>
        <v>138429368.46000001</v>
      </c>
      <c r="Q30">
        <v>0.29210000000000003</v>
      </c>
      <c r="R30">
        <f>J30/$P30*$Q30</f>
        <v>-1.160166798372751E-8</v>
      </c>
      <c r="S30">
        <f>K30/$P30*$Q30</f>
        <v>-2.0054700942325004E-10</v>
      </c>
      <c r="T30">
        <f>L30/$P30*$Q30</f>
        <v>9.3939894917584567E-9</v>
      </c>
      <c r="U30">
        <f>M30/$P30*$Q30</f>
        <v>1.6047082700512471E-8</v>
      </c>
      <c r="V30">
        <f>R30*10^9</f>
        <v>-11.601667983727509</v>
      </c>
      <c r="W30">
        <f>S30*10^9</f>
        <v>-0.20054700942325004</v>
      </c>
      <c r="X30">
        <f>T30*10^9</f>
        <v>9.3939894917584574</v>
      </c>
      <c r="Y30">
        <f>U30*10^9</f>
        <v>16.047082700512473</v>
      </c>
      <c r="Z30">
        <v>-11.601667983727509</v>
      </c>
      <c r="AA30">
        <v>-0.20054700942325004</v>
      </c>
      <c r="AB30">
        <f t="shared" si="0"/>
        <v>9.3939894917584574</v>
      </c>
      <c r="AC30">
        <v>16.047082700512473</v>
      </c>
      <c r="AD30">
        <v>-11.601667983727509</v>
      </c>
      <c r="AE30">
        <v>-0.20054700942325004</v>
      </c>
      <c r="AF30">
        <v>1.9411672103515889</v>
      </c>
      <c r="AG30">
        <v>7.5868381830810652</v>
      </c>
      <c r="AH30">
        <v>6.8875454534798211</v>
      </c>
      <c r="AI30">
        <v>1.5481257026206174</v>
      </c>
      <c r="AJ30">
        <v>9.3939894917584574</v>
      </c>
      <c r="AK30">
        <v>16.047082700512473</v>
      </c>
      <c r="AL30">
        <f>-1*AD30</f>
        <v>11.601667983727509</v>
      </c>
      <c r="AM30">
        <f>-1*AE30</f>
        <v>0.20054700942325004</v>
      </c>
    </row>
    <row r="31" spans="1:39" x14ac:dyDescent="0.25">
      <c r="A31">
        <v>103</v>
      </c>
      <c r="B31">
        <f>A31+200</f>
        <v>303</v>
      </c>
      <c r="C31">
        <v>3</v>
      </c>
      <c r="D31" t="s">
        <v>26</v>
      </c>
      <c r="E31" t="s">
        <v>56</v>
      </c>
      <c r="F31" t="s">
        <v>52</v>
      </c>
      <c r="G31" t="s">
        <v>140</v>
      </c>
      <c r="H31" t="s">
        <v>143</v>
      </c>
      <c r="I31" t="s">
        <v>144</v>
      </c>
      <c r="J31">
        <f>Samples!O88-Samples!O32</f>
        <v>-14.6468004</v>
      </c>
      <c r="K31">
        <f>Samples!P88-Samples!P32</f>
        <v>-1.2052893199999986</v>
      </c>
      <c r="L31">
        <f>Samples!Q88-Samples!Q32</f>
        <v>11.993842079999999</v>
      </c>
      <c r="M31">
        <f>Samples!R88-Samples!R32</f>
        <v>21.740688713333331</v>
      </c>
      <c r="N31">
        <f>1385-9</f>
        <v>1376</v>
      </c>
      <c r="O31">
        <f>N31/1000</f>
        <v>1.3759999999999999</v>
      </c>
      <c r="P31" s="11">
        <f>'Std curve values (OD-cell dens)'!$J$2*Flux_csv_output!O31+'Std curve values (OD-cell dens)'!$J$3</f>
        <v>291824707.44</v>
      </c>
      <c r="Q31">
        <v>0.3679</v>
      </c>
      <c r="R31">
        <f>J31/$P31*$Q31</f>
        <v>-1.8465050181770176E-8</v>
      </c>
      <c r="S31">
        <f>K31/$P31*$Q31</f>
        <v>-1.5194941672961981E-9</v>
      </c>
      <c r="T31">
        <f>L31/$P31*$Q31</f>
        <v>1.5120496615726853E-8</v>
      </c>
      <c r="U31">
        <f>M31/$P31*$Q31</f>
        <v>2.7408232317956922E-8</v>
      </c>
      <c r="V31">
        <f>R31*10^9</f>
        <v>-18.465050181770177</v>
      </c>
      <c r="W31">
        <f>S31*10^9</f>
        <v>-1.5194941672961981</v>
      </c>
      <c r="X31">
        <f>T31*10^9</f>
        <v>15.120496615726852</v>
      </c>
      <c r="Y31">
        <f>U31*10^9</f>
        <v>27.408232317956923</v>
      </c>
      <c r="Z31">
        <v>-18.465050181770177</v>
      </c>
      <c r="AA31">
        <v>-1.5194941672961981</v>
      </c>
      <c r="AB31">
        <f t="shared" si="0"/>
        <v>15.120496615726852</v>
      </c>
      <c r="AC31">
        <v>27.408232317956923</v>
      </c>
      <c r="AD31">
        <v>-18.465050181770177</v>
      </c>
      <c r="AE31">
        <v>-1.5194941672961981</v>
      </c>
      <c r="AF31">
        <v>1.9411672103515889</v>
      </c>
      <c r="AG31">
        <v>7.5868381830810652</v>
      </c>
      <c r="AH31">
        <v>6.8875454534798211</v>
      </c>
      <c r="AI31">
        <v>1.5481257026206174</v>
      </c>
      <c r="AJ31">
        <v>15.120496615726852</v>
      </c>
      <c r="AK31">
        <v>27.408232317956923</v>
      </c>
      <c r="AL31">
        <f>-1*AD31</f>
        <v>18.465050181770177</v>
      </c>
      <c r="AM31">
        <f>-1*AE31</f>
        <v>1.5194941672961981</v>
      </c>
    </row>
    <row r="32" spans="1:39" x14ac:dyDescent="0.25">
      <c r="A32">
        <v>104</v>
      </c>
      <c r="B32">
        <f>A32+200</f>
        <v>304</v>
      </c>
      <c r="C32">
        <v>4</v>
      </c>
      <c r="D32" t="s">
        <v>27</v>
      </c>
      <c r="E32" t="s">
        <v>56</v>
      </c>
      <c r="F32" t="s">
        <v>52</v>
      </c>
      <c r="G32" t="s">
        <v>140</v>
      </c>
      <c r="H32" t="s">
        <v>143</v>
      </c>
      <c r="I32" t="s">
        <v>138</v>
      </c>
      <c r="J32">
        <f>Samples!O89-Samples!O33</f>
        <v>-10.448864940000007</v>
      </c>
      <c r="K32">
        <f>Samples!P89-Samples!P33</f>
        <v>-7.7694751699999998</v>
      </c>
      <c r="L32">
        <f>Samples!Q89-Samples!Q33</f>
        <v>13.689490319999997</v>
      </c>
      <c r="M32">
        <f>Samples!R89-Samples!R33</f>
        <v>21.288022573333329</v>
      </c>
      <c r="N32">
        <f>1286-72</f>
        <v>1214</v>
      </c>
      <c r="O32">
        <f>N32/1000</f>
        <v>1.214</v>
      </c>
      <c r="P32" s="11">
        <f>'Std curve values (OD-cell dens)'!$J$2*Flux_csv_output!O32+'Std curve values (OD-cell dens)'!$J$3</f>
        <v>255914237.90999997</v>
      </c>
      <c r="Q32">
        <v>0.34089999999999998</v>
      </c>
      <c r="R32">
        <f>J32/$P32*$Q32</f>
        <v>-1.3918795949519207E-8</v>
      </c>
      <c r="S32">
        <f>K32/$P32*$Q32</f>
        <v>-1.0349615977148037E-8</v>
      </c>
      <c r="T32">
        <f>L32/$P32*$Q32</f>
        <v>1.8235590517356061E-8</v>
      </c>
      <c r="U32">
        <f>M32/$P32*$Q32</f>
        <v>2.8357495677131912E-8</v>
      </c>
      <c r="V32">
        <f>R32*10^9</f>
        <v>-13.918795949519208</v>
      </c>
      <c r="W32">
        <f>S32*10^9</f>
        <v>-10.349615977148037</v>
      </c>
      <c r="X32">
        <f>T32*10^9</f>
        <v>18.235590517356062</v>
      </c>
      <c r="Y32">
        <f>U32*10^9</f>
        <v>28.357495677131912</v>
      </c>
      <c r="Z32">
        <v>-13.918795949519208</v>
      </c>
      <c r="AA32">
        <v>-10.349615977148037</v>
      </c>
      <c r="AB32">
        <f t="shared" si="0"/>
        <v>18.235590517356062</v>
      </c>
      <c r="AC32">
        <v>28.357495677131912</v>
      </c>
      <c r="AD32">
        <v>-13.918795949519208</v>
      </c>
      <c r="AE32">
        <v>-10.349615977148037</v>
      </c>
      <c r="AF32">
        <v>1.9411672103515889</v>
      </c>
      <c r="AG32">
        <v>7.5868381830810652</v>
      </c>
      <c r="AH32">
        <v>6.8875454534798211</v>
      </c>
      <c r="AI32">
        <v>1.5481257026206174</v>
      </c>
      <c r="AJ32">
        <v>18.235590517356062</v>
      </c>
      <c r="AK32">
        <v>28.357495677131912</v>
      </c>
      <c r="AL32">
        <f>-1*AD32</f>
        <v>13.918795949519208</v>
      </c>
      <c r="AM32">
        <f>-1*AE32</f>
        <v>10.349615977148037</v>
      </c>
    </row>
    <row r="33" spans="1:39" x14ac:dyDescent="0.25">
      <c r="A33">
        <v>105</v>
      </c>
      <c r="B33">
        <f>A33+200</f>
        <v>305</v>
      </c>
      <c r="C33">
        <v>5</v>
      </c>
      <c r="D33" t="s">
        <v>28</v>
      </c>
      <c r="E33" t="s">
        <v>56</v>
      </c>
      <c r="F33" t="s">
        <v>52</v>
      </c>
      <c r="G33" t="s">
        <v>140</v>
      </c>
      <c r="H33" t="s">
        <v>143</v>
      </c>
      <c r="I33" t="s">
        <v>138</v>
      </c>
      <c r="J33">
        <f>Samples!O90-Samples!O34</f>
        <v>-10.002791209999994</v>
      </c>
      <c r="K33">
        <f>Samples!P90-Samples!P34</f>
        <v>-4.5682408999999993</v>
      </c>
      <c r="L33">
        <f>Samples!Q90-Samples!Q34</f>
        <v>12.476302079999998</v>
      </c>
      <c r="M33">
        <f>Samples!R90-Samples!R34</f>
        <v>18.08337659333333</v>
      </c>
      <c r="N33">
        <f>1196-31</f>
        <v>1165</v>
      </c>
      <c r="O33">
        <f>N33/1000</f>
        <v>1.165</v>
      </c>
      <c r="P33" s="11">
        <f>'Std curve values (OD-cell dens)'!$J$2*Flux_csv_output!O33+'Std curve values (OD-cell dens)'!$J$3</f>
        <v>245052429.22499999</v>
      </c>
      <c r="Q33">
        <v>0.37980000000000003</v>
      </c>
      <c r="R33">
        <f>J33/$P33*$Q33</f>
        <v>-1.5503050157767717E-8</v>
      </c>
      <c r="S33">
        <f>K33/$P33*$Q33</f>
        <v>-7.0801905506798993E-9</v>
      </c>
      <c r="T33">
        <f>L33/$P33*$Q33</f>
        <v>1.9336676420511008E-8</v>
      </c>
      <c r="U33">
        <f>M33/$P33*$Q33</f>
        <v>2.802692653106467E-8</v>
      </c>
      <c r="V33">
        <f>R33*10^9</f>
        <v>-15.503050157767717</v>
      </c>
      <c r="W33">
        <f>S33*10^9</f>
        <v>-7.080190550679899</v>
      </c>
      <c r="X33">
        <f>T33*10^9</f>
        <v>19.336676420511008</v>
      </c>
      <c r="Y33">
        <f>U33*10^9</f>
        <v>28.026926531064671</v>
      </c>
      <c r="Z33">
        <v>-15.503050157767717</v>
      </c>
      <c r="AA33">
        <v>-7.080190550679899</v>
      </c>
      <c r="AB33">
        <f t="shared" si="0"/>
        <v>19.336676420511008</v>
      </c>
      <c r="AC33">
        <v>28.026926531064671</v>
      </c>
      <c r="AD33">
        <v>-15.503050157767717</v>
      </c>
      <c r="AE33">
        <v>-7.080190550679899</v>
      </c>
      <c r="AF33">
        <v>1.9411672103515889</v>
      </c>
      <c r="AG33">
        <v>7.5868381830810652</v>
      </c>
      <c r="AH33">
        <v>6.8875454534798211</v>
      </c>
      <c r="AI33">
        <v>1.5481257026206174</v>
      </c>
      <c r="AJ33">
        <v>19.336676420511008</v>
      </c>
      <c r="AK33">
        <v>28.026926531064671</v>
      </c>
      <c r="AL33">
        <f>-1*AD33</f>
        <v>15.503050157767717</v>
      </c>
      <c r="AM33">
        <f>-1*AE33</f>
        <v>7.080190550679899</v>
      </c>
    </row>
    <row r="34" spans="1:39" x14ac:dyDescent="0.25">
      <c r="A34">
        <v>106</v>
      </c>
      <c r="B34">
        <f>A34+200</f>
        <v>306</v>
      </c>
      <c r="C34">
        <v>6</v>
      </c>
      <c r="D34" t="s">
        <v>29</v>
      </c>
      <c r="E34" t="s">
        <v>56</v>
      </c>
      <c r="F34" t="s">
        <v>52</v>
      </c>
      <c r="G34" t="s">
        <v>140</v>
      </c>
      <c r="H34" t="s">
        <v>143</v>
      </c>
      <c r="I34" t="s">
        <v>138</v>
      </c>
      <c r="J34">
        <f>Samples!O91-Samples!O35</f>
        <v>-15.550700849999998</v>
      </c>
      <c r="K34">
        <f>Samples!P91-Samples!P35</f>
        <v>-5.1845221000000024</v>
      </c>
      <c r="L34">
        <f>Samples!Q91-Samples!Q35</f>
        <v>19.012556639999996</v>
      </c>
      <c r="M34">
        <f>Samples!R91-Samples!R35</f>
        <v>30.210367253333324</v>
      </c>
      <c r="N34">
        <f>1486-33</f>
        <v>1453</v>
      </c>
      <c r="O34">
        <f>N34/1000</f>
        <v>1.4530000000000001</v>
      </c>
      <c r="P34" s="11">
        <f>'Std curve values (OD-cell dens)'!$J$2*Flux_csv_output!O34+'Std curve values (OD-cell dens)'!$J$3</f>
        <v>308893263.94499999</v>
      </c>
      <c r="Q34">
        <v>0.28139999999999998</v>
      </c>
      <c r="R34">
        <f>J34/$P34*$Q34</f>
        <v>-1.4166599696292381E-8</v>
      </c>
      <c r="S34">
        <f>K34/$P34*$Q34</f>
        <v>-4.7230700349612331E-9</v>
      </c>
      <c r="T34">
        <f>L34/$P34*$Q34</f>
        <v>1.7320330557446592E-8</v>
      </c>
      <c r="U34">
        <f>M34/$P34*$Q34</f>
        <v>2.7521472098535882E-8</v>
      </c>
      <c r="V34">
        <f>R34*10^9</f>
        <v>-14.166599696292382</v>
      </c>
      <c r="W34">
        <f>S34*10^9</f>
        <v>-4.7230700349612329</v>
      </c>
      <c r="X34">
        <f>T34*10^9</f>
        <v>17.320330557446592</v>
      </c>
      <c r="Y34">
        <f>U34*10^9</f>
        <v>27.521472098535881</v>
      </c>
      <c r="Z34">
        <v>-14.166599696292382</v>
      </c>
      <c r="AA34">
        <v>-4.7230700349612329</v>
      </c>
      <c r="AB34">
        <f t="shared" si="0"/>
        <v>17.320330557446592</v>
      </c>
      <c r="AC34">
        <v>27.521472098535881</v>
      </c>
      <c r="AD34">
        <v>-14.166599696292382</v>
      </c>
      <c r="AE34">
        <v>-4.7230700349612329</v>
      </c>
      <c r="AF34">
        <v>1.9411672103515889</v>
      </c>
      <c r="AG34">
        <v>7.5868381830810652</v>
      </c>
      <c r="AH34">
        <v>6.8875454534798211</v>
      </c>
      <c r="AI34">
        <v>1.5481257026206174</v>
      </c>
      <c r="AJ34">
        <v>17.320330557446592</v>
      </c>
      <c r="AK34">
        <v>27.521472098535881</v>
      </c>
      <c r="AL34">
        <f>-1*AD34</f>
        <v>14.166599696292382</v>
      </c>
      <c r="AM34">
        <f>-1*AE34</f>
        <v>4.7230700349612329</v>
      </c>
    </row>
    <row r="35" spans="1:39" x14ac:dyDescent="0.25">
      <c r="A35">
        <v>107</v>
      </c>
      <c r="B35">
        <f>A35+200</f>
        <v>307</v>
      </c>
      <c r="C35">
        <v>7</v>
      </c>
      <c r="D35" t="s">
        <v>30</v>
      </c>
      <c r="E35" t="s">
        <v>56</v>
      </c>
      <c r="F35" t="s">
        <v>52</v>
      </c>
      <c r="G35" t="s">
        <v>140</v>
      </c>
      <c r="H35" t="s">
        <v>143</v>
      </c>
      <c r="I35" t="s">
        <v>144</v>
      </c>
      <c r="J35">
        <f>Samples!O92-Samples!O36</f>
        <v>-14.612039790000004</v>
      </c>
      <c r="K35">
        <f>Samples!P92-Samples!P36</f>
        <v>-1.3438019099999963</v>
      </c>
      <c r="L35">
        <f>Samples!Q92-Samples!Q36</f>
        <v>10.284684959999998</v>
      </c>
      <c r="M35">
        <f>Samples!R92-Samples!R36</f>
        <v>18.105686053333333</v>
      </c>
      <c r="N35">
        <f>1401-78</f>
        <v>1323</v>
      </c>
      <c r="O35">
        <f>N35/1000</f>
        <v>1.323</v>
      </c>
      <c r="P35" s="11">
        <f>'Std curve values (OD-cell dens)'!$J$2*Flux_csv_output!O35+'Std curve values (OD-cell dens)'!$J$3</f>
        <v>280076220.495</v>
      </c>
      <c r="Q35">
        <v>0.35039999999999999</v>
      </c>
      <c r="R35">
        <f>J35/$P35*$Q35</f>
        <v>-1.8280947712615274E-8</v>
      </c>
      <c r="S35">
        <f>K35/$P35*$Q35</f>
        <v>-1.6812144509512358E-9</v>
      </c>
      <c r="T35">
        <f>L35/$P35*$Q35</f>
        <v>1.2867045990605028E-8</v>
      </c>
      <c r="U35">
        <f>M35/$P35*$Q35</f>
        <v>2.2651806647045422E-8</v>
      </c>
      <c r="V35">
        <f>R35*10^9</f>
        <v>-18.280947712615273</v>
      </c>
      <c r="W35">
        <f>S35*10^9</f>
        <v>-1.6812144509512359</v>
      </c>
      <c r="X35">
        <f>T35*10^9</f>
        <v>12.867045990605028</v>
      </c>
      <c r="Y35">
        <f>U35*10^9</f>
        <v>22.651806647045422</v>
      </c>
      <c r="Z35">
        <v>-18.280947712615273</v>
      </c>
      <c r="AA35">
        <v>-1.6812144509512359</v>
      </c>
      <c r="AB35">
        <f t="shared" si="0"/>
        <v>12.867045990605028</v>
      </c>
      <c r="AC35">
        <v>22.651806647045422</v>
      </c>
      <c r="AD35">
        <v>-18.280947712615273</v>
      </c>
      <c r="AE35">
        <v>-1.6812144509512359</v>
      </c>
      <c r="AF35">
        <v>1.9411672103515889</v>
      </c>
      <c r="AG35">
        <v>7.5868381830810652</v>
      </c>
      <c r="AH35">
        <v>6.8875454534798211</v>
      </c>
      <c r="AI35">
        <v>1.5481257026206174</v>
      </c>
      <c r="AJ35">
        <v>12.867045990605028</v>
      </c>
      <c r="AK35">
        <v>22.651806647045422</v>
      </c>
      <c r="AL35">
        <f>-1*AD35</f>
        <v>18.280947712615273</v>
      </c>
      <c r="AM35">
        <f>-1*AE35</f>
        <v>1.6812144509512359</v>
      </c>
    </row>
    <row r="36" spans="1:39" x14ac:dyDescent="0.25">
      <c r="A36">
        <v>108</v>
      </c>
      <c r="B36">
        <f>A36+200</f>
        <v>308</v>
      </c>
      <c r="C36">
        <v>8</v>
      </c>
      <c r="D36" t="s">
        <v>31</v>
      </c>
      <c r="E36" t="s">
        <v>56</v>
      </c>
      <c r="F36" t="s">
        <v>52</v>
      </c>
      <c r="G36" t="s">
        <v>140</v>
      </c>
      <c r="H36" t="s">
        <v>143</v>
      </c>
      <c r="I36" t="s">
        <v>138</v>
      </c>
      <c r="J36">
        <f>Samples!O93-Samples!O37</f>
        <v>-9.0243444100000012</v>
      </c>
      <c r="K36">
        <f>Samples!P93-Samples!P37</f>
        <v>-4.0276763999999972</v>
      </c>
      <c r="L36">
        <f>Samples!Q93-Samples!Q37</f>
        <v>16.884397199999999</v>
      </c>
      <c r="M36">
        <f>Samples!R93-Samples!R37</f>
        <v>27.63854229999999</v>
      </c>
      <c r="N36">
        <f>1374-43</f>
        <v>1331</v>
      </c>
      <c r="O36">
        <f>N36/1000</f>
        <v>1.331</v>
      </c>
      <c r="P36" s="11">
        <f>'Std curve values (OD-cell dens)'!$J$2*Flux_csv_output!O36+'Std curve values (OD-cell dens)'!$J$3</f>
        <v>281849577.01499999</v>
      </c>
      <c r="Q36">
        <v>0.40489999999999998</v>
      </c>
      <c r="R36">
        <f>J36/$P36*$Q36</f>
        <v>-1.2964209811159436E-8</v>
      </c>
      <c r="S36">
        <f>K36/$P36*$Q36</f>
        <v>-5.7860870029732479E-9</v>
      </c>
      <c r="T36">
        <f>L36/$P36*$Q36</f>
        <v>2.4255819358267697E-8</v>
      </c>
      <c r="U36">
        <f>M36/$P36*$Q36</f>
        <v>3.9705029525995777E-8</v>
      </c>
      <c r="V36">
        <f>R36*10^9</f>
        <v>-12.964209811159435</v>
      </c>
      <c r="W36">
        <f>S36*10^9</f>
        <v>-5.7860870029732476</v>
      </c>
      <c r="X36">
        <f>T36*10^9</f>
        <v>24.255819358267697</v>
      </c>
      <c r="Y36">
        <f>U36*10^9</f>
        <v>39.705029525995776</v>
      </c>
      <c r="Z36">
        <v>-12.964209811159435</v>
      </c>
      <c r="AA36">
        <v>-5.7860870029732476</v>
      </c>
      <c r="AB36">
        <f t="shared" si="0"/>
        <v>24.255819358267697</v>
      </c>
      <c r="AC36">
        <v>39.705029525995776</v>
      </c>
      <c r="AD36">
        <v>-12.964209811159435</v>
      </c>
      <c r="AE36">
        <v>-5.7860870029732476</v>
      </c>
      <c r="AF36">
        <v>1.9411672103515889</v>
      </c>
      <c r="AG36">
        <v>7.5868381830810652</v>
      </c>
      <c r="AH36">
        <v>6.8875454534798211</v>
      </c>
      <c r="AI36">
        <v>1.5481257026206174</v>
      </c>
      <c r="AJ36">
        <v>24.255819358267697</v>
      </c>
      <c r="AK36">
        <v>39.705029525995776</v>
      </c>
      <c r="AL36">
        <f>-1*AD36</f>
        <v>12.964209811159435</v>
      </c>
      <c r="AM36">
        <f>-1*AE36</f>
        <v>5.7860870029732476</v>
      </c>
    </row>
    <row r="37" spans="1:39" x14ac:dyDescent="0.25">
      <c r="A37">
        <v>109</v>
      </c>
      <c r="B37">
        <f>A37+200</f>
        <v>309</v>
      </c>
      <c r="C37">
        <v>9</v>
      </c>
      <c r="D37" t="s">
        <v>32</v>
      </c>
      <c r="E37" t="s">
        <v>56</v>
      </c>
      <c r="F37" t="s">
        <v>52</v>
      </c>
      <c r="G37" t="s">
        <v>140</v>
      </c>
      <c r="H37" t="s">
        <v>142</v>
      </c>
      <c r="I37" t="s">
        <v>138</v>
      </c>
      <c r="J37">
        <f>Samples!O94-Samples!O38</f>
        <v>-9.2881014400000019</v>
      </c>
      <c r="K37">
        <f>Samples!P94-Samples!P38</f>
        <v>-0.15158407999999923</v>
      </c>
      <c r="L37">
        <f>Samples!Q94-Samples!Q38</f>
        <v>9.4981048799999979</v>
      </c>
      <c r="M37">
        <f>Samples!R94-Samples!R38</f>
        <v>15.499317419999995</v>
      </c>
      <c r="N37">
        <f>1147-15</f>
        <v>1132</v>
      </c>
      <c r="O37">
        <f>N37/1000</f>
        <v>1.1319999999999999</v>
      </c>
      <c r="P37" s="11">
        <f>'Std curve values (OD-cell dens)'!$J$2*Flux_csv_output!O37+'Std curve values (OD-cell dens)'!$J$3</f>
        <v>237737333.57999998</v>
      </c>
      <c r="Q37">
        <v>0.35170000000000001</v>
      </c>
      <c r="R37">
        <f>J37/$P37*$Q37</f>
        <v>-1.3740480837641609E-8</v>
      </c>
      <c r="S37">
        <f>K37/$P37*$Q37</f>
        <v>-2.242479972884019E-10</v>
      </c>
      <c r="T37">
        <f>L37/$P37*$Q37</f>
        <v>1.4051152320053709E-8</v>
      </c>
      <c r="U37">
        <f>M37/$P37*$Q37</f>
        <v>2.2929128776400902E-8</v>
      </c>
      <c r="V37">
        <f>R37*10^9</f>
        <v>-13.740480837641609</v>
      </c>
      <c r="W37">
        <f>S37*10^9</f>
        <v>-0.22424799728840189</v>
      </c>
      <c r="X37">
        <f>T37*10^9</f>
        <v>14.051152320053708</v>
      </c>
      <c r="Y37">
        <f>U37*10^9</f>
        <v>22.929128776400901</v>
      </c>
      <c r="Z37">
        <v>-13.740480837641609</v>
      </c>
      <c r="AA37">
        <v>-0.22424799728840189</v>
      </c>
      <c r="AB37">
        <f t="shared" si="0"/>
        <v>14.051152320053708</v>
      </c>
      <c r="AC37">
        <v>22.929128776400901</v>
      </c>
      <c r="AD37">
        <v>-13.740480837641609</v>
      </c>
      <c r="AE37">
        <v>-0.22424799728840189</v>
      </c>
      <c r="AF37">
        <v>1.9411672103515889</v>
      </c>
      <c r="AG37">
        <v>7.5868381830810652</v>
      </c>
      <c r="AH37">
        <v>6.8875454534798211</v>
      </c>
      <c r="AI37">
        <v>1.5481257026206174</v>
      </c>
      <c r="AJ37">
        <v>14.051152320053708</v>
      </c>
      <c r="AK37">
        <v>22.929128776400901</v>
      </c>
      <c r="AL37">
        <f>-1*AD37</f>
        <v>13.740480837641609</v>
      </c>
      <c r="AM37">
        <f>-1*AE37</f>
        <v>0.22424799728840189</v>
      </c>
    </row>
    <row r="38" spans="1:39" x14ac:dyDescent="0.25">
      <c r="A38">
        <v>110</v>
      </c>
      <c r="B38">
        <f>A38+200</f>
        <v>310</v>
      </c>
      <c r="C38">
        <v>10</v>
      </c>
      <c r="D38" t="s">
        <v>33</v>
      </c>
      <c r="E38" t="s">
        <v>56</v>
      </c>
      <c r="F38" t="s">
        <v>52</v>
      </c>
      <c r="G38" t="s">
        <v>140</v>
      </c>
      <c r="H38" t="s">
        <v>142</v>
      </c>
      <c r="I38" t="s">
        <v>138</v>
      </c>
      <c r="J38">
        <f>Samples!O95-Samples!O39</f>
        <v>-17.52370809</v>
      </c>
      <c r="K38">
        <f>Samples!P95-Samples!P39</f>
        <v>0.87556380999999561</v>
      </c>
      <c r="L38">
        <f>Samples!Q95-Samples!Q39</f>
        <v>13.338259439999998</v>
      </c>
      <c r="M38">
        <f>Samples!R95-Samples!R39</f>
        <v>25.78925598666666</v>
      </c>
      <c r="N38">
        <f>1419-21</f>
        <v>1398</v>
      </c>
      <c r="O38">
        <f>N38/1000</f>
        <v>1.3979999999999999</v>
      </c>
      <c r="P38" s="11">
        <f>'Std curve values (OD-cell dens)'!$J$2*Flux_csv_output!O38+'Std curve values (OD-cell dens)'!$J$3</f>
        <v>296701437.87</v>
      </c>
      <c r="Q38">
        <v>0.2387</v>
      </c>
      <c r="R38">
        <f>J38/$P38*$Q38</f>
        <v>-1.409804128726786E-8</v>
      </c>
      <c r="S38">
        <f>K38/$P38*$Q38</f>
        <v>7.0440198385075302E-10</v>
      </c>
      <c r="T38">
        <f>L38/$P38*$Q38</f>
        <v>1.0730795749372146E-8</v>
      </c>
      <c r="U38">
        <f>M38/$P38*$Q38</f>
        <v>2.0747777456725849E-8</v>
      </c>
      <c r="V38">
        <f>R38*10^9</f>
        <v>-14.098041287267861</v>
      </c>
      <c r="W38">
        <f>S38*10^9</f>
        <v>0.70440198385075303</v>
      </c>
      <c r="X38">
        <f>T38*10^9</f>
        <v>10.730795749372145</v>
      </c>
      <c r="Y38">
        <f>U38*10^9</f>
        <v>20.747777456725849</v>
      </c>
      <c r="Z38">
        <v>-14.098041287267861</v>
      </c>
      <c r="AA38">
        <v>0.70440198385075303</v>
      </c>
      <c r="AB38">
        <f t="shared" si="0"/>
        <v>10.730795749372145</v>
      </c>
      <c r="AC38">
        <v>20.747777456725849</v>
      </c>
      <c r="AD38">
        <v>-14.098041287267861</v>
      </c>
      <c r="AE38">
        <v>0</v>
      </c>
      <c r="AF38">
        <v>1.9411672103515889</v>
      </c>
      <c r="AG38">
        <v>7.5868381830810652</v>
      </c>
      <c r="AH38">
        <v>6.8875454534798211</v>
      </c>
      <c r="AI38">
        <v>1.5481257026206174</v>
      </c>
      <c r="AJ38">
        <v>10.730795749372145</v>
      </c>
      <c r="AK38">
        <v>20.747777456725849</v>
      </c>
      <c r="AL38">
        <f>-1*AD38</f>
        <v>14.098041287267861</v>
      </c>
      <c r="AM38">
        <f>-1*AE38</f>
        <v>0</v>
      </c>
    </row>
    <row r="39" spans="1:39" x14ac:dyDescent="0.25">
      <c r="A39">
        <v>111</v>
      </c>
      <c r="B39">
        <f>A39+200</f>
        <v>311</v>
      </c>
      <c r="C39">
        <v>11</v>
      </c>
      <c r="D39" t="s">
        <v>34</v>
      </c>
      <c r="E39" t="s">
        <v>56</v>
      </c>
      <c r="F39" t="s">
        <v>52</v>
      </c>
      <c r="G39" t="s">
        <v>140</v>
      </c>
      <c r="H39" t="s">
        <v>142</v>
      </c>
      <c r="I39" t="s">
        <v>138</v>
      </c>
      <c r="J39">
        <f>Samples!O96-Samples!O40</f>
        <v>-10.740654719999998</v>
      </c>
      <c r="K39">
        <f>Samples!P96-Samples!P40</f>
        <v>0.23038971999999802</v>
      </c>
      <c r="L39">
        <f>Samples!Q96-Samples!Q40</f>
        <v>4.1704977599999991</v>
      </c>
      <c r="M39">
        <f>Samples!R96-Samples!R40</f>
        <v>16.579527079999998</v>
      </c>
      <c r="N39">
        <f>1110-224</f>
        <v>886</v>
      </c>
      <c r="O39">
        <f>N39/1000</f>
        <v>0.88600000000000001</v>
      </c>
      <c r="P39" s="11">
        <f>'Std curve values (OD-cell dens)'!$J$2*Flux_csv_output!O39+'Std curve values (OD-cell dens)'!$J$3</f>
        <v>183206620.59</v>
      </c>
      <c r="Q39">
        <v>0.14699999999999999</v>
      </c>
      <c r="R39">
        <f>J39/$P39*$Q39</f>
        <v>-8.6180086656004825E-9</v>
      </c>
      <c r="S39">
        <f>K39/$P39*$Q39</f>
        <v>1.8485843323201547E-10</v>
      </c>
      <c r="T39">
        <f>L39/$P39*$Q39</f>
        <v>3.346293756992441E-9</v>
      </c>
      <c r="U39">
        <f>M39/$P39*$Q39</f>
        <v>1.3302960738598053E-8</v>
      </c>
      <c r="V39">
        <f>R39*10^9</f>
        <v>-8.6180086656004828</v>
      </c>
      <c r="W39">
        <f>S39*10^9</f>
        <v>0.18485843323201548</v>
      </c>
      <c r="X39">
        <f>T39*10^9</f>
        <v>3.3462937569924409</v>
      </c>
      <c r="Y39">
        <f>U39*10^9</f>
        <v>13.302960738598053</v>
      </c>
      <c r="Z39">
        <v>-8.6180086656004828</v>
      </c>
      <c r="AA39">
        <v>0.18485843323201548</v>
      </c>
      <c r="AB39">
        <f t="shared" si="0"/>
        <v>3.3462937569924409</v>
      </c>
      <c r="AC39">
        <v>13.302960738598053</v>
      </c>
      <c r="AD39">
        <v>-8.6180086656004828</v>
      </c>
      <c r="AE39">
        <v>0</v>
      </c>
      <c r="AF39">
        <v>1.9411672103515889</v>
      </c>
      <c r="AG39">
        <v>7.5868381830810652</v>
      </c>
      <c r="AH39">
        <v>6.8875454534798211</v>
      </c>
      <c r="AI39">
        <v>1.5481257026206174</v>
      </c>
      <c r="AJ39">
        <v>3.3462937569924409</v>
      </c>
      <c r="AK39">
        <v>13.302960738598053</v>
      </c>
      <c r="AL39">
        <f>-1*AD39</f>
        <v>8.6180086656004828</v>
      </c>
      <c r="AM39">
        <f>-1*AE39</f>
        <v>0</v>
      </c>
    </row>
    <row r="40" spans="1:39" x14ac:dyDescent="0.25">
      <c r="A40">
        <v>112</v>
      </c>
      <c r="B40">
        <f>A40+200</f>
        <v>312</v>
      </c>
      <c r="C40">
        <v>12</v>
      </c>
      <c r="D40" t="s">
        <v>35</v>
      </c>
      <c r="E40" t="s">
        <v>56</v>
      </c>
      <c r="F40" t="s">
        <v>52</v>
      </c>
      <c r="G40" t="s">
        <v>140</v>
      </c>
      <c r="H40" t="s">
        <v>142</v>
      </c>
      <c r="I40" t="s">
        <v>138</v>
      </c>
      <c r="J40">
        <f>Samples!O97-Samples!O41</f>
        <v>-12.400235050000003</v>
      </c>
      <c r="K40">
        <f>Samples!P97-Samples!P41</f>
        <v>-1.2402470800000032</v>
      </c>
      <c r="L40">
        <f>Samples!Q97-Samples!Q41</f>
        <v>10.174343519999999</v>
      </c>
      <c r="M40">
        <f>Samples!R97-Samples!R41</f>
        <v>24.22495503333333</v>
      </c>
      <c r="N40">
        <f>1364-127</f>
        <v>1237</v>
      </c>
      <c r="O40">
        <f>N40/1000</f>
        <v>1.2370000000000001</v>
      </c>
      <c r="P40" s="11">
        <f>'Std curve values (OD-cell dens)'!$J$2*Flux_csv_output!O40+'Std curve values (OD-cell dens)'!$J$3</f>
        <v>261012637.90500003</v>
      </c>
      <c r="Q40">
        <v>0.188</v>
      </c>
      <c r="R40">
        <f>J40/$P40*$Q40</f>
        <v>-8.9315375995261049E-9</v>
      </c>
      <c r="S40">
        <f>K40/$P40*$Q40</f>
        <v>-8.9331479468387064E-10</v>
      </c>
      <c r="T40">
        <f>L40/$P40*$Q40</f>
        <v>7.3282910632709951E-9</v>
      </c>
      <c r="U40">
        <f>M40/$P40*$Q40</f>
        <v>1.74485480198253E-8</v>
      </c>
      <c r="V40">
        <f>R40*10^9</f>
        <v>-8.9315375995261057</v>
      </c>
      <c r="W40">
        <f>S40*10^9</f>
        <v>-0.89331479468387065</v>
      </c>
      <c r="X40">
        <f>T40*10^9</f>
        <v>7.3282910632709948</v>
      </c>
      <c r="Y40">
        <f>U40*10^9</f>
        <v>17.448548019825299</v>
      </c>
      <c r="Z40">
        <v>-8.9315375995261057</v>
      </c>
      <c r="AA40">
        <v>-0.89331479468387065</v>
      </c>
      <c r="AB40">
        <f t="shared" si="0"/>
        <v>7.3282910632709948</v>
      </c>
      <c r="AC40">
        <v>17.448548019825299</v>
      </c>
      <c r="AD40">
        <v>-8.9315375995261057</v>
      </c>
      <c r="AE40">
        <v>-0.89331479468387065</v>
      </c>
      <c r="AF40">
        <v>1.9411672103515889</v>
      </c>
      <c r="AG40">
        <v>7.5868381830810652</v>
      </c>
      <c r="AH40">
        <v>6.8875454534798211</v>
      </c>
      <c r="AI40">
        <v>1.5481257026206174</v>
      </c>
      <c r="AJ40">
        <v>7.3282910632709948</v>
      </c>
      <c r="AK40">
        <v>17.448548019825299</v>
      </c>
      <c r="AL40">
        <f>-1*AD40</f>
        <v>8.9315375995261057</v>
      </c>
      <c r="AM40">
        <f>-1*AE40</f>
        <v>0.89331479468387065</v>
      </c>
    </row>
    <row r="41" spans="1:39" x14ac:dyDescent="0.25">
      <c r="A41">
        <v>113</v>
      </c>
      <c r="B41">
        <f>A41+200</f>
        <v>313</v>
      </c>
      <c r="C41">
        <v>13</v>
      </c>
      <c r="D41" t="s">
        <v>36</v>
      </c>
      <c r="E41" t="s">
        <v>56</v>
      </c>
      <c r="F41" t="s">
        <v>52</v>
      </c>
      <c r="G41" t="s">
        <v>140</v>
      </c>
      <c r="H41" t="s">
        <v>142</v>
      </c>
      <c r="I41" t="s">
        <v>138</v>
      </c>
      <c r="J41">
        <f>Samples!O98-Samples!O42</f>
        <v>-6.3835762999999979</v>
      </c>
      <c r="K41">
        <f>Samples!P98-Samples!P42</f>
        <v>0.29081240000000719</v>
      </c>
      <c r="L41">
        <f>Samples!Q98-Samples!Q42</f>
        <v>5.0858095199999998</v>
      </c>
      <c r="M41">
        <f>Samples!R98-Samples!R42</f>
        <v>16.55194011333333</v>
      </c>
      <c r="N41">
        <f>1094-98</f>
        <v>996</v>
      </c>
      <c r="O41">
        <f>N41/1000</f>
        <v>0.996</v>
      </c>
      <c r="P41" s="11">
        <f>'Std curve values (OD-cell dens)'!$J$2*Flux_csv_output!O41+'Std curve values (OD-cell dens)'!$J$3</f>
        <v>207590272.74000001</v>
      </c>
      <c r="Q41">
        <v>0.21679999999999999</v>
      </c>
      <c r="R41">
        <f>J41/$P41*$Q41</f>
        <v>-6.6667831954407763E-9</v>
      </c>
      <c r="S41">
        <f>K41/$P41*$Q41</f>
        <v>3.0371427084624177E-10</v>
      </c>
      <c r="T41">
        <f>L41/$P41*$Q41</f>
        <v>5.3114410872082362E-9</v>
      </c>
      <c r="U41">
        <f>M41/$P41*$Q41</f>
        <v>1.7286265725297711E-8</v>
      </c>
      <c r="V41">
        <f>R41*10^9</f>
        <v>-6.6667831954407761</v>
      </c>
      <c r="W41">
        <f>S41*10^9</f>
        <v>0.30371427084624175</v>
      </c>
      <c r="X41">
        <f>T41*10^9</f>
        <v>5.3114410872082365</v>
      </c>
      <c r="Y41">
        <f>U41*10^9</f>
        <v>17.28626572529771</v>
      </c>
      <c r="Z41">
        <v>-6.6667831954407761</v>
      </c>
      <c r="AA41">
        <v>0.30371427084624175</v>
      </c>
      <c r="AB41">
        <f t="shared" si="0"/>
        <v>5.3114410872082365</v>
      </c>
      <c r="AC41">
        <v>17.28626572529771</v>
      </c>
      <c r="AD41">
        <v>-6.6667831954407761</v>
      </c>
      <c r="AE41">
        <v>0</v>
      </c>
      <c r="AF41">
        <v>1.9411672103515889</v>
      </c>
      <c r="AG41">
        <v>7.5868381830810652</v>
      </c>
      <c r="AH41">
        <v>6.8875454534798211</v>
      </c>
      <c r="AI41">
        <v>1.5481257026206174</v>
      </c>
      <c r="AJ41">
        <v>5.3114410872082365</v>
      </c>
      <c r="AK41">
        <v>17.28626572529771</v>
      </c>
      <c r="AL41">
        <f>-1*AD41</f>
        <v>6.6667831954407761</v>
      </c>
      <c r="AM41">
        <f>-1*AE41</f>
        <v>0</v>
      </c>
    </row>
    <row r="42" spans="1:39" x14ac:dyDescent="0.25">
      <c r="A42">
        <v>114</v>
      </c>
      <c r="B42">
        <f>A42+200</f>
        <v>314</v>
      </c>
      <c r="C42">
        <v>14</v>
      </c>
      <c r="D42" t="s">
        <v>37</v>
      </c>
      <c r="E42" t="s">
        <v>56</v>
      </c>
      <c r="F42" t="s">
        <v>52</v>
      </c>
      <c r="G42" t="s">
        <v>140</v>
      </c>
      <c r="H42" t="s">
        <v>142</v>
      </c>
      <c r="I42" t="s">
        <v>138</v>
      </c>
      <c r="J42">
        <f>Samples!O99-Samples!O43</f>
        <v>-10.023597739999996</v>
      </c>
      <c r="K42">
        <f>Samples!P99-Samples!P43</f>
        <v>0.69904219000000012</v>
      </c>
      <c r="L42">
        <f>Samples!Q99-Samples!Q43</f>
        <v>6.6469365599999994</v>
      </c>
      <c r="M42">
        <f>Samples!R99-Samples!R43</f>
        <v>17.335170079999997</v>
      </c>
      <c r="N42">
        <f>1171-51</f>
        <v>1120</v>
      </c>
      <c r="O42">
        <f>N42/1000</f>
        <v>1.1200000000000001</v>
      </c>
      <c r="P42" s="11">
        <f>'Std curve values (OD-cell dens)'!$J$2*Flux_csv_output!O42+'Std curve values (OD-cell dens)'!$J$3</f>
        <v>235077298.80000001</v>
      </c>
      <c r="Q42">
        <v>0.24479999999999999</v>
      </c>
      <c r="R42">
        <f>J42/$P42*$Q42</f>
        <v>-1.0438169654312868E-8</v>
      </c>
      <c r="S42">
        <f>K42/$P42*$Q42</f>
        <v>7.2795428986782288E-10</v>
      </c>
      <c r="T42">
        <f>L42/$P42*$Q42</f>
        <v>6.9218511451093794E-9</v>
      </c>
      <c r="U42">
        <f>M42/$P42*$Q42</f>
        <v>1.805214564420543E-8</v>
      </c>
      <c r="V42">
        <f>R42*10^9</f>
        <v>-10.438169654312867</v>
      </c>
      <c r="W42">
        <f>S42*10^9</f>
        <v>0.72795428986782285</v>
      </c>
      <c r="X42">
        <f>T42*10^9</f>
        <v>6.9218511451093798</v>
      </c>
      <c r="Y42">
        <f>U42*10^9</f>
        <v>18.052145644205432</v>
      </c>
      <c r="Z42">
        <v>-10.438169654312867</v>
      </c>
      <c r="AA42">
        <v>0.72795428986782285</v>
      </c>
      <c r="AB42">
        <f t="shared" si="0"/>
        <v>6.9218511451093798</v>
      </c>
      <c r="AC42">
        <v>18.052145644205432</v>
      </c>
      <c r="AD42">
        <v>-10.438169654312867</v>
      </c>
      <c r="AE42">
        <v>0</v>
      </c>
      <c r="AF42">
        <v>1.9411672103515889</v>
      </c>
      <c r="AG42">
        <v>7.5868381830810652</v>
      </c>
      <c r="AH42">
        <v>6.8875454534798211</v>
      </c>
      <c r="AI42">
        <v>1.5481257026206174</v>
      </c>
      <c r="AJ42">
        <v>6.9218511451093798</v>
      </c>
      <c r="AK42">
        <v>18.052145644205432</v>
      </c>
      <c r="AL42">
        <f>-1*AD42</f>
        <v>10.438169654312867</v>
      </c>
      <c r="AM42">
        <f>-1*AE42</f>
        <v>0</v>
      </c>
    </row>
    <row r="43" spans="1:39" x14ac:dyDescent="0.25">
      <c r="A43">
        <v>115</v>
      </c>
      <c r="B43">
        <f>A43+200</f>
        <v>315</v>
      </c>
      <c r="C43">
        <v>15</v>
      </c>
      <c r="D43" t="s">
        <v>38</v>
      </c>
      <c r="E43" t="s">
        <v>56</v>
      </c>
      <c r="F43" t="s">
        <v>52</v>
      </c>
      <c r="G43" t="s">
        <v>140</v>
      </c>
      <c r="H43" t="s">
        <v>142</v>
      </c>
      <c r="I43" t="s">
        <v>138</v>
      </c>
      <c r="J43">
        <f>Samples!O100-Samples!O44</f>
        <v>-13.091709550000001</v>
      </c>
      <c r="K43">
        <f>Samples!P100-Samples!P44</f>
        <v>0.87899177999999978</v>
      </c>
      <c r="L43">
        <f>Samples!Q100-Samples!Q44</f>
        <v>7.6060670399999992</v>
      </c>
      <c r="M43">
        <f>Samples!R100-Samples!R44</f>
        <v>21.500322273333332</v>
      </c>
      <c r="N43">
        <f>1275-54</f>
        <v>1221</v>
      </c>
      <c r="O43">
        <f>N43/1000</f>
        <v>1.2210000000000001</v>
      </c>
      <c r="P43" s="11">
        <f>'Std curve values (OD-cell dens)'!$J$2*Flux_csv_output!O43+'Std curve values (OD-cell dens)'!$J$3</f>
        <v>257465924.86500001</v>
      </c>
      <c r="Q43">
        <v>0.20760000000000001</v>
      </c>
      <c r="R43">
        <f>J43/$P43*$Q43</f>
        <v>-1.0556111081515254E-8</v>
      </c>
      <c r="S43">
        <f>K43/$P43*$Q43</f>
        <v>7.0874890968069294E-10</v>
      </c>
      <c r="T43">
        <f>L43/$P43*$Q43</f>
        <v>6.1329262050189546E-9</v>
      </c>
      <c r="U43">
        <f>M43/$P43*$Q43</f>
        <v>1.7336146157144405E-8</v>
      </c>
      <c r="V43">
        <f>R43*10^9</f>
        <v>-10.556111081515255</v>
      </c>
      <c r="W43">
        <f>S43*10^9</f>
        <v>0.70874890968069293</v>
      </c>
      <c r="X43">
        <f>T43*10^9</f>
        <v>6.132926205018955</v>
      </c>
      <c r="Y43">
        <f>U43*10^9</f>
        <v>17.336146157144405</v>
      </c>
      <c r="Z43">
        <v>-10.556111081515255</v>
      </c>
      <c r="AA43">
        <v>0.70874890968069293</v>
      </c>
      <c r="AB43">
        <f t="shared" si="0"/>
        <v>6.132926205018955</v>
      </c>
      <c r="AC43">
        <v>17.336146157144405</v>
      </c>
      <c r="AD43">
        <v>-10.556111081515255</v>
      </c>
      <c r="AE43">
        <v>0</v>
      </c>
      <c r="AF43">
        <v>1.9411672103515889</v>
      </c>
      <c r="AG43">
        <v>7.5868381830810652</v>
      </c>
      <c r="AH43">
        <v>6.8875454534798211</v>
      </c>
      <c r="AI43">
        <v>1.5481257026206174</v>
      </c>
      <c r="AJ43">
        <v>6.132926205018955</v>
      </c>
      <c r="AK43">
        <v>17.336146157144405</v>
      </c>
      <c r="AL43">
        <f>-1*AD43</f>
        <v>10.556111081515255</v>
      </c>
      <c r="AM43">
        <f>-1*AE43</f>
        <v>0</v>
      </c>
    </row>
    <row r="44" spans="1:39" x14ac:dyDescent="0.25">
      <c r="A44">
        <v>116</v>
      </c>
      <c r="B44">
        <f>A44+200</f>
        <v>316</v>
      </c>
      <c r="C44">
        <v>16</v>
      </c>
      <c r="D44" t="s">
        <v>39</v>
      </c>
      <c r="E44" t="s">
        <v>56</v>
      </c>
      <c r="F44" t="s">
        <v>52</v>
      </c>
      <c r="G44" t="s">
        <v>140</v>
      </c>
      <c r="H44" t="s">
        <v>142</v>
      </c>
      <c r="I44" t="s">
        <v>138</v>
      </c>
      <c r="J44">
        <f>Samples!O101-Samples!O45</f>
        <v>-8.5946750299999977</v>
      </c>
      <c r="K44">
        <f>Samples!P101-Samples!P45</f>
        <v>-2.2970789299999979</v>
      </c>
      <c r="L44">
        <f>Samples!Q101-Samples!Q45</f>
        <v>7.7812283999999998</v>
      </c>
      <c r="M44">
        <f>Samples!R101-Samples!R45</f>
        <v>20.415794653333329</v>
      </c>
      <c r="N44">
        <f>1293-72</f>
        <v>1221</v>
      </c>
      <c r="O44">
        <f>N44/1000</f>
        <v>1.2210000000000001</v>
      </c>
      <c r="P44" s="11">
        <f>'Std curve values (OD-cell dens)'!$J$2*Flux_csv_output!O44+'Std curve values (OD-cell dens)'!$J$3</f>
        <v>257465924.86500001</v>
      </c>
      <c r="Q44">
        <v>0.24249999999999999</v>
      </c>
      <c r="R44">
        <f>J44/$P44*$Q44</f>
        <v>-8.0950855763450464E-9</v>
      </c>
      <c r="S44">
        <f>K44/$P44*$Q44</f>
        <v>-2.1635548114457448E-9</v>
      </c>
      <c r="T44">
        <f>L44/$P44*$Q44</f>
        <v>7.3289228001313348E-9</v>
      </c>
      <c r="U44">
        <f>M44/$P44*$Q44</f>
        <v>1.9229069656612839E-8</v>
      </c>
      <c r="V44">
        <f>R44*10^9</f>
        <v>-8.0950855763450456</v>
      </c>
      <c r="W44">
        <f>S44*10^9</f>
        <v>-2.1635548114457448</v>
      </c>
      <c r="X44">
        <f>T44*10^9</f>
        <v>7.3289228001313349</v>
      </c>
      <c r="Y44">
        <f>U44*10^9</f>
        <v>19.22906965661284</v>
      </c>
      <c r="Z44">
        <v>-8.0950855763450456</v>
      </c>
      <c r="AA44">
        <v>-2.1635548114457448</v>
      </c>
      <c r="AB44">
        <f t="shared" si="0"/>
        <v>7.3289228001313349</v>
      </c>
      <c r="AC44">
        <v>19.22906965661284</v>
      </c>
      <c r="AD44">
        <v>-8.0950855763450456</v>
      </c>
      <c r="AE44">
        <v>-2.1635548114457448</v>
      </c>
      <c r="AF44">
        <v>1.9411672103515889</v>
      </c>
      <c r="AG44">
        <v>7.5868381830810652</v>
      </c>
      <c r="AH44">
        <v>6.8875454534798211</v>
      </c>
      <c r="AI44">
        <v>1.5481257026206174</v>
      </c>
      <c r="AJ44">
        <v>7.3289228001313349</v>
      </c>
      <c r="AK44">
        <v>19.22906965661284</v>
      </c>
      <c r="AL44">
        <f>-1*AD44</f>
        <v>8.0950855763450456</v>
      </c>
      <c r="AM44">
        <f>-1*AE44</f>
        <v>2.1635548114457448</v>
      </c>
    </row>
    <row r="45" spans="1:39" x14ac:dyDescent="0.25">
      <c r="A45">
        <v>117</v>
      </c>
      <c r="B45">
        <f>A45+200</f>
        <v>317</v>
      </c>
      <c r="C45">
        <v>17</v>
      </c>
      <c r="D45" t="s">
        <v>40</v>
      </c>
      <c r="E45" t="s">
        <v>56</v>
      </c>
      <c r="F45" t="s">
        <v>52</v>
      </c>
      <c r="G45" t="s">
        <v>140</v>
      </c>
      <c r="H45" t="s">
        <v>141</v>
      </c>
      <c r="I45" t="s">
        <v>138</v>
      </c>
      <c r="J45">
        <f>Samples!O102-Samples!O46</f>
        <v>-11.922889230000003</v>
      </c>
      <c r="K45">
        <f>Samples!P102-Samples!P46</f>
        <v>0.22959864999999979</v>
      </c>
      <c r="L45">
        <f>Samples!Q102-Samples!Q46</f>
        <v>8.7001727999999989</v>
      </c>
      <c r="M45">
        <f>Samples!R102-Samples!R46</f>
        <v>14.673627513333333</v>
      </c>
      <c r="N45">
        <f>1185-53</f>
        <v>1132</v>
      </c>
      <c r="O45">
        <f>N45/1000</f>
        <v>1.1319999999999999</v>
      </c>
      <c r="P45" s="11">
        <f>'Std curve values (OD-cell dens)'!$J$2*Flux_csv_output!O45+'Std curve values (OD-cell dens)'!$J$3</f>
        <v>237737333.57999998</v>
      </c>
      <c r="Q45">
        <v>0.26150000000000001</v>
      </c>
      <c r="R45">
        <f>J45/$P45*$Q45</f>
        <v>-1.3114623129210084E-8</v>
      </c>
      <c r="S45">
        <f>K45/$P45*$Q45</f>
        <v>2.5254782692679662E-10</v>
      </c>
      <c r="T45">
        <f>L45/$P45*$Q45</f>
        <v>9.5697850772538302E-9</v>
      </c>
      <c r="U45">
        <f>M45/$P45*$Q45</f>
        <v>1.6140307190942067E-8</v>
      </c>
      <c r="V45">
        <f>R45*10^9</f>
        <v>-13.114623129210084</v>
      </c>
      <c r="W45">
        <f>S45*10^9</f>
        <v>0.25254782692679661</v>
      </c>
      <c r="X45">
        <f>T45*10^9</f>
        <v>9.5697850772538295</v>
      </c>
      <c r="Y45">
        <f>U45*10^9</f>
        <v>16.140307190942067</v>
      </c>
      <c r="Z45">
        <v>-13.114623129210084</v>
      </c>
      <c r="AA45">
        <v>0.25254782692679661</v>
      </c>
      <c r="AB45">
        <f t="shared" si="0"/>
        <v>9.5697850772538295</v>
      </c>
      <c r="AC45">
        <v>16.140307190942067</v>
      </c>
      <c r="AD45">
        <v>-13.114623129210084</v>
      </c>
      <c r="AE45">
        <v>0</v>
      </c>
      <c r="AF45">
        <v>1.9411672103515889</v>
      </c>
      <c r="AG45">
        <v>7.5868381830810652</v>
      </c>
      <c r="AH45">
        <v>6.8875454534798211</v>
      </c>
      <c r="AI45">
        <v>1.5481257026206174</v>
      </c>
      <c r="AJ45">
        <v>9.5697850772538295</v>
      </c>
      <c r="AK45">
        <v>16.140307190942067</v>
      </c>
      <c r="AL45">
        <f>-1*AD45</f>
        <v>13.114623129210084</v>
      </c>
      <c r="AM45">
        <f>-1*AE45</f>
        <v>0</v>
      </c>
    </row>
    <row r="46" spans="1:39" x14ac:dyDescent="0.25">
      <c r="A46">
        <v>118</v>
      </c>
      <c r="B46">
        <f>A46+200</f>
        <v>318</v>
      </c>
      <c r="C46">
        <v>18</v>
      </c>
      <c r="D46" t="s">
        <v>41</v>
      </c>
      <c r="E46" t="s">
        <v>56</v>
      </c>
      <c r="F46" t="s">
        <v>52</v>
      </c>
      <c r="G46" t="s">
        <v>140</v>
      </c>
      <c r="H46" t="s">
        <v>141</v>
      </c>
      <c r="I46" t="s">
        <v>138</v>
      </c>
      <c r="J46">
        <f>Samples!O103-Samples!O47</f>
        <v>-15.850505920000003</v>
      </c>
      <c r="K46">
        <f>Samples!P103-Samples!P47</f>
        <v>-5.1358524599999953</v>
      </c>
      <c r="L46">
        <f>Samples!Q103-Samples!Q47</f>
        <v>15.875772</v>
      </c>
      <c r="M46">
        <f>Samples!R103-Samples!R47</f>
        <v>23.403583086666664</v>
      </c>
      <c r="N46">
        <f>1392-30</f>
        <v>1362</v>
      </c>
      <c r="O46">
        <f>N46/1000</f>
        <v>1.3620000000000001</v>
      </c>
      <c r="P46" s="11">
        <f>'Std curve values (OD-cell dens)'!$J$2*Flux_csv_output!O46+'Std curve values (OD-cell dens)'!$J$3</f>
        <v>288721333.53000003</v>
      </c>
      <c r="Q46">
        <v>0.36009999999999998</v>
      </c>
      <c r="R46">
        <f>J46/$P46*$Q46</f>
        <v>-1.9769121706411511E-8</v>
      </c>
      <c r="S46">
        <f>K46/$P46*$Q46</f>
        <v>-6.4055553091085706E-9</v>
      </c>
      <c r="T46">
        <f>L46/$P46*$Q46</f>
        <v>1.9800634152328684E-8</v>
      </c>
      <c r="U46">
        <f>M46/$P46*$Q46</f>
        <v>2.9189496205457847E-8</v>
      </c>
      <c r="V46">
        <f>R46*10^9</f>
        <v>-19.769121706411511</v>
      </c>
      <c r="W46">
        <f>S46*10^9</f>
        <v>-6.4055553091085704</v>
      </c>
      <c r="X46">
        <f>T46*10^9</f>
        <v>19.800634152328684</v>
      </c>
      <c r="Y46">
        <f>U46*10^9</f>
        <v>29.189496205457846</v>
      </c>
      <c r="Z46">
        <v>-19.769121706411511</v>
      </c>
      <c r="AA46">
        <v>-6.4055553091085704</v>
      </c>
      <c r="AB46">
        <f t="shared" si="0"/>
        <v>19.800634152328684</v>
      </c>
      <c r="AC46">
        <v>29.189496205457846</v>
      </c>
      <c r="AD46">
        <v>-19.769121706411511</v>
      </c>
      <c r="AE46">
        <v>-6.4055553091085704</v>
      </c>
      <c r="AF46">
        <v>1.9411672103515889</v>
      </c>
      <c r="AG46">
        <v>7.5868381830810652</v>
      </c>
      <c r="AH46">
        <v>6.8875454534798211</v>
      </c>
      <c r="AI46">
        <v>1.5481257026206174</v>
      </c>
      <c r="AJ46">
        <v>19.800634152328684</v>
      </c>
      <c r="AK46">
        <v>29.189496205457846</v>
      </c>
      <c r="AL46">
        <f>-1*AD46</f>
        <v>19.769121706411511</v>
      </c>
      <c r="AM46">
        <f>-1*AE46</f>
        <v>6.4055553091085704</v>
      </c>
    </row>
    <row r="47" spans="1:39" x14ac:dyDescent="0.25">
      <c r="A47">
        <v>119</v>
      </c>
      <c r="B47">
        <f>A47+200</f>
        <v>319</v>
      </c>
      <c r="C47">
        <v>19</v>
      </c>
      <c r="D47" t="s">
        <v>42</v>
      </c>
      <c r="E47" t="s">
        <v>56</v>
      </c>
      <c r="F47" t="s">
        <v>52</v>
      </c>
      <c r="G47" t="s">
        <v>140</v>
      </c>
      <c r="H47" t="s">
        <v>141</v>
      </c>
      <c r="I47" t="s">
        <v>138</v>
      </c>
      <c r="J47">
        <f>Samples!O104-Samples!O48</f>
        <v>-8.9872581199999928</v>
      </c>
      <c r="K47">
        <f>Samples!P104-Samples!P48</f>
        <v>-3.2676088099999987</v>
      </c>
      <c r="L47">
        <f>Samples!Q104-Samples!Q48</f>
        <v>13.654072079999997</v>
      </c>
      <c r="M47">
        <f>Samples!R104-Samples!R48</f>
        <v>20.082592073333331</v>
      </c>
      <c r="N47">
        <f>1284-88</f>
        <v>1196</v>
      </c>
      <c r="O47">
        <f>N47/1000</f>
        <v>1.196</v>
      </c>
      <c r="P47" s="11">
        <f>'Std curve values (OD-cell dens)'!$J$2*Flux_csv_output!O47+'Std curve values (OD-cell dens)'!$J$3</f>
        <v>251924185.73999998</v>
      </c>
      <c r="Q47">
        <v>0.27939999999999998</v>
      </c>
      <c r="R47">
        <f>J47/$P47*$Q47</f>
        <v>-9.9674428294849519E-9</v>
      </c>
      <c r="S47">
        <f>K47/$P47*$Q47</f>
        <v>-3.6239867118444759E-9</v>
      </c>
      <c r="T47">
        <f>L47/$P47*$Q47</f>
        <v>1.5143237351134045E-8</v>
      </c>
      <c r="U47">
        <f>M47/$P47*$Q47</f>
        <v>2.2272876297317006E-8</v>
      </c>
      <c r="V47">
        <f>R47*10^9</f>
        <v>-9.967442829484952</v>
      </c>
      <c r="W47">
        <f>S47*10^9</f>
        <v>-3.6239867118444757</v>
      </c>
      <c r="X47">
        <f>T47*10^9</f>
        <v>15.143237351134045</v>
      </c>
      <c r="Y47">
        <f>U47*10^9</f>
        <v>22.272876297317005</v>
      </c>
      <c r="Z47">
        <v>-9.967442829484952</v>
      </c>
      <c r="AA47">
        <v>-3.6239867118444757</v>
      </c>
      <c r="AB47">
        <f t="shared" si="0"/>
        <v>15.143237351134045</v>
      </c>
      <c r="AC47">
        <v>22.272876297317005</v>
      </c>
      <c r="AD47">
        <v>-9.967442829484952</v>
      </c>
      <c r="AE47">
        <v>-3.6239867118444757</v>
      </c>
      <c r="AF47">
        <v>1.9411672103515889</v>
      </c>
      <c r="AG47">
        <v>7.5868381830810652</v>
      </c>
      <c r="AH47">
        <v>6.8875454534798211</v>
      </c>
      <c r="AI47">
        <v>1.5481257026206174</v>
      </c>
      <c r="AJ47">
        <v>15.143237351134045</v>
      </c>
      <c r="AK47">
        <v>22.272876297317005</v>
      </c>
      <c r="AL47">
        <f>-1*AD47</f>
        <v>9.967442829484952</v>
      </c>
      <c r="AM47">
        <f>-1*AE47</f>
        <v>3.6239867118444757</v>
      </c>
    </row>
    <row r="48" spans="1:39" x14ac:dyDescent="0.25">
      <c r="A48">
        <v>120</v>
      </c>
      <c r="B48">
        <f>A48+200</f>
        <v>320</v>
      </c>
      <c r="C48">
        <v>20</v>
      </c>
      <c r="D48" t="s">
        <v>43</v>
      </c>
      <c r="E48" t="s">
        <v>56</v>
      </c>
      <c r="F48" t="s">
        <v>52</v>
      </c>
      <c r="G48" t="s">
        <v>140</v>
      </c>
      <c r="H48" t="s">
        <v>141</v>
      </c>
      <c r="I48" t="s">
        <v>138</v>
      </c>
      <c r="J48">
        <f>Samples!O105-Samples!O49</f>
        <v>-8.8024080900000001</v>
      </c>
      <c r="K48">
        <f>Samples!P105-Samples!P49</f>
        <v>-4.4336083199999976</v>
      </c>
      <c r="L48">
        <f>Samples!Q105-Samples!Q49</f>
        <v>8.5355687999999983</v>
      </c>
      <c r="M48">
        <f>Samples!R105-Samples!R49</f>
        <v>15.801574619999997</v>
      </c>
      <c r="N48">
        <f>1153-30</f>
        <v>1123</v>
      </c>
      <c r="O48">
        <f>N48/1000</f>
        <v>1.123</v>
      </c>
      <c r="P48" s="11">
        <f>'Std curve values (OD-cell dens)'!$J$2*Flux_csv_output!O48+'Std curve values (OD-cell dens)'!$J$3</f>
        <v>235742307.495</v>
      </c>
      <c r="Q48">
        <v>0.38379999999999997</v>
      </c>
      <c r="R48">
        <f>J48/$P48*$Q48</f>
        <v>-1.4330750643957507E-8</v>
      </c>
      <c r="S48">
        <f>K48/$P48*$Q48</f>
        <v>-7.2181310656428929E-9</v>
      </c>
      <c r="T48">
        <f>L48/$P48*$Q48</f>
        <v>1.3896323236377419E-8</v>
      </c>
      <c r="U48">
        <f>M48/$P48*$Q48</f>
        <v>2.5725735883384557E-8</v>
      </c>
      <c r="V48">
        <f>R48*10^9</f>
        <v>-14.330750643957508</v>
      </c>
      <c r="W48">
        <f>S48*10^9</f>
        <v>-7.2181310656428925</v>
      </c>
      <c r="X48">
        <f>T48*10^9</f>
        <v>13.89632323637742</v>
      </c>
      <c r="Y48">
        <f>U48*10^9</f>
        <v>25.725735883384559</v>
      </c>
      <c r="Z48">
        <v>-14.330750643957508</v>
      </c>
      <c r="AA48">
        <v>-7.2181310656428925</v>
      </c>
      <c r="AB48">
        <f t="shared" si="0"/>
        <v>13.89632323637742</v>
      </c>
      <c r="AC48">
        <v>25.725735883384559</v>
      </c>
      <c r="AD48">
        <v>-14.330750643957508</v>
      </c>
      <c r="AE48">
        <v>-7.2181310656428925</v>
      </c>
      <c r="AF48">
        <v>1.9411672103515889</v>
      </c>
      <c r="AG48">
        <v>7.5868381830810652</v>
      </c>
      <c r="AH48">
        <v>6.8875454534798211</v>
      </c>
      <c r="AI48">
        <v>1.5481257026206174</v>
      </c>
      <c r="AJ48">
        <v>13.89632323637742</v>
      </c>
      <c r="AK48">
        <v>25.725735883384559</v>
      </c>
      <c r="AL48">
        <f>-1*AD48</f>
        <v>14.330750643957508</v>
      </c>
      <c r="AM48">
        <f>-1*AE48</f>
        <v>7.2181310656428925</v>
      </c>
    </row>
    <row r="49" spans="1:39" x14ac:dyDescent="0.25">
      <c r="A49">
        <v>121</v>
      </c>
      <c r="B49">
        <f>A49+200</f>
        <v>321</v>
      </c>
      <c r="C49">
        <v>21</v>
      </c>
      <c r="D49" t="s">
        <v>44</v>
      </c>
      <c r="E49" t="s">
        <v>56</v>
      </c>
      <c r="F49" t="s">
        <v>52</v>
      </c>
      <c r="G49" t="s">
        <v>140</v>
      </c>
      <c r="H49" t="s">
        <v>141</v>
      </c>
      <c r="I49" t="s">
        <v>138</v>
      </c>
      <c r="J49">
        <f>Samples!O106-Samples!O50</f>
        <v>-7.7261166099999983</v>
      </c>
      <c r="K49">
        <f>Samples!P106-Samples!P50</f>
        <v>-3.8071185499999913</v>
      </c>
      <c r="L49">
        <f>Samples!Q106-Samples!Q50</f>
        <v>11.491402559999997</v>
      </c>
      <c r="M49">
        <f>Samples!R106-Samples!R50</f>
        <v>18.468634579999996</v>
      </c>
      <c r="N49">
        <f>1195-61</f>
        <v>1134</v>
      </c>
      <c r="O49">
        <f>N49/1000</f>
        <v>1.1339999999999999</v>
      </c>
      <c r="P49" s="11">
        <f>'Std curve values (OD-cell dens)'!$J$2*Flux_csv_output!O49+'Std curve values (OD-cell dens)'!$J$3</f>
        <v>238180672.70999998</v>
      </c>
      <c r="Q49">
        <v>0.29649999999999999</v>
      </c>
      <c r="R49">
        <f>J49/$P49*$Q49</f>
        <v>-9.6178818742954246E-9</v>
      </c>
      <c r="S49">
        <f>K49/$P49*$Q49</f>
        <v>-4.7393041476937787E-9</v>
      </c>
      <c r="T49">
        <f>L49/$P49*$Q49</f>
        <v>1.4305110571202733E-8</v>
      </c>
      <c r="U49">
        <f>M49/$P49*$Q49</f>
        <v>2.2990740981059004E-8</v>
      </c>
      <c r="V49">
        <f>R49*10^9</f>
        <v>-9.6178818742954242</v>
      </c>
      <c r="W49">
        <f>S49*10^9</f>
        <v>-4.7393041476937787</v>
      </c>
      <c r="X49">
        <f>T49*10^9</f>
        <v>14.305110571202732</v>
      </c>
      <c r="Y49">
        <f>U49*10^9</f>
        <v>22.990740981059005</v>
      </c>
      <c r="Z49">
        <v>-9.6178818742954242</v>
      </c>
      <c r="AA49">
        <v>-4.7393041476937787</v>
      </c>
      <c r="AB49">
        <f t="shared" si="0"/>
        <v>14.305110571202732</v>
      </c>
      <c r="AC49">
        <v>22.990740981059005</v>
      </c>
      <c r="AD49">
        <v>-9.6178818742954242</v>
      </c>
      <c r="AE49">
        <v>-4.7393041476937787</v>
      </c>
      <c r="AF49">
        <v>1.9411672103515889</v>
      </c>
      <c r="AG49">
        <v>7.5868381830810652</v>
      </c>
      <c r="AH49">
        <v>6.8875454534798211</v>
      </c>
      <c r="AI49">
        <v>1.5481257026206174</v>
      </c>
      <c r="AJ49">
        <v>14.305110571202732</v>
      </c>
      <c r="AK49">
        <v>22.990740981059005</v>
      </c>
      <c r="AL49">
        <f>-1*AD49</f>
        <v>9.6178818742954242</v>
      </c>
      <c r="AM49">
        <f>-1*AE49</f>
        <v>4.7393041476937787</v>
      </c>
    </row>
    <row r="50" spans="1:39" x14ac:dyDescent="0.25">
      <c r="A50">
        <v>122</v>
      </c>
      <c r="B50">
        <f>A50+200</f>
        <v>322</v>
      </c>
      <c r="C50">
        <v>22</v>
      </c>
      <c r="D50" t="s">
        <v>45</v>
      </c>
      <c r="E50" t="s">
        <v>56</v>
      </c>
      <c r="F50" t="s">
        <v>52</v>
      </c>
      <c r="G50" t="s">
        <v>140</v>
      </c>
      <c r="H50" t="s">
        <v>141</v>
      </c>
      <c r="I50" t="s">
        <v>138</v>
      </c>
      <c r="J50">
        <f>Samples!O107-Samples!O51</f>
        <v>-10.544425470000007</v>
      </c>
      <c r="K50">
        <f>Samples!P107-Samples!P51</f>
        <v>-0.39802121999999684</v>
      </c>
      <c r="L50">
        <f>Samples!Q107-Samples!Q51</f>
        <v>11.377201439999997</v>
      </c>
      <c r="M50">
        <f>Samples!R107-Samples!R51</f>
        <v>17.796232253333329</v>
      </c>
      <c r="N50">
        <f>1109-71</f>
        <v>1038</v>
      </c>
      <c r="O50">
        <f>N50/1000</f>
        <v>1.038</v>
      </c>
      <c r="P50" s="11">
        <f>'Std curve values (OD-cell dens)'!$J$2*Flux_csv_output!O50+'Std curve values (OD-cell dens)'!$J$3</f>
        <v>216900394.47</v>
      </c>
      <c r="Q50">
        <v>0.2777</v>
      </c>
      <c r="R50">
        <f>J50/$P50*$Q50</f>
        <v>-1.3500145816581291E-8</v>
      </c>
      <c r="S50">
        <f>K50/$P50*$Q50</f>
        <v>-5.0959101786828172E-10</v>
      </c>
      <c r="T50">
        <f>L50/$P50*$Q50</f>
        <v>1.4566358201460026E-8</v>
      </c>
      <c r="U50">
        <f>M50/$P50*$Q50</f>
        <v>2.2784715116939112E-8</v>
      </c>
      <c r="V50">
        <f>R50*10^9</f>
        <v>-13.500145816581291</v>
      </c>
      <c r="W50">
        <f>S50*10^9</f>
        <v>-0.50959101786828176</v>
      </c>
      <c r="X50">
        <f>T50*10^9</f>
        <v>14.566358201460027</v>
      </c>
      <c r="Y50">
        <f>U50*10^9</f>
        <v>22.784715116939111</v>
      </c>
      <c r="Z50">
        <v>-13.500145816581291</v>
      </c>
      <c r="AA50">
        <v>-0.50959101786828176</v>
      </c>
      <c r="AB50">
        <f t="shared" si="0"/>
        <v>14.566358201460027</v>
      </c>
      <c r="AC50">
        <v>22.784715116939111</v>
      </c>
      <c r="AD50">
        <v>-13.500145816581291</v>
      </c>
      <c r="AE50">
        <v>-0.50959101786828176</v>
      </c>
      <c r="AF50">
        <v>1.9411672103515889</v>
      </c>
      <c r="AG50">
        <v>7.5868381830810652</v>
      </c>
      <c r="AH50">
        <v>6.8875454534798211</v>
      </c>
      <c r="AI50">
        <v>1.5481257026206174</v>
      </c>
      <c r="AJ50">
        <v>14.566358201460027</v>
      </c>
      <c r="AK50">
        <v>22.784715116939111</v>
      </c>
      <c r="AL50">
        <f>-1*AD50</f>
        <v>13.500145816581291</v>
      </c>
      <c r="AM50">
        <f>-1*AE50</f>
        <v>0.50959101786828176</v>
      </c>
    </row>
    <row r="51" spans="1:39" x14ac:dyDescent="0.25">
      <c r="A51">
        <v>123</v>
      </c>
      <c r="B51">
        <f>A51+200</f>
        <v>323</v>
      </c>
      <c r="C51">
        <v>23</v>
      </c>
      <c r="D51" t="s">
        <v>46</v>
      </c>
      <c r="E51" t="s">
        <v>56</v>
      </c>
      <c r="F51" t="s">
        <v>52</v>
      </c>
      <c r="G51" t="s">
        <v>140</v>
      </c>
      <c r="H51" t="s">
        <v>141</v>
      </c>
      <c r="I51" t="s">
        <v>138</v>
      </c>
      <c r="J51">
        <f>Samples!O108-Samples!O52</f>
        <v>-13.029165370000001</v>
      </c>
      <c r="K51">
        <f>Samples!P108-Samples!P52</f>
        <v>-2.7991823599999961</v>
      </c>
      <c r="L51">
        <f>Samples!Q108-Samples!Q52</f>
        <v>10.695627359999998</v>
      </c>
      <c r="M51">
        <f>Samples!R108-Samples!R52</f>
        <v>24.198807386666658</v>
      </c>
      <c r="N51">
        <f>1239-5</f>
        <v>1234</v>
      </c>
      <c r="O51">
        <f>N51/1000</f>
        <v>1.234</v>
      </c>
      <c r="P51" s="11">
        <f>'Std curve values (OD-cell dens)'!$J$2*Flux_csv_output!O51+'Std curve values (OD-cell dens)'!$J$3</f>
        <v>260347629.20999998</v>
      </c>
      <c r="Q51">
        <v>0.25309999999999999</v>
      </c>
      <c r="R51">
        <f>J51/$P51*$Q51</f>
        <v>-1.2666455865772623E-8</v>
      </c>
      <c r="S51">
        <f>K51/$P51*$Q51</f>
        <v>-2.7212579483277526E-9</v>
      </c>
      <c r="T51">
        <f>L51/$P51*$Q51</f>
        <v>1.0397879531418528E-8</v>
      </c>
      <c r="U51">
        <f>M51/$P51*$Q51</f>
        <v>2.352515430292261E-8</v>
      </c>
      <c r="V51">
        <f>R51*10^9</f>
        <v>-12.666455865772623</v>
      </c>
      <c r="W51">
        <f>S51*10^9</f>
        <v>-2.7212579483277524</v>
      </c>
      <c r="X51">
        <f>T51*10^9</f>
        <v>10.397879531418528</v>
      </c>
      <c r="Y51">
        <f>U51*10^9</f>
        <v>23.525154302922608</v>
      </c>
      <c r="Z51">
        <v>-12.666455865772623</v>
      </c>
      <c r="AA51">
        <v>-2.7212579483277524</v>
      </c>
      <c r="AB51">
        <f t="shared" si="0"/>
        <v>10.397879531418528</v>
      </c>
      <c r="AC51">
        <v>23.525154302922608</v>
      </c>
      <c r="AD51">
        <v>-12.666455865772623</v>
      </c>
      <c r="AE51">
        <v>-2.7212579483277524</v>
      </c>
      <c r="AF51">
        <v>1.9411672103515889</v>
      </c>
      <c r="AG51">
        <v>7.5868381830810652</v>
      </c>
      <c r="AH51">
        <v>6.8875454534798211</v>
      </c>
      <c r="AI51">
        <v>1.5481257026206174</v>
      </c>
      <c r="AJ51">
        <v>10.397879531418528</v>
      </c>
      <c r="AK51">
        <v>23.525154302922608</v>
      </c>
      <c r="AL51">
        <f>-1*AD51</f>
        <v>12.666455865772623</v>
      </c>
      <c r="AM51">
        <f>-1*AE51</f>
        <v>2.7212579483277524</v>
      </c>
    </row>
    <row r="52" spans="1:39" x14ac:dyDescent="0.25">
      <c r="A52">
        <v>124</v>
      </c>
      <c r="B52">
        <f>A52+200</f>
        <v>324</v>
      </c>
      <c r="C52">
        <v>24</v>
      </c>
      <c r="D52" t="s">
        <v>47</v>
      </c>
      <c r="E52" t="s">
        <v>56</v>
      </c>
      <c r="F52" t="s">
        <v>52</v>
      </c>
      <c r="G52" t="s">
        <v>140</v>
      </c>
      <c r="H52" t="s">
        <v>141</v>
      </c>
      <c r="I52" t="s">
        <v>138</v>
      </c>
      <c r="J52">
        <f>Samples!O109-Samples!O53</f>
        <v>-15.583135779999999</v>
      </c>
      <c r="K52">
        <f>Samples!P109-Samples!P53</f>
        <v>-2.1400703700000037</v>
      </c>
      <c r="L52">
        <f>Samples!Q109-Samples!Q53</f>
        <v>12.197496959999999</v>
      </c>
      <c r="M52">
        <f>Samples!R109-Samples!R53</f>
        <v>20.92963189333333</v>
      </c>
      <c r="N52">
        <f>1301-53</f>
        <v>1248</v>
      </c>
      <c r="O52">
        <f>N52/1000</f>
        <v>1.248</v>
      </c>
      <c r="P52" s="11">
        <f>'Std curve values (OD-cell dens)'!$J$2*Flux_csv_output!O52+'Std curve values (OD-cell dens)'!$J$3</f>
        <v>263451003.12</v>
      </c>
      <c r="Q52">
        <v>0.26229999999999998</v>
      </c>
      <c r="R52">
        <f>J52/$P52*$Q52</f>
        <v>-1.5515053906369803E-8</v>
      </c>
      <c r="S52">
        <f>K52/$P52*$Q52</f>
        <v>-2.1307205188181215E-9</v>
      </c>
      <c r="T52">
        <f>L52/$P52*$Q52</f>
        <v>1.214420675844113E-8</v>
      </c>
      <c r="U52">
        <f>M52/$P52*$Q52</f>
        <v>2.0838191468645687E-8</v>
      </c>
      <c r="V52">
        <f>R52*10^9</f>
        <v>-15.515053906369802</v>
      </c>
      <c r="W52">
        <f>S52*10^9</f>
        <v>-2.1307205188181215</v>
      </c>
      <c r="X52">
        <f>T52*10^9</f>
        <v>12.144206758441131</v>
      </c>
      <c r="Y52">
        <f>U52*10^9</f>
        <v>20.838191468645686</v>
      </c>
      <c r="Z52">
        <v>-15.515053906369802</v>
      </c>
      <c r="AA52">
        <v>-2.1307205188181215</v>
      </c>
      <c r="AB52">
        <f t="shared" si="0"/>
        <v>12.144206758441131</v>
      </c>
      <c r="AC52">
        <v>20.838191468645686</v>
      </c>
      <c r="AD52">
        <v>-15.515053906369802</v>
      </c>
      <c r="AE52">
        <v>-2.1307205188181215</v>
      </c>
      <c r="AF52">
        <v>1.9411672103515889</v>
      </c>
      <c r="AG52">
        <v>7.5868381830810652</v>
      </c>
      <c r="AH52">
        <v>6.8875454534798211</v>
      </c>
      <c r="AI52">
        <v>1.5481257026206174</v>
      </c>
      <c r="AJ52">
        <v>12.144206758441131</v>
      </c>
      <c r="AK52">
        <v>20.838191468645686</v>
      </c>
      <c r="AL52">
        <f>-1*AD52</f>
        <v>15.515053906369802</v>
      </c>
      <c r="AM52">
        <f>-1*AE52</f>
        <v>2.1307205188181215</v>
      </c>
    </row>
    <row r="53" spans="1:39" x14ac:dyDescent="0.25">
      <c r="A53">
        <v>141</v>
      </c>
      <c r="B53">
        <f>A53+200</f>
        <v>341</v>
      </c>
      <c r="C53">
        <v>25</v>
      </c>
      <c r="D53" t="s">
        <v>48</v>
      </c>
      <c r="E53" t="s">
        <v>56</v>
      </c>
      <c r="F53" t="s">
        <v>52</v>
      </c>
      <c r="G53" t="s">
        <v>140</v>
      </c>
      <c r="H53" t="s">
        <v>139</v>
      </c>
      <c r="I53" t="s">
        <v>138</v>
      </c>
      <c r="J53">
        <f>Samples!O110-Samples!O54</f>
        <v>-19.635923889999997</v>
      </c>
      <c r="K53">
        <f>Samples!P110-Samples!P54</f>
        <v>-3.7184433700000028</v>
      </c>
      <c r="L53">
        <f>Samples!Q110-Samples!Q54</f>
        <v>5.7186835200000008</v>
      </c>
      <c r="M53">
        <f>Samples!R110-Samples!R54</f>
        <v>23.604128339999995</v>
      </c>
      <c r="N53">
        <f>1032-127</f>
        <v>905</v>
      </c>
      <c r="O53">
        <f>N53/1000</f>
        <v>0.90500000000000003</v>
      </c>
      <c r="P53" s="11">
        <f>'Std curve values (OD-cell dens)'!$J$2*Flux_csv_output!O53+'Std curve values (OD-cell dens)'!$J$3</f>
        <v>187418342.32500002</v>
      </c>
      <c r="Q53">
        <v>5.5710000000000003E-2</v>
      </c>
      <c r="R53">
        <f>J53/$P53*$Q53</f>
        <v>-5.8367676628734143E-9</v>
      </c>
      <c r="S53">
        <f>K53/$P53*$Q53</f>
        <v>-1.1053052629367298E-9</v>
      </c>
      <c r="T53">
        <f>L53/$P53*$Q53</f>
        <v>1.6998755561861736E-9</v>
      </c>
      <c r="U53">
        <f>M53/$P53*$Q53</f>
        <v>7.0163142705696201E-9</v>
      </c>
      <c r="V53">
        <f>R53*10^9</f>
        <v>-5.836767662873414</v>
      </c>
      <c r="W53">
        <f>S53*10^9</f>
        <v>-1.1053052629367297</v>
      </c>
      <c r="X53">
        <f>T53*10^9</f>
        <v>1.6998755561861736</v>
      </c>
      <c r="Y53">
        <f>U53*10^9</f>
        <v>7.0163142705696204</v>
      </c>
      <c r="Z53">
        <v>-5.836767662873414</v>
      </c>
      <c r="AA53">
        <v>-1.1053052629367297</v>
      </c>
      <c r="AB53">
        <f t="shared" si="0"/>
        <v>1.6998755561861736</v>
      </c>
      <c r="AC53">
        <v>7.0163142705696204</v>
      </c>
      <c r="AD53">
        <v>-5.836767662873414</v>
      </c>
      <c r="AE53">
        <v>-1.1053052629367297</v>
      </c>
      <c r="AF53">
        <v>1.9411672103515889</v>
      </c>
      <c r="AG53">
        <v>7.5868381830810652</v>
      </c>
      <c r="AH53">
        <v>6.8875454534798211</v>
      </c>
      <c r="AI53">
        <v>1.5481257026206174</v>
      </c>
      <c r="AJ53">
        <v>1.6998755561861736</v>
      </c>
      <c r="AK53">
        <v>7.0163142705696204</v>
      </c>
      <c r="AL53">
        <f>-1*AD53</f>
        <v>5.836767662873414</v>
      </c>
      <c r="AM53">
        <f>-1*AE53</f>
        <v>1.1053052629367297</v>
      </c>
    </row>
    <row r="54" spans="1:39" x14ac:dyDescent="0.25">
      <c r="A54">
        <v>142</v>
      </c>
      <c r="B54">
        <f>A54+200</f>
        <v>342</v>
      </c>
      <c r="C54">
        <v>26</v>
      </c>
      <c r="D54" t="s">
        <v>49</v>
      </c>
      <c r="E54" t="s">
        <v>56</v>
      </c>
      <c r="F54" t="s">
        <v>52</v>
      </c>
      <c r="G54" t="s">
        <v>140</v>
      </c>
      <c r="H54" t="s">
        <v>139</v>
      </c>
      <c r="I54" t="s">
        <v>138</v>
      </c>
      <c r="J54">
        <f>Samples!O111-Samples!O55</f>
        <v>-18.394218420000001</v>
      </c>
      <c r="K54">
        <f>Samples!P111-Samples!P55</f>
        <v>-3.4014126500000046</v>
      </c>
      <c r="L54">
        <f>Samples!Q111-Samples!Q55</f>
        <v>5.6511391199999981</v>
      </c>
      <c r="M54">
        <f>Samples!R111-Samples!R55</f>
        <v>23.760054673333329</v>
      </c>
      <c r="N54">
        <f>1000-60</f>
        <v>940</v>
      </c>
      <c r="O54">
        <f>N54/1000</f>
        <v>0.94</v>
      </c>
      <c r="P54" s="11">
        <f>'Std curve values (OD-cell dens)'!$J$2*Flux_csv_output!O54+'Std curve values (OD-cell dens)'!$J$3</f>
        <v>195176777.09999999</v>
      </c>
      <c r="Q54">
        <v>6.2480000000000001E-2</v>
      </c>
      <c r="R54">
        <f>J54/$P54*$Q54</f>
        <v>-5.8883581538635832E-9</v>
      </c>
      <c r="S54">
        <f>K54/$P54*$Q54</f>
        <v>-1.0888603937911848E-9</v>
      </c>
      <c r="T54">
        <f>L54/$P54*$Q54</f>
        <v>1.8090429479563319E-9</v>
      </c>
      <c r="U54">
        <f>M54/$P54*$Q54</f>
        <v>7.6060699333571827E-9</v>
      </c>
      <c r="V54">
        <f>R54*10^9</f>
        <v>-5.8883581538635834</v>
      </c>
      <c r="W54">
        <f>S54*10^9</f>
        <v>-1.0888603937911849</v>
      </c>
      <c r="X54">
        <f>T54*10^9</f>
        <v>1.8090429479563319</v>
      </c>
      <c r="Y54">
        <f>U54*10^9</f>
        <v>7.6060699333571824</v>
      </c>
      <c r="Z54">
        <v>-5.8883581538635834</v>
      </c>
      <c r="AA54">
        <v>-1.0888603937911849</v>
      </c>
      <c r="AB54">
        <f t="shared" si="0"/>
        <v>1.8090429479563319</v>
      </c>
      <c r="AC54">
        <v>7.6060699333571824</v>
      </c>
      <c r="AD54">
        <v>-5.8883581538635834</v>
      </c>
      <c r="AE54">
        <v>-1.0888603937911849</v>
      </c>
      <c r="AF54">
        <v>1.9411672103515889</v>
      </c>
      <c r="AG54">
        <v>7.5868381830810652</v>
      </c>
      <c r="AH54">
        <v>6.8875454534798211</v>
      </c>
      <c r="AI54">
        <v>1.5481257026206174</v>
      </c>
      <c r="AJ54">
        <v>1.8090429479563319</v>
      </c>
      <c r="AK54">
        <v>7.6060699333571824</v>
      </c>
      <c r="AL54">
        <f>-1*AD54</f>
        <v>5.8883581538635834</v>
      </c>
      <c r="AM54">
        <f>-1*AE54</f>
        <v>1.0888603937911849</v>
      </c>
    </row>
    <row r="55" spans="1:39" x14ac:dyDescent="0.25">
      <c r="A55">
        <v>143</v>
      </c>
      <c r="B55">
        <f>A55+200</f>
        <v>343</v>
      </c>
      <c r="C55">
        <v>27</v>
      </c>
      <c r="D55" t="s">
        <v>50</v>
      </c>
      <c r="E55" t="s">
        <v>56</v>
      </c>
      <c r="F55" t="s">
        <v>52</v>
      </c>
      <c r="G55" t="s">
        <v>140</v>
      </c>
      <c r="H55" t="s">
        <v>139</v>
      </c>
      <c r="I55" t="s">
        <v>138</v>
      </c>
      <c r="J55">
        <f>Samples!O112-Samples!O56</f>
        <v>-21.75848066</v>
      </c>
      <c r="K55">
        <f>Samples!P112-Samples!P56</f>
        <v>-6.4233000500000017</v>
      </c>
      <c r="L55">
        <f>Samples!Q112-Samples!Q56</f>
        <v>5.6052770399999989</v>
      </c>
      <c r="M55">
        <f>Samples!R112-Samples!R56</f>
        <v>18.483267666666666</v>
      </c>
      <c r="N55">
        <f>1037-40</f>
        <v>997</v>
      </c>
      <c r="O55">
        <f>N55/1000</f>
        <v>0.997</v>
      </c>
      <c r="P55" s="11">
        <f>'Std curve values (OD-cell dens)'!$J$2*Flux_csv_output!O55+'Std curve values (OD-cell dens)'!$J$3</f>
        <v>207811942.30500001</v>
      </c>
      <c r="Q55">
        <v>8.5639999999999994E-2</v>
      </c>
      <c r="R55">
        <f>J55/$P55*$Q55</f>
        <v>-8.9667430228217751E-9</v>
      </c>
      <c r="S55">
        <f>K55/$P55*$Q55</f>
        <v>-2.6470635430308702E-9</v>
      </c>
      <c r="T55">
        <f>L55/$P55*$Q55</f>
        <v>2.3099535107614946E-9</v>
      </c>
      <c r="U55">
        <f>M55/$P55*$Q55</f>
        <v>7.6170167383842807E-9</v>
      </c>
      <c r="V55">
        <f>R55*10^9</f>
        <v>-8.9667430228217757</v>
      </c>
      <c r="W55">
        <f>S55*10^9</f>
        <v>-2.6470635430308702</v>
      </c>
      <c r="X55">
        <f>T55*10^9</f>
        <v>2.3099535107614946</v>
      </c>
      <c r="Y55">
        <f>U55*10^9</f>
        <v>7.6170167383842804</v>
      </c>
      <c r="Z55">
        <v>-8.9667430228217757</v>
      </c>
      <c r="AA55">
        <v>-2.6470635430308702</v>
      </c>
      <c r="AB55">
        <f t="shared" si="0"/>
        <v>2.3099535107614946</v>
      </c>
      <c r="AC55">
        <v>7.6170167383842804</v>
      </c>
      <c r="AD55">
        <v>-8.9667430228217757</v>
      </c>
      <c r="AE55">
        <v>-2.6470635430308702</v>
      </c>
      <c r="AF55">
        <v>1.9411672103515889</v>
      </c>
      <c r="AG55">
        <v>7.5868381830810652</v>
      </c>
      <c r="AH55">
        <v>6.8875454534798211</v>
      </c>
      <c r="AI55">
        <v>1.5481257026206174</v>
      </c>
      <c r="AJ55">
        <v>2.3099535107614946</v>
      </c>
      <c r="AK55">
        <v>7.6170167383842804</v>
      </c>
      <c r="AL55">
        <f>-1*AD55</f>
        <v>8.9667430228217757</v>
      </c>
      <c r="AM55">
        <f>-1*AE55</f>
        <v>2.6470635430308702</v>
      </c>
    </row>
    <row r="56" spans="1:39" x14ac:dyDescent="0.25">
      <c r="A56">
        <v>144</v>
      </c>
      <c r="B56">
        <f>A56+200</f>
        <v>344</v>
      </c>
      <c r="C56">
        <v>28</v>
      </c>
      <c r="D56" t="s">
        <v>51</v>
      </c>
      <c r="E56" t="s">
        <v>56</v>
      </c>
      <c r="F56" t="s">
        <v>52</v>
      </c>
      <c r="G56" t="s">
        <v>140</v>
      </c>
      <c r="H56" t="s">
        <v>139</v>
      </c>
      <c r="I56" t="s">
        <v>138</v>
      </c>
      <c r="J56">
        <f>Samples!O113-Samples!O57</f>
        <v>-20.701500630000005</v>
      </c>
      <c r="K56">
        <f>Samples!P113-Samples!P57</f>
        <v>-4.0787569200000036</v>
      </c>
      <c r="L56">
        <f>Samples!Q113-Samples!Q57</f>
        <v>5.8732977599999989</v>
      </c>
      <c r="M56">
        <f>Samples!R113-Samples!R57</f>
        <v>24.47347761999999</v>
      </c>
      <c r="N56">
        <f>1121-65</f>
        <v>1056</v>
      </c>
      <c r="O56">
        <f>N56/1000</f>
        <v>1.056</v>
      </c>
      <c r="P56" s="11">
        <f>'Std curve values (OD-cell dens)'!$J$2*Flux_csv_output!O56+'Std curve values (OD-cell dens)'!$J$3</f>
        <v>220890446.64000002</v>
      </c>
      <c r="Q56">
        <v>7.3179999999999995E-2</v>
      </c>
      <c r="R56">
        <f>J56/$P56*$Q56</f>
        <v>-6.858312974360511E-9</v>
      </c>
      <c r="S56">
        <f>K56/$P56*$Q56</f>
        <v>-1.3512736107236848E-9</v>
      </c>
      <c r="T56">
        <f>L56/$P56*$Q56</f>
        <v>1.9457968265023551E-9</v>
      </c>
      <c r="U56">
        <f>M56/$P56*$Q56</f>
        <v>8.1079517900131805E-9</v>
      </c>
      <c r="V56">
        <f>R56*10^9</f>
        <v>-6.8583129743605111</v>
      </c>
      <c r="W56">
        <f>S56*10^9</f>
        <v>-1.3512736107236847</v>
      </c>
      <c r="X56">
        <f>T56*10^9</f>
        <v>1.9457968265023551</v>
      </c>
      <c r="Y56">
        <f>U56*10^9</f>
        <v>8.1079517900131801</v>
      </c>
      <c r="Z56">
        <v>-6.8583129743605111</v>
      </c>
      <c r="AA56">
        <v>-1.3512736107236847</v>
      </c>
      <c r="AB56">
        <f t="shared" si="0"/>
        <v>1.9457968265023551</v>
      </c>
      <c r="AC56">
        <v>8.1079517900131801</v>
      </c>
      <c r="AD56">
        <v>-6.8583129743605111</v>
      </c>
      <c r="AE56">
        <v>-1.3512736107236847</v>
      </c>
      <c r="AF56">
        <v>1.9411672103515889</v>
      </c>
      <c r="AG56">
        <v>7.5868381830810652</v>
      </c>
      <c r="AH56">
        <v>6.8875454534798211</v>
      </c>
      <c r="AI56">
        <v>1.5481257026206174</v>
      </c>
      <c r="AJ56">
        <v>1.9457968265023551</v>
      </c>
      <c r="AK56">
        <v>8.1079517900131801</v>
      </c>
      <c r="AL56">
        <f>-1*AD56</f>
        <v>6.8583129743605111</v>
      </c>
      <c r="AM56">
        <f>-1*AE56</f>
        <v>1.3512736107236847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76F4-5546-4CD1-A9C8-0805E4EAD487}">
  <dimension ref="A1:R113"/>
  <sheetViews>
    <sheetView zoomScale="115" zoomScaleNormal="115" workbookViewId="0">
      <pane ySplit="1" topLeftCell="A86" activePane="bottomLeft" state="frozen"/>
      <selection pane="bottomLeft" activeCell="H113" sqref="H113"/>
    </sheetView>
  </sheetViews>
  <sheetFormatPr defaultRowHeight="15" x14ac:dyDescent="0.25"/>
  <sheetData>
    <row r="1" spans="1:18" x14ac:dyDescent="0.25">
      <c r="A1" t="s">
        <v>20</v>
      </c>
      <c r="B1" t="s">
        <v>53</v>
      </c>
      <c r="C1" t="s">
        <v>21</v>
      </c>
      <c r="D1" t="s">
        <v>22</v>
      </c>
      <c r="E1" t="s">
        <v>19</v>
      </c>
      <c r="F1" t="s">
        <v>5</v>
      </c>
      <c r="G1" t="s">
        <v>4</v>
      </c>
      <c r="H1" t="s">
        <v>54</v>
      </c>
      <c r="I1" t="s">
        <v>13</v>
      </c>
      <c r="J1" t="s">
        <v>14</v>
      </c>
      <c r="K1" t="s">
        <v>2</v>
      </c>
      <c r="L1" t="s">
        <v>3</v>
      </c>
      <c r="M1" t="s">
        <v>15</v>
      </c>
      <c r="N1" t="s">
        <v>16</v>
      </c>
      <c r="O1" s="1" t="s">
        <v>0</v>
      </c>
      <c r="P1" s="1" t="s">
        <v>1</v>
      </c>
      <c r="Q1" s="1" t="s">
        <v>17</v>
      </c>
      <c r="R1" s="1" t="s">
        <v>18</v>
      </c>
    </row>
    <row r="2" spans="1:18" x14ac:dyDescent="0.25">
      <c r="A2">
        <v>1</v>
      </c>
      <c r="B2">
        <v>1</v>
      </c>
      <c r="C2" t="s">
        <v>23</v>
      </c>
      <c r="D2" t="s">
        <v>10</v>
      </c>
      <c r="E2" t="s">
        <v>24</v>
      </c>
      <c r="F2">
        <v>10</v>
      </c>
      <c r="G2" s="4">
        <v>63299</v>
      </c>
      <c r="H2" s="4">
        <v>985784</v>
      </c>
      <c r="I2" s="4">
        <v>17749</v>
      </c>
      <c r="J2" s="4">
        <v>12437</v>
      </c>
      <c r="K2">
        <f>'Std curve values (LC)'!$A$2*G2+'Std curve values (LC)'!$A$3</f>
        <v>30.6200747</v>
      </c>
      <c r="L2">
        <f>'Std curve values (LC)'!$B$2*H2+'Std curve values (LC)'!$B$3</f>
        <v>377.36583280000002</v>
      </c>
      <c r="M2">
        <f>'Std curve values (LC)'!$C$2*I2+'Std curve values (LC)'!$C$3</f>
        <v>21.661955499999998</v>
      </c>
      <c r="N2">
        <f>'Std curve values (LC)'!$D$2*J2+'Std curve values (LC)'!$D$3</f>
        <v>29.923652199999996</v>
      </c>
      <c r="O2">
        <f t="shared" ref="O2:O33" si="0">K2/$F2</f>
        <v>3.0620074700000002</v>
      </c>
      <c r="P2">
        <f t="shared" ref="P2:P33" si="1">L2/$F2</f>
        <v>37.736583280000005</v>
      </c>
      <c r="Q2">
        <f t="shared" ref="Q2:Q33" si="2">M2/$F2</f>
        <v>2.1661955499999999</v>
      </c>
      <c r="R2">
        <f t="shared" ref="R2:R33" si="3">N2/$F2</f>
        <v>2.9923652199999995</v>
      </c>
    </row>
    <row r="3" spans="1:18" x14ac:dyDescent="0.25">
      <c r="A3">
        <v>2</v>
      </c>
      <c r="B3">
        <v>2</v>
      </c>
      <c r="C3" t="s">
        <v>25</v>
      </c>
      <c r="D3" t="s">
        <v>10</v>
      </c>
      <c r="E3" t="s">
        <v>24</v>
      </c>
      <c r="F3">
        <v>10</v>
      </c>
      <c r="G3" s="4">
        <v>48720</v>
      </c>
      <c r="H3" s="4">
        <v>941787</v>
      </c>
      <c r="I3" s="4">
        <v>11309</v>
      </c>
      <c r="J3" s="4">
        <v>15580</v>
      </c>
      <c r="K3">
        <f>'Std curve values (LC)'!$A$2*G3+'Std curve values (LC)'!$A$3</f>
        <v>24.565416000000003</v>
      </c>
      <c r="L3">
        <f>'Std curve values (LC)'!$B$2*H3+'Std curve values (LC)'!$B$3</f>
        <v>360.79216289999999</v>
      </c>
      <c r="M3">
        <f>'Std curve values (LC)'!$C$2*I3+'Std curve values (LC)'!$C$3</f>
        <v>14.351267499999999</v>
      </c>
      <c r="N3">
        <f>'Std curve values (LC)'!$D$2*J3+'Std curve values (LC)'!$D$3</f>
        <v>37.463290133333331</v>
      </c>
      <c r="O3">
        <f t="shared" si="0"/>
        <v>2.4565416000000004</v>
      </c>
      <c r="P3">
        <f t="shared" si="1"/>
        <v>36.079216289999998</v>
      </c>
      <c r="Q3">
        <f t="shared" si="2"/>
        <v>1.4351267499999998</v>
      </c>
      <c r="R3">
        <f t="shared" si="3"/>
        <v>3.7463290133333329</v>
      </c>
    </row>
    <row r="4" spans="1:18" x14ac:dyDescent="0.25">
      <c r="A4">
        <v>3</v>
      </c>
      <c r="B4">
        <v>3</v>
      </c>
      <c r="C4" t="s">
        <v>26</v>
      </c>
      <c r="D4" t="s">
        <v>10</v>
      </c>
      <c r="E4" t="s">
        <v>24</v>
      </c>
      <c r="F4">
        <v>10</v>
      </c>
      <c r="G4" s="4">
        <v>48226</v>
      </c>
      <c r="H4" s="4">
        <v>959779</v>
      </c>
      <c r="I4" s="4">
        <v>7872</v>
      </c>
      <c r="J4" s="4">
        <v>19756</v>
      </c>
      <c r="K4">
        <f>'Std curve values (LC)'!$A$2*G4+'Std curve values (LC)'!$A$3</f>
        <v>24.360257800000003</v>
      </c>
      <c r="L4">
        <f>'Std curve values (LC)'!$B$2*H4+'Std curve values (LC)'!$B$3</f>
        <v>367.56974930000001</v>
      </c>
      <c r="M4">
        <f>'Std curve values (LC)'!$C$2*I4+'Std curve values (LC)'!$C$3</f>
        <v>10.4495851</v>
      </c>
      <c r="N4">
        <f>'Std curve values (LC)'!$D$2*J4+'Std curve values (LC)'!$D$3</f>
        <v>47.480957333333329</v>
      </c>
      <c r="O4">
        <f t="shared" si="0"/>
        <v>2.4360257800000005</v>
      </c>
      <c r="P4">
        <f t="shared" si="1"/>
        <v>36.756974929999998</v>
      </c>
      <c r="Q4">
        <f t="shared" si="2"/>
        <v>1.0449585100000001</v>
      </c>
      <c r="R4">
        <f t="shared" si="3"/>
        <v>4.7480957333333329</v>
      </c>
    </row>
    <row r="5" spans="1:18" x14ac:dyDescent="0.25">
      <c r="A5">
        <v>4</v>
      </c>
      <c r="B5">
        <v>4</v>
      </c>
      <c r="C5" t="s">
        <v>27</v>
      </c>
      <c r="D5" t="s">
        <v>10</v>
      </c>
      <c r="E5" t="s">
        <v>24</v>
      </c>
      <c r="F5">
        <v>10</v>
      </c>
      <c r="G5" s="4">
        <v>55130</v>
      </c>
      <c r="H5" s="4">
        <v>931096</v>
      </c>
      <c r="I5" s="4">
        <v>10252</v>
      </c>
      <c r="J5" s="4">
        <v>12545</v>
      </c>
      <c r="K5">
        <f>'Std curve values (LC)'!$A$2*G5+'Std curve values (LC)'!$A$3</f>
        <v>27.227489000000002</v>
      </c>
      <c r="L5">
        <f>'Std curve values (LC)'!$B$2*H5+'Std curve values (LC)'!$B$3</f>
        <v>356.76486320000004</v>
      </c>
      <c r="M5">
        <f>'Std curve values (LC)'!$C$2*I5+'Std curve values (LC)'!$C$3</f>
        <v>13.151361099999999</v>
      </c>
      <c r="N5">
        <f>'Std curve values (LC)'!$D$2*J5+'Std curve values (LC)'!$D$3</f>
        <v>30.182729799999997</v>
      </c>
      <c r="O5">
        <f t="shared" si="0"/>
        <v>2.7227489</v>
      </c>
      <c r="P5">
        <f t="shared" si="1"/>
        <v>35.676486320000002</v>
      </c>
      <c r="Q5">
        <f t="shared" si="2"/>
        <v>1.3151361099999999</v>
      </c>
      <c r="R5">
        <f t="shared" si="3"/>
        <v>3.0182729799999999</v>
      </c>
    </row>
    <row r="6" spans="1:18" x14ac:dyDescent="0.25">
      <c r="A6">
        <v>5</v>
      </c>
      <c r="B6">
        <v>5</v>
      </c>
      <c r="C6" t="s">
        <v>28</v>
      </c>
      <c r="D6" t="s">
        <v>10</v>
      </c>
      <c r="E6" t="s">
        <v>24</v>
      </c>
      <c r="F6">
        <v>10</v>
      </c>
      <c r="G6" s="4">
        <v>63194</v>
      </c>
      <c r="H6" s="4">
        <v>982331</v>
      </c>
      <c r="I6" s="4">
        <v>12152</v>
      </c>
      <c r="J6" s="4">
        <v>10427</v>
      </c>
      <c r="K6">
        <f>'Std curve values (LC)'!$A$2*G6+'Std curve values (LC)'!$A$3</f>
        <v>30.576468200000001</v>
      </c>
      <c r="L6">
        <f>'Std curve values (LC)'!$B$2*H6+'Std curve values (LC)'!$B$3</f>
        <v>376.06508769999999</v>
      </c>
      <c r="M6">
        <f>'Std curve values (LC)'!$C$2*I6+'Std curve values (LC)'!$C$3</f>
        <v>15.308241099999998</v>
      </c>
      <c r="N6">
        <f>'Std curve values (LC)'!$D$2*J6+'Std curve values (LC)'!$D$3</f>
        <v>25.101930199999995</v>
      </c>
      <c r="O6">
        <f t="shared" si="0"/>
        <v>3.05764682</v>
      </c>
      <c r="P6">
        <f t="shared" si="1"/>
        <v>37.606508769999998</v>
      </c>
      <c r="Q6">
        <f t="shared" si="2"/>
        <v>1.5308241099999997</v>
      </c>
      <c r="R6">
        <f t="shared" si="3"/>
        <v>2.5101930199999996</v>
      </c>
    </row>
    <row r="7" spans="1:18" x14ac:dyDescent="0.25">
      <c r="A7">
        <v>6</v>
      </c>
      <c r="B7">
        <v>6</v>
      </c>
      <c r="C7" t="s">
        <v>29</v>
      </c>
      <c r="D7" t="s">
        <v>10</v>
      </c>
      <c r="E7" t="s">
        <v>24</v>
      </c>
      <c r="F7">
        <v>10</v>
      </c>
      <c r="G7" s="4">
        <v>59189</v>
      </c>
      <c r="H7" s="4">
        <v>944637</v>
      </c>
      <c r="I7" s="4">
        <v>13632</v>
      </c>
      <c r="J7" s="4">
        <v>13114</v>
      </c>
      <c r="K7">
        <f>'Std curve values (LC)'!$A$2*G7+'Std curve values (LC)'!$A$3</f>
        <v>28.913191700000002</v>
      </c>
      <c r="L7">
        <f>'Std curve values (LC)'!$B$2*H7+'Std curve values (LC)'!$B$3</f>
        <v>361.86575790000001</v>
      </c>
      <c r="M7">
        <f>'Std curve values (LC)'!$C$2*I7+'Std curve values (LC)'!$C$3</f>
        <v>16.988337099999999</v>
      </c>
      <c r="N7">
        <f>'Std curve values (LC)'!$D$2*J7+'Std curve values (LC)'!$D$3</f>
        <v>31.547684933333329</v>
      </c>
      <c r="O7">
        <f t="shared" si="0"/>
        <v>2.89131917</v>
      </c>
      <c r="P7">
        <f t="shared" si="1"/>
        <v>36.186575789999999</v>
      </c>
      <c r="Q7">
        <f t="shared" si="2"/>
        <v>1.6988337099999999</v>
      </c>
      <c r="R7">
        <f t="shared" si="3"/>
        <v>3.1547684933333331</v>
      </c>
    </row>
    <row r="8" spans="1:18" x14ac:dyDescent="0.25">
      <c r="A8">
        <v>7</v>
      </c>
      <c r="B8">
        <v>7</v>
      </c>
      <c r="C8" t="s">
        <v>30</v>
      </c>
      <c r="D8" t="s">
        <v>10</v>
      </c>
      <c r="E8" t="s">
        <v>24</v>
      </c>
      <c r="F8">
        <v>10</v>
      </c>
      <c r="G8" s="4">
        <v>47368</v>
      </c>
      <c r="H8" s="4">
        <v>941803</v>
      </c>
      <c r="I8" s="4">
        <v>21086</v>
      </c>
      <c r="J8" s="4">
        <v>22625</v>
      </c>
      <c r="K8">
        <f>'Std curve values (LC)'!$A$2*G8+'Std curve values (LC)'!$A$3</f>
        <v>24.003930400000002</v>
      </c>
      <c r="L8">
        <f>'Std curve values (LC)'!$B$2*H8+'Std curve values (LC)'!$B$3</f>
        <v>360.7981901</v>
      </c>
      <c r="M8">
        <f>'Std curve values (LC)'!$C$2*I8+'Std curve values (LC)'!$C$3</f>
        <v>25.450117899999995</v>
      </c>
      <c r="N8">
        <f>'Std curve values (LC)'!$D$2*J8+'Std curve values (LC)'!$D$3</f>
        <v>54.363305799999992</v>
      </c>
      <c r="O8">
        <f t="shared" si="0"/>
        <v>2.40039304</v>
      </c>
      <c r="P8">
        <f t="shared" si="1"/>
        <v>36.079819010000001</v>
      </c>
      <c r="Q8">
        <f t="shared" si="2"/>
        <v>2.5450117899999993</v>
      </c>
      <c r="R8">
        <f t="shared" si="3"/>
        <v>5.436330579999999</v>
      </c>
    </row>
    <row r="9" spans="1:18" x14ac:dyDescent="0.25">
      <c r="A9">
        <v>8</v>
      </c>
      <c r="B9">
        <v>8</v>
      </c>
      <c r="C9" t="s">
        <v>31</v>
      </c>
      <c r="D9" t="s">
        <v>10</v>
      </c>
      <c r="E9" t="s">
        <v>24</v>
      </c>
      <c r="F9">
        <v>10</v>
      </c>
      <c r="G9" s="4">
        <v>55072</v>
      </c>
      <c r="H9" s="4">
        <v>951344</v>
      </c>
      <c r="I9" s="4">
        <v>11192</v>
      </c>
      <c r="J9" s="4">
        <v>13126</v>
      </c>
      <c r="K9">
        <f>'Std curve values (LC)'!$A$2*G9+'Std curve values (LC)'!$A$3</f>
        <v>27.203401600000003</v>
      </c>
      <c r="L9">
        <f>'Std curve values (LC)'!$B$2*H9+'Std curve values (LC)'!$B$3</f>
        <v>364.39228480000003</v>
      </c>
      <c r="M9">
        <f>'Std curve values (LC)'!$C$2*I9+'Std curve values (LC)'!$C$3</f>
        <v>14.218449099999999</v>
      </c>
      <c r="N9">
        <f>'Std curve values (LC)'!$D$2*J9+'Std curve values (LC)'!$D$3</f>
        <v>31.576471333333327</v>
      </c>
      <c r="O9">
        <f t="shared" si="0"/>
        <v>2.7203401600000001</v>
      </c>
      <c r="P9">
        <f t="shared" si="1"/>
        <v>36.439228480000004</v>
      </c>
      <c r="Q9">
        <f t="shared" si="2"/>
        <v>1.4218449099999999</v>
      </c>
      <c r="R9">
        <f t="shared" si="3"/>
        <v>3.1576471333333327</v>
      </c>
    </row>
    <row r="10" spans="1:18" x14ac:dyDescent="0.25">
      <c r="A10">
        <v>9</v>
      </c>
      <c r="B10">
        <v>9</v>
      </c>
      <c r="C10" t="s">
        <v>32</v>
      </c>
      <c r="D10" t="s">
        <v>10</v>
      </c>
      <c r="E10" t="s">
        <v>24</v>
      </c>
      <c r="F10">
        <v>10</v>
      </c>
      <c r="G10" s="4">
        <v>54272</v>
      </c>
      <c r="H10" s="4">
        <v>939704</v>
      </c>
      <c r="I10" s="4">
        <v>6972</v>
      </c>
      <c r="J10" s="4">
        <v>13967</v>
      </c>
      <c r="K10">
        <f>'Std curve values (LC)'!$A$2*G10+'Std curve values (LC)'!$A$3</f>
        <v>26.871161600000001</v>
      </c>
      <c r="L10">
        <f>'Std curve values (LC)'!$B$2*H10+'Std curve values (LC)'!$B$3</f>
        <v>360.00749680000001</v>
      </c>
      <c r="M10">
        <f>'Std curve values (LC)'!$C$2*I10+'Std curve values (LC)'!$C$3</f>
        <v>9.4279050999999985</v>
      </c>
      <c r="N10">
        <f>'Std curve values (LC)'!$D$2*J10+'Std curve values (LC)'!$D$3</f>
        <v>33.593918199999997</v>
      </c>
      <c r="O10">
        <f t="shared" si="0"/>
        <v>2.68711616</v>
      </c>
      <c r="P10">
        <f t="shared" si="1"/>
        <v>36.000749679999998</v>
      </c>
      <c r="Q10">
        <f t="shared" si="2"/>
        <v>0.9427905099999998</v>
      </c>
      <c r="R10">
        <f t="shared" si="3"/>
        <v>3.3593918199999999</v>
      </c>
    </row>
    <row r="11" spans="1:18" x14ac:dyDescent="0.25">
      <c r="A11">
        <v>10</v>
      </c>
      <c r="B11">
        <v>10</v>
      </c>
      <c r="C11" t="s">
        <v>33</v>
      </c>
      <c r="D11" t="s">
        <v>10</v>
      </c>
      <c r="E11" t="s">
        <v>24</v>
      </c>
      <c r="F11">
        <v>10</v>
      </c>
      <c r="G11" s="4">
        <v>63690</v>
      </c>
      <c r="H11" s="4">
        <v>956840</v>
      </c>
      <c r="I11" s="4">
        <v>8918</v>
      </c>
      <c r="J11" s="4">
        <v>7933</v>
      </c>
      <c r="K11">
        <f>'Std curve values (LC)'!$A$2*G11+'Std curve values (LC)'!$A$3</f>
        <v>30.782457000000001</v>
      </c>
      <c r="L11">
        <f>'Std curve values (LC)'!$B$2*H11+'Std curve values (LC)'!$B$3</f>
        <v>366.462628</v>
      </c>
      <c r="M11">
        <f>'Std curve values (LC)'!$C$2*I11+'Std curve values (LC)'!$C$3</f>
        <v>11.637004299999999</v>
      </c>
      <c r="N11">
        <f>'Std curve values (LC)'!$D$2*J11+'Std curve values (LC)'!$D$3</f>
        <v>19.11915673333333</v>
      </c>
      <c r="O11">
        <f t="shared" si="0"/>
        <v>3.0782457000000001</v>
      </c>
      <c r="P11">
        <f t="shared" si="1"/>
        <v>36.646262800000002</v>
      </c>
      <c r="Q11">
        <f t="shared" si="2"/>
        <v>1.16370043</v>
      </c>
      <c r="R11">
        <f t="shared" si="3"/>
        <v>1.9119156733333331</v>
      </c>
    </row>
    <row r="12" spans="1:18" x14ac:dyDescent="0.25">
      <c r="A12">
        <v>11</v>
      </c>
      <c r="B12">
        <v>11</v>
      </c>
      <c r="C12" t="s">
        <v>34</v>
      </c>
      <c r="D12" t="s">
        <v>10</v>
      </c>
      <c r="E12" t="s">
        <v>24</v>
      </c>
      <c r="F12">
        <v>10</v>
      </c>
      <c r="G12" s="4">
        <v>56907</v>
      </c>
      <c r="H12" s="4">
        <v>924585</v>
      </c>
      <c r="I12" s="4">
        <v>4993</v>
      </c>
      <c r="J12" s="4">
        <v>7730</v>
      </c>
      <c r="K12">
        <f>'Std curve values (LC)'!$A$2*G12+'Std curve values (LC)'!$A$3</f>
        <v>27.965477100000001</v>
      </c>
      <c r="L12">
        <f>'Std curve values (LC)'!$B$2*H12+'Std curve values (LC)'!$B$3</f>
        <v>354.31216950000004</v>
      </c>
      <c r="M12">
        <f>'Std curve values (LC)'!$C$2*I12+'Std curve values (LC)'!$C$3</f>
        <v>7.1813442999999992</v>
      </c>
      <c r="N12">
        <f>'Std curve values (LC)'!$D$2*J12+'Std curve values (LC)'!$D$3</f>
        <v>18.632186799999996</v>
      </c>
      <c r="O12">
        <f t="shared" si="0"/>
        <v>2.79654771</v>
      </c>
      <c r="P12">
        <f t="shared" si="1"/>
        <v>35.431216950000007</v>
      </c>
      <c r="Q12">
        <f t="shared" si="2"/>
        <v>0.71813442999999988</v>
      </c>
      <c r="R12">
        <f t="shared" si="3"/>
        <v>1.8632186799999997</v>
      </c>
    </row>
    <row r="13" spans="1:18" x14ac:dyDescent="0.25">
      <c r="A13">
        <v>12</v>
      </c>
      <c r="B13">
        <v>12</v>
      </c>
      <c r="C13" t="s">
        <v>35</v>
      </c>
      <c r="D13" t="s">
        <v>10</v>
      </c>
      <c r="E13" t="s">
        <v>24</v>
      </c>
      <c r="F13">
        <v>10</v>
      </c>
      <c r="G13" s="4">
        <v>63247</v>
      </c>
      <c r="H13" s="4">
        <v>969817</v>
      </c>
      <c r="I13" s="4">
        <v>15897</v>
      </c>
      <c r="J13" s="4">
        <v>12412</v>
      </c>
      <c r="K13">
        <f>'Std curve values (LC)'!$A$2*G13+'Std curve values (LC)'!$A$3</f>
        <v>30.598479100000002</v>
      </c>
      <c r="L13">
        <f>'Std curve values (LC)'!$B$2*H13+'Std curve values (LC)'!$B$3</f>
        <v>371.35106389999999</v>
      </c>
      <c r="M13">
        <f>'Std curve values (LC)'!$C$2*I13+'Std curve values (LC)'!$C$3</f>
        <v>19.559565099999997</v>
      </c>
      <c r="N13">
        <f>'Std curve values (LC)'!$D$2*J13+'Std curve values (LC)'!$D$3</f>
        <v>29.86368053333333</v>
      </c>
      <c r="O13">
        <f t="shared" si="0"/>
        <v>3.0598479100000002</v>
      </c>
      <c r="P13">
        <f t="shared" si="1"/>
        <v>37.135106389999997</v>
      </c>
      <c r="Q13">
        <f t="shared" si="2"/>
        <v>1.9559565099999996</v>
      </c>
      <c r="R13">
        <f t="shared" si="3"/>
        <v>2.986368053333333</v>
      </c>
    </row>
    <row r="14" spans="1:18" x14ac:dyDescent="0.25">
      <c r="A14">
        <v>13</v>
      </c>
      <c r="B14">
        <v>13</v>
      </c>
      <c r="C14" t="s">
        <v>36</v>
      </c>
      <c r="D14" t="s">
        <v>10</v>
      </c>
      <c r="E14" t="s">
        <v>24</v>
      </c>
      <c r="F14">
        <v>10</v>
      </c>
      <c r="G14" s="3">
        <v>67575</v>
      </c>
      <c r="H14" s="3">
        <v>968707</v>
      </c>
      <c r="I14" s="3">
        <v>16344</v>
      </c>
      <c r="J14" s="3">
        <v>11848</v>
      </c>
      <c r="K14">
        <f>'Std curve values (LC)'!$A$2*G14+'Std curve values (LC)'!$A$3</f>
        <v>32.395897499999997</v>
      </c>
      <c r="L14">
        <f>'Std curve values (LC)'!$B$2*H14+'Std curve values (LC)'!$B$3</f>
        <v>370.93292689999998</v>
      </c>
      <c r="M14">
        <f>'Std curve values (LC)'!$C$2*I14+'Std curve values (LC)'!$C$3</f>
        <v>20.066999499999998</v>
      </c>
      <c r="N14">
        <f>'Std curve values (LC)'!$D$2*J14+'Std curve values (LC)'!$D$3</f>
        <v>28.510719733333328</v>
      </c>
      <c r="O14">
        <f t="shared" si="0"/>
        <v>3.2395897499999995</v>
      </c>
      <c r="P14">
        <f t="shared" si="1"/>
        <v>37.093292689999998</v>
      </c>
      <c r="Q14">
        <f t="shared" si="2"/>
        <v>2.0066999499999998</v>
      </c>
      <c r="R14">
        <f t="shared" si="3"/>
        <v>2.8510719733333327</v>
      </c>
    </row>
    <row r="15" spans="1:18" x14ac:dyDescent="0.25">
      <c r="A15">
        <v>14</v>
      </c>
      <c r="B15">
        <v>14</v>
      </c>
      <c r="C15" t="s">
        <v>37</v>
      </c>
      <c r="D15" t="s">
        <v>10</v>
      </c>
      <c r="E15" t="s">
        <v>24</v>
      </c>
      <c r="F15">
        <v>10</v>
      </c>
      <c r="G15" s="3">
        <v>67688</v>
      </c>
      <c r="H15" s="3">
        <v>978439</v>
      </c>
      <c r="I15" s="3">
        <v>16149</v>
      </c>
      <c r="J15" s="3">
        <v>9830</v>
      </c>
      <c r="K15">
        <f>'Std curve values (LC)'!$A$2*G15+'Std curve values (LC)'!$A$3</f>
        <v>32.442826400000001</v>
      </c>
      <c r="L15">
        <f>'Std curve values (LC)'!$B$2*H15+'Std curve values (LC)'!$B$3</f>
        <v>374.59897130000002</v>
      </c>
      <c r="M15">
        <f>'Std curve values (LC)'!$C$2*I15+'Std curve values (LC)'!$C$3</f>
        <v>19.845635499999997</v>
      </c>
      <c r="N15">
        <f>'Std curve values (LC)'!$D$2*J15+'Std curve values (LC)'!$D$3</f>
        <v>23.669806799999996</v>
      </c>
      <c r="O15">
        <f t="shared" si="0"/>
        <v>3.2442826400000002</v>
      </c>
      <c r="P15">
        <f t="shared" si="1"/>
        <v>37.459897130000002</v>
      </c>
      <c r="Q15">
        <f t="shared" si="2"/>
        <v>1.9845635499999996</v>
      </c>
      <c r="R15">
        <f t="shared" si="3"/>
        <v>2.3669806799999997</v>
      </c>
    </row>
    <row r="16" spans="1:18" x14ac:dyDescent="0.25">
      <c r="A16">
        <v>15</v>
      </c>
      <c r="B16">
        <v>15</v>
      </c>
      <c r="C16" t="s">
        <v>38</v>
      </c>
      <c r="D16" t="s">
        <v>10</v>
      </c>
      <c r="E16" t="s">
        <v>24</v>
      </c>
      <c r="F16">
        <v>10</v>
      </c>
      <c r="G16" s="3">
        <v>67842</v>
      </c>
      <c r="H16" s="3">
        <v>973905</v>
      </c>
      <c r="I16" s="3">
        <v>23201</v>
      </c>
      <c r="J16" s="3">
        <v>16342</v>
      </c>
      <c r="K16">
        <f>'Std curve values (LC)'!$A$2*G16+'Std curve values (LC)'!$A$3</f>
        <v>32.506782600000001</v>
      </c>
      <c r="L16">
        <f>'Std curve values (LC)'!$B$2*H16+'Std curve values (LC)'!$B$3</f>
        <v>372.89101349999999</v>
      </c>
      <c r="M16">
        <f>'Std curve values (LC)'!$C$2*I16+'Std curve values (LC)'!$C$3</f>
        <v>27.851065899999995</v>
      </c>
      <c r="N16">
        <f>'Std curve values (LC)'!$D$2*J16+'Std curve values (LC)'!$D$3</f>
        <v>39.291226533333329</v>
      </c>
      <c r="O16">
        <f t="shared" si="0"/>
        <v>3.2506782599999999</v>
      </c>
      <c r="P16">
        <f t="shared" si="1"/>
        <v>37.289101349999996</v>
      </c>
      <c r="Q16">
        <f t="shared" si="2"/>
        <v>2.7851065899999994</v>
      </c>
      <c r="R16">
        <f t="shared" si="3"/>
        <v>3.9291226533333328</v>
      </c>
    </row>
    <row r="17" spans="1:18" x14ac:dyDescent="0.25">
      <c r="A17">
        <v>16</v>
      </c>
      <c r="B17">
        <v>16</v>
      </c>
      <c r="C17" t="s">
        <v>39</v>
      </c>
      <c r="D17" t="s">
        <v>10</v>
      </c>
      <c r="E17" t="s">
        <v>24</v>
      </c>
      <c r="F17">
        <v>10</v>
      </c>
      <c r="G17" s="3">
        <v>66778</v>
      </c>
      <c r="H17" s="3">
        <v>968204</v>
      </c>
      <c r="I17" s="3">
        <v>15727</v>
      </c>
      <c r="J17" s="3">
        <v>11319</v>
      </c>
      <c r="K17">
        <f>'Std curve values (LC)'!$A$2*G17+'Std curve values (LC)'!$A$3</f>
        <v>32.064903399999999</v>
      </c>
      <c r="L17">
        <f>'Std curve values (LC)'!$B$2*H17+'Std curve values (LC)'!$B$3</f>
        <v>370.74344680000002</v>
      </c>
      <c r="M17">
        <f>'Std curve values (LC)'!$C$2*I17+'Std curve values (LC)'!$C$3</f>
        <v>19.366581099999998</v>
      </c>
      <c r="N17">
        <f>'Std curve values (LC)'!$D$2*J17+'Std curve values (LC)'!$D$3</f>
        <v>27.241719266666664</v>
      </c>
      <c r="O17">
        <f t="shared" si="0"/>
        <v>3.2064903399999998</v>
      </c>
      <c r="P17">
        <f t="shared" si="1"/>
        <v>37.074344680000003</v>
      </c>
      <c r="Q17">
        <f t="shared" si="2"/>
        <v>1.9366581099999998</v>
      </c>
      <c r="R17">
        <f t="shared" si="3"/>
        <v>2.7241719266666662</v>
      </c>
    </row>
    <row r="18" spans="1:18" x14ac:dyDescent="0.25">
      <c r="A18">
        <v>17</v>
      </c>
      <c r="B18">
        <v>17</v>
      </c>
      <c r="C18" t="s">
        <v>40</v>
      </c>
      <c r="D18" t="s">
        <v>10</v>
      </c>
      <c r="E18" t="s">
        <v>24</v>
      </c>
      <c r="F18">
        <v>10</v>
      </c>
      <c r="G18" s="4">
        <v>39217</v>
      </c>
      <c r="H18" s="4">
        <v>935693</v>
      </c>
      <c r="I18" s="4">
        <v>11880</v>
      </c>
      <c r="J18" s="4">
        <v>16024</v>
      </c>
      <c r="K18">
        <f>'Std curve values (LC)'!$A$2*G18+'Std curve values (LC)'!$A$3</f>
        <v>20.618820100000001</v>
      </c>
      <c r="L18">
        <f>'Std curve values (LC)'!$B$2*H18+'Std curve values (LC)'!$B$3</f>
        <v>358.49655310000003</v>
      </c>
      <c r="M18">
        <f>'Std curve values (LC)'!$C$2*I18+'Std curve values (LC)'!$C$3</f>
        <v>14.999466699999999</v>
      </c>
      <c r="N18">
        <f>'Std curve values (LC)'!$D$2*J18+'Std curve values (LC)'!$D$3</f>
        <v>38.52838693333333</v>
      </c>
      <c r="O18">
        <f t="shared" si="0"/>
        <v>2.0618820100000002</v>
      </c>
      <c r="P18">
        <f t="shared" si="1"/>
        <v>35.849655310000003</v>
      </c>
      <c r="Q18">
        <f t="shared" si="2"/>
        <v>1.4999466699999999</v>
      </c>
      <c r="R18">
        <f t="shared" si="3"/>
        <v>3.8528386933333332</v>
      </c>
    </row>
    <row r="19" spans="1:18" x14ac:dyDescent="0.25">
      <c r="A19">
        <v>18</v>
      </c>
      <c r="B19">
        <v>18</v>
      </c>
      <c r="C19" t="s">
        <v>41</v>
      </c>
      <c r="D19" t="s">
        <v>10</v>
      </c>
      <c r="E19" t="s">
        <v>24</v>
      </c>
      <c r="F19">
        <v>10</v>
      </c>
      <c r="G19" s="4">
        <v>55252</v>
      </c>
      <c r="H19" s="4">
        <v>907835</v>
      </c>
      <c r="I19" s="4">
        <v>24330</v>
      </c>
      <c r="J19" s="4">
        <v>21547</v>
      </c>
      <c r="K19">
        <f>'Std curve values (LC)'!$A$2*G19+'Std curve values (LC)'!$A$3</f>
        <v>27.278155600000002</v>
      </c>
      <c r="L19">
        <f>'Std curve values (LC)'!$B$2*H19+'Std curve values (LC)'!$B$3</f>
        <v>348.00244450000002</v>
      </c>
      <c r="M19">
        <f>'Std curve values (LC)'!$C$2*I19+'Std curve values (LC)'!$C$3</f>
        <v>29.132706699999996</v>
      </c>
      <c r="N19">
        <f>'Std curve values (LC)'!$D$2*J19+'Std curve values (LC)'!$D$3</f>
        <v>51.777327533333327</v>
      </c>
      <c r="O19">
        <f t="shared" si="0"/>
        <v>2.7278155600000003</v>
      </c>
      <c r="P19">
        <f t="shared" si="1"/>
        <v>34.800244450000001</v>
      </c>
      <c r="Q19">
        <f t="shared" si="2"/>
        <v>2.9132706699999997</v>
      </c>
      <c r="R19">
        <f t="shared" si="3"/>
        <v>5.1777327533333324</v>
      </c>
    </row>
    <row r="20" spans="1:18" x14ac:dyDescent="0.25">
      <c r="A20">
        <v>19</v>
      </c>
      <c r="B20">
        <v>19</v>
      </c>
      <c r="C20" t="s">
        <v>42</v>
      </c>
      <c r="D20" t="s">
        <v>10</v>
      </c>
      <c r="E20" t="s">
        <v>24</v>
      </c>
      <c r="F20">
        <v>10</v>
      </c>
      <c r="G20" s="4">
        <v>52786</v>
      </c>
      <c r="H20" s="4">
        <v>922152</v>
      </c>
      <c r="I20" s="4">
        <v>31784</v>
      </c>
      <c r="J20" s="4">
        <v>21356</v>
      </c>
      <c r="K20">
        <f>'Std curve values (LC)'!$A$2*G20+'Std curve values (LC)'!$A$3</f>
        <v>26.254025800000001</v>
      </c>
      <c r="L20">
        <f>'Std curve values (LC)'!$B$2*H20+'Std curve values (LC)'!$B$3</f>
        <v>353.3956584</v>
      </c>
      <c r="M20">
        <f>'Std curve values (LC)'!$C$2*I20+'Std curve values (LC)'!$C$3</f>
        <v>37.594487499999993</v>
      </c>
      <c r="N20">
        <f>'Std curve values (LC)'!$D$2*J20+'Std curve values (LC)'!$D$3</f>
        <v>51.319143999999994</v>
      </c>
      <c r="O20">
        <f t="shared" si="0"/>
        <v>2.6254025800000003</v>
      </c>
      <c r="P20">
        <f t="shared" si="1"/>
        <v>35.339565839999999</v>
      </c>
      <c r="Q20">
        <f t="shared" si="2"/>
        <v>3.7594487499999993</v>
      </c>
      <c r="R20">
        <f t="shared" si="3"/>
        <v>5.1319143999999994</v>
      </c>
    </row>
    <row r="21" spans="1:18" x14ac:dyDescent="0.25">
      <c r="A21">
        <v>20</v>
      </c>
      <c r="B21">
        <v>20</v>
      </c>
      <c r="C21" t="s">
        <v>43</v>
      </c>
      <c r="D21" t="s">
        <v>10</v>
      </c>
      <c r="E21" t="s">
        <v>24</v>
      </c>
      <c r="F21">
        <v>10</v>
      </c>
      <c r="G21" s="4">
        <v>58386</v>
      </c>
      <c r="H21" s="4">
        <v>925943</v>
      </c>
      <c r="I21" s="4">
        <v>21872</v>
      </c>
      <c r="J21" s="4">
        <v>20753</v>
      </c>
      <c r="K21">
        <f>'Std curve values (LC)'!$A$2*G21+'Std curve values (LC)'!$A$3</f>
        <v>28.579705800000003</v>
      </c>
      <c r="L21">
        <f>'Std curve values (LC)'!$B$2*H21+'Std curve values (LC)'!$B$3</f>
        <v>354.82372809999998</v>
      </c>
      <c r="M21">
        <f>'Std curve values (LC)'!$C$2*I21+'Std curve values (LC)'!$C$3</f>
        <v>26.342385099999994</v>
      </c>
      <c r="N21">
        <f>'Std curve values (LC)'!$D$2*J21+'Std curve values (LC)'!$D$3</f>
        <v>49.872627399999992</v>
      </c>
      <c r="O21">
        <f t="shared" si="0"/>
        <v>2.8579705800000004</v>
      </c>
      <c r="P21">
        <f t="shared" si="1"/>
        <v>35.482372810000001</v>
      </c>
      <c r="Q21">
        <f t="shared" si="2"/>
        <v>2.6342385099999994</v>
      </c>
      <c r="R21">
        <f t="shared" si="3"/>
        <v>4.9872627399999994</v>
      </c>
    </row>
    <row r="22" spans="1:18" x14ac:dyDescent="0.25">
      <c r="A22">
        <v>21</v>
      </c>
      <c r="B22">
        <v>21</v>
      </c>
      <c r="C22" t="s">
        <v>44</v>
      </c>
      <c r="D22" t="s">
        <v>10</v>
      </c>
      <c r="E22" t="s">
        <v>24</v>
      </c>
      <c r="F22">
        <v>10</v>
      </c>
      <c r="G22" s="3">
        <v>56633</v>
      </c>
      <c r="H22" s="3">
        <v>947956</v>
      </c>
      <c r="I22" s="3">
        <v>11843</v>
      </c>
      <c r="J22" s="3">
        <v>13783</v>
      </c>
      <c r="K22">
        <f>'Std curve values (LC)'!$A$2*G22+'Std curve values (LC)'!$A$3</f>
        <v>27.851684900000002</v>
      </c>
      <c r="L22">
        <f>'Std curve values (LC)'!$B$2*H22+'Std curve values (LC)'!$B$3</f>
        <v>363.11602520000002</v>
      </c>
      <c r="M22">
        <f>'Std curve values (LC)'!$C$2*I22+'Std curve values (LC)'!$C$3</f>
        <v>14.957464299999998</v>
      </c>
      <c r="N22">
        <f>'Std curve values (LC)'!$D$2*J22+'Std curve values (LC)'!$D$3</f>
        <v>33.152526733333325</v>
      </c>
      <c r="O22">
        <f t="shared" si="0"/>
        <v>2.7851684900000002</v>
      </c>
      <c r="P22">
        <f t="shared" si="1"/>
        <v>36.311602520000001</v>
      </c>
      <c r="Q22">
        <f t="shared" si="2"/>
        <v>1.4957464299999998</v>
      </c>
      <c r="R22">
        <f t="shared" si="3"/>
        <v>3.3152526733333323</v>
      </c>
    </row>
    <row r="23" spans="1:18" x14ac:dyDescent="0.25">
      <c r="A23">
        <v>22</v>
      </c>
      <c r="B23">
        <v>22</v>
      </c>
      <c r="C23" t="s">
        <v>45</v>
      </c>
      <c r="D23" t="s">
        <v>10</v>
      </c>
      <c r="E23" t="s">
        <v>24</v>
      </c>
      <c r="F23">
        <v>10</v>
      </c>
      <c r="G23" s="3">
        <v>59397</v>
      </c>
      <c r="H23" s="3">
        <v>945214</v>
      </c>
      <c r="I23" s="3">
        <v>15893</v>
      </c>
      <c r="J23" s="3">
        <v>13282</v>
      </c>
      <c r="K23">
        <f>'Std curve values (LC)'!$A$2*G23+'Std curve values (LC)'!$A$3</f>
        <v>28.9995741</v>
      </c>
      <c r="L23">
        <f>'Std curve values (LC)'!$B$2*H23+'Std curve values (LC)'!$B$3</f>
        <v>362.08311380000004</v>
      </c>
      <c r="M23">
        <f>'Std curve values (LC)'!$C$2*I23+'Std curve values (LC)'!$C$3</f>
        <v>19.555024299999996</v>
      </c>
      <c r="N23">
        <f>'Std curve values (LC)'!$D$2*J23+'Std curve values (LC)'!$D$3</f>
        <v>31.95069453333333</v>
      </c>
      <c r="O23">
        <f t="shared" si="0"/>
        <v>2.8999574099999998</v>
      </c>
      <c r="P23">
        <f t="shared" si="1"/>
        <v>36.208311380000005</v>
      </c>
      <c r="Q23">
        <f t="shared" si="2"/>
        <v>1.9555024299999997</v>
      </c>
      <c r="R23">
        <f t="shared" si="3"/>
        <v>3.1950694533333328</v>
      </c>
    </row>
    <row r="24" spans="1:18" x14ac:dyDescent="0.25">
      <c r="A24">
        <v>23</v>
      </c>
      <c r="B24">
        <v>23</v>
      </c>
      <c r="C24" t="s">
        <v>46</v>
      </c>
      <c r="D24" t="s">
        <v>10</v>
      </c>
      <c r="E24" t="s">
        <v>24</v>
      </c>
      <c r="F24">
        <v>10</v>
      </c>
      <c r="G24" s="3">
        <v>60772</v>
      </c>
      <c r="H24" s="3">
        <v>935100</v>
      </c>
      <c r="I24" s="3">
        <v>18143</v>
      </c>
      <c r="J24" s="3">
        <v>16380</v>
      </c>
      <c r="K24">
        <f>'Std curve values (LC)'!$A$2*G24+'Std curve values (LC)'!$A$3</f>
        <v>29.570611600000003</v>
      </c>
      <c r="L24">
        <f>'Std curve values (LC)'!$B$2*H24+'Std curve values (LC)'!$B$3</f>
        <v>358.27316999999999</v>
      </c>
      <c r="M24">
        <f>'Std curve values (LC)'!$C$2*I24+'Std curve values (LC)'!$C$3</f>
        <v>22.109224299999997</v>
      </c>
      <c r="N24">
        <f>'Std curve values (LC)'!$D$2*J24+'Std curve values (LC)'!$D$3</f>
        <v>39.38238346666666</v>
      </c>
      <c r="O24">
        <f t="shared" si="0"/>
        <v>2.9570611600000003</v>
      </c>
      <c r="P24">
        <f t="shared" si="1"/>
        <v>35.827317000000001</v>
      </c>
      <c r="Q24">
        <f t="shared" si="2"/>
        <v>2.2109224299999997</v>
      </c>
      <c r="R24">
        <f t="shared" si="3"/>
        <v>3.9382383466666662</v>
      </c>
    </row>
    <row r="25" spans="1:18" x14ac:dyDescent="0.25">
      <c r="A25">
        <v>24</v>
      </c>
      <c r="B25">
        <v>24</v>
      </c>
      <c r="C25" t="s">
        <v>47</v>
      </c>
      <c r="D25" t="s">
        <v>10</v>
      </c>
      <c r="E25" t="s">
        <v>24</v>
      </c>
      <c r="F25">
        <v>10</v>
      </c>
      <c r="G25" s="3">
        <v>56135</v>
      </c>
      <c r="H25" s="3">
        <v>939519</v>
      </c>
      <c r="I25" s="3">
        <v>8126</v>
      </c>
      <c r="J25" s="3">
        <v>9406</v>
      </c>
      <c r="K25">
        <f>'Std curve values (LC)'!$A$2*G25+'Std curve values (LC)'!$A$3</f>
        <v>27.644865500000002</v>
      </c>
      <c r="L25">
        <f>'Std curve values (LC)'!$B$2*H25+'Std curve values (LC)'!$B$3</f>
        <v>359.93780730000003</v>
      </c>
      <c r="M25">
        <f>'Std curve values (LC)'!$C$2*I25+'Std curve values (LC)'!$C$3</f>
        <v>10.737925899999999</v>
      </c>
      <c r="N25">
        <f>'Std curve values (LC)'!$D$2*J25+'Std curve values (LC)'!$D$3</f>
        <v>22.652687333333329</v>
      </c>
      <c r="O25">
        <f t="shared" si="0"/>
        <v>2.76448655</v>
      </c>
      <c r="P25">
        <f t="shared" si="1"/>
        <v>35.993780730000005</v>
      </c>
      <c r="Q25">
        <f t="shared" si="2"/>
        <v>1.0737925899999998</v>
      </c>
      <c r="R25">
        <f t="shared" si="3"/>
        <v>2.265268733333333</v>
      </c>
    </row>
    <row r="26" spans="1:18" x14ac:dyDescent="0.25">
      <c r="A26">
        <v>41</v>
      </c>
      <c r="B26">
        <v>25</v>
      </c>
      <c r="C26" t="s">
        <v>48</v>
      </c>
      <c r="D26" t="s">
        <v>10</v>
      </c>
      <c r="E26" t="s">
        <v>24</v>
      </c>
      <c r="F26">
        <v>10</v>
      </c>
      <c r="G26" s="4">
        <v>62804</v>
      </c>
      <c r="H26" s="4">
        <v>958312</v>
      </c>
      <c r="I26" s="4">
        <v>8587</v>
      </c>
      <c r="J26" s="4">
        <v>7896</v>
      </c>
      <c r="K26">
        <f>'Std curve values (LC)'!$A$2*G26+'Std curve values (LC)'!$A$3</f>
        <v>30.4145012</v>
      </c>
      <c r="L26">
        <f>'Std curve values (LC)'!$B$2*H26+'Std curve values (LC)'!$B$3</f>
        <v>367.01713039999999</v>
      </c>
      <c r="M26">
        <f>'Std curve values (LC)'!$C$2*I26+'Std curve values (LC)'!$C$3</f>
        <v>11.261253099999999</v>
      </c>
      <c r="N26">
        <f>'Std curve values (LC)'!$D$2*J26+'Std curve values (LC)'!$D$3</f>
        <v>19.030398666666663</v>
      </c>
      <c r="O26">
        <f t="shared" si="0"/>
        <v>3.0414501199999999</v>
      </c>
      <c r="P26">
        <f t="shared" si="1"/>
        <v>36.701713040000001</v>
      </c>
      <c r="Q26">
        <f t="shared" si="2"/>
        <v>1.1261253099999999</v>
      </c>
      <c r="R26">
        <f t="shared" si="3"/>
        <v>1.9030398666666664</v>
      </c>
    </row>
    <row r="27" spans="1:18" x14ac:dyDescent="0.25">
      <c r="A27">
        <v>42</v>
      </c>
      <c r="B27">
        <v>26</v>
      </c>
      <c r="C27" t="s">
        <v>49</v>
      </c>
      <c r="D27" t="s">
        <v>10</v>
      </c>
      <c r="E27" t="s">
        <v>24</v>
      </c>
      <c r="F27">
        <v>10</v>
      </c>
      <c r="G27" s="4">
        <v>56757</v>
      </c>
      <c r="H27" s="4">
        <v>953767</v>
      </c>
      <c r="I27" s="4">
        <v>4472</v>
      </c>
      <c r="J27" s="4">
        <v>8314</v>
      </c>
      <c r="K27">
        <f>'Std curve values (LC)'!$A$2*G27+'Std curve values (LC)'!$A$3</f>
        <v>27.903182100000002</v>
      </c>
      <c r="L27">
        <f>'Std curve values (LC)'!$B$2*H27+'Std curve values (LC)'!$B$3</f>
        <v>365.30502890000002</v>
      </c>
      <c r="M27">
        <f>'Std curve values (LC)'!$C$2*I27+'Std curve values (LC)'!$C$3</f>
        <v>6.5899050999999993</v>
      </c>
      <c r="N27">
        <f>'Std curve values (LC)'!$D$2*J27+'Std curve values (LC)'!$D$3</f>
        <v>20.03312493333333</v>
      </c>
      <c r="O27">
        <f t="shared" si="0"/>
        <v>2.7903182100000001</v>
      </c>
      <c r="P27">
        <f t="shared" si="1"/>
        <v>36.530502890000001</v>
      </c>
      <c r="Q27">
        <f t="shared" si="2"/>
        <v>0.65899050999999997</v>
      </c>
      <c r="R27">
        <f t="shared" si="3"/>
        <v>2.0033124933333331</v>
      </c>
    </row>
    <row r="28" spans="1:18" x14ac:dyDescent="0.25">
      <c r="A28">
        <v>43</v>
      </c>
      <c r="B28">
        <v>27</v>
      </c>
      <c r="C28" t="s">
        <v>50</v>
      </c>
      <c r="D28" t="s">
        <v>10</v>
      </c>
      <c r="E28" t="s">
        <v>24</v>
      </c>
      <c r="F28">
        <v>10</v>
      </c>
      <c r="G28" s="4">
        <v>62488</v>
      </c>
      <c r="H28" s="4">
        <v>957014</v>
      </c>
      <c r="I28" s="4">
        <v>8926</v>
      </c>
      <c r="J28" s="4">
        <v>7722</v>
      </c>
      <c r="K28">
        <f>'Std curve values (LC)'!$A$2*G28+'Std curve values (LC)'!$A$3</f>
        <v>30.283266400000002</v>
      </c>
      <c r="L28">
        <f>'Std curve values (LC)'!$B$2*H28+'Std curve values (LC)'!$B$3</f>
        <v>366.52817379999999</v>
      </c>
      <c r="M28">
        <f>'Std curve values (LC)'!$C$2*I28+'Std curve values (LC)'!$C$3</f>
        <v>11.646085899999999</v>
      </c>
      <c r="N28">
        <f>'Std curve values (LC)'!$D$2*J28+'Std curve values (LC)'!$D$3</f>
        <v>18.612995866666665</v>
      </c>
      <c r="O28">
        <f t="shared" si="0"/>
        <v>3.0283266400000004</v>
      </c>
      <c r="P28">
        <f t="shared" si="1"/>
        <v>36.652817380000002</v>
      </c>
      <c r="Q28">
        <f t="shared" si="2"/>
        <v>1.1646085899999998</v>
      </c>
      <c r="R28">
        <f t="shared" si="3"/>
        <v>1.8612995866666666</v>
      </c>
    </row>
    <row r="29" spans="1:18" x14ac:dyDescent="0.25">
      <c r="A29">
        <v>44</v>
      </c>
      <c r="B29">
        <v>28</v>
      </c>
      <c r="C29" t="s">
        <v>51</v>
      </c>
      <c r="D29" t="s">
        <v>10</v>
      </c>
      <c r="E29" t="s">
        <v>24</v>
      </c>
      <c r="F29">
        <v>10</v>
      </c>
      <c r="G29" s="4">
        <v>64236</v>
      </c>
      <c r="H29" s="4">
        <v>992746</v>
      </c>
      <c r="I29" s="4">
        <v>9229</v>
      </c>
      <c r="J29" s="4">
        <v>8064</v>
      </c>
      <c r="K29">
        <f>'Std curve values (LC)'!$A$2*G29+'Std curve values (LC)'!$A$3</f>
        <v>31.009210800000002</v>
      </c>
      <c r="L29">
        <f>'Std curve values (LC)'!$B$2*H29+'Std curve values (LC)'!$B$3</f>
        <v>379.98841820000001</v>
      </c>
      <c r="M29">
        <f>'Std curve values (LC)'!$C$2*I29+'Std curve values (LC)'!$C$3</f>
        <v>11.9900515</v>
      </c>
      <c r="N29">
        <f>'Std curve values (LC)'!$D$2*J29+'Std curve values (LC)'!$D$3</f>
        <v>19.433408266666664</v>
      </c>
      <c r="O29">
        <f t="shared" si="0"/>
        <v>3.10092108</v>
      </c>
      <c r="P29">
        <f t="shared" si="1"/>
        <v>37.998841820000003</v>
      </c>
      <c r="Q29">
        <f t="shared" si="2"/>
        <v>1.1990051500000001</v>
      </c>
      <c r="R29">
        <f t="shared" si="3"/>
        <v>1.9433408266666663</v>
      </c>
    </row>
    <row r="30" spans="1:18" x14ac:dyDescent="0.25">
      <c r="A30">
        <v>101</v>
      </c>
      <c r="B30">
        <v>1</v>
      </c>
      <c r="C30" t="s">
        <v>23</v>
      </c>
      <c r="D30" t="s">
        <v>10</v>
      </c>
      <c r="E30" t="s">
        <v>52</v>
      </c>
      <c r="F30">
        <v>10</v>
      </c>
      <c r="G30" s="12">
        <v>774324</v>
      </c>
      <c r="H30" s="12">
        <v>886967</v>
      </c>
      <c r="I30" s="12">
        <v>17209</v>
      </c>
      <c r="J30" s="12">
        <v>18734</v>
      </c>
      <c r="K30">
        <f>'Std curve values (LC)'!$A$2*G30+'Std curve values (LC)'!$A$3</f>
        <v>325.90875720000003</v>
      </c>
      <c r="L30">
        <f>'Std curve values (LC)'!$B$2*H30+'Std curve values (LC)'!$B$3</f>
        <v>340.14146890000001</v>
      </c>
      <c r="M30">
        <f>'Std curve values (LC)'!$C$2*I30+'Std curve values (LC)'!$C$3</f>
        <v>21.048947499999997</v>
      </c>
      <c r="N30">
        <f>'Std curve values (LC)'!$D$2*J30+'Std curve values (LC)'!$D$3</f>
        <v>45.02931559999999</v>
      </c>
      <c r="O30">
        <f t="shared" si="0"/>
        <v>32.59087572</v>
      </c>
      <c r="P30">
        <f t="shared" si="1"/>
        <v>34.014146889999999</v>
      </c>
      <c r="Q30">
        <f t="shared" si="2"/>
        <v>2.1048947499999997</v>
      </c>
      <c r="R30">
        <f t="shared" si="3"/>
        <v>4.5029315599999986</v>
      </c>
    </row>
    <row r="31" spans="1:18" x14ac:dyDescent="0.25">
      <c r="A31">
        <v>102</v>
      </c>
      <c r="B31">
        <v>2</v>
      </c>
      <c r="C31" t="s">
        <v>25</v>
      </c>
      <c r="D31" t="s">
        <v>10</v>
      </c>
      <c r="E31" t="s">
        <v>52</v>
      </c>
      <c r="F31">
        <v>10</v>
      </c>
      <c r="G31" s="12">
        <v>882542</v>
      </c>
      <c r="H31" s="12">
        <v>988531</v>
      </c>
      <c r="I31" s="12">
        <v>19723</v>
      </c>
      <c r="J31" s="12">
        <v>17183</v>
      </c>
      <c r="K31">
        <f>'Std curve values (LC)'!$A$2*G31+'Std curve values (LC)'!$A$3</f>
        <v>370.85169259999998</v>
      </c>
      <c r="L31">
        <f>'Std curve values (LC)'!$B$2*H31+'Std curve values (LC)'!$B$3</f>
        <v>378.40062770000003</v>
      </c>
      <c r="M31">
        <f>'Std curve values (LC)'!$C$2*I31+'Std curve values (LC)'!$C$3</f>
        <v>23.902840299999994</v>
      </c>
      <c r="N31">
        <f>'Std curve values (LC)'!$D$2*J31+'Std curve values (LC)'!$D$3</f>
        <v>41.308673399999996</v>
      </c>
      <c r="O31">
        <f t="shared" si="0"/>
        <v>37.085169260000001</v>
      </c>
      <c r="P31">
        <f t="shared" si="1"/>
        <v>37.840062770000003</v>
      </c>
      <c r="Q31">
        <f t="shared" si="2"/>
        <v>2.3902840299999992</v>
      </c>
      <c r="R31">
        <f t="shared" si="3"/>
        <v>4.13086734</v>
      </c>
    </row>
    <row r="32" spans="1:18" x14ac:dyDescent="0.25">
      <c r="A32">
        <v>103</v>
      </c>
      <c r="B32">
        <v>3</v>
      </c>
      <c r="C32" t="s">
        <v>26</v>
      </c>
      <c r="D32" t="s">
        <v>10</v>
      </c>
      <c r="E32" t="s">
        <v>52</v>
      </c>
      <c r="F32">
        <v>10</v>
      </c>
      <c r="G32" s="12">
        <v>891916</v>
      </c>
      <c r="H32" s="12">
        <v>961208</v>
      </c>
      <c r="I32" s="12">
        <v>9134</v>
      </c>
      <c r="J32" s="12">
        <v>8323</v>
      </c>
      <c r="K32">
        <f>'Std curve values (LC)'!$A$2*G32+'Std curve values (LC)'!$A$3</f>
        <v>374.7447148</v>
      </c>
      <c r="L32">
        <f>'Std curve values (LC)'!$B$2*H32+'Std curve values (LC)'!$B$3</f>
        <v>368.10805360000001</v>
      </c>
      <c r="M32">
        <f>'Std curve values (LC)'!$C$2*I32+'Std curve values (LC)'!$C$3</f>
        <v>11.8822075</v>
      </c>
      <c r="N32">
        <f>'Std curve values (LC)'!$D$2*J32+'Std curve values (LC)'!$D$3</f>
        <v>20.054714733333331</v>
      </c>
      <c r="O32">
        <f t="shared" si="0"/>
        <v>37.474471479999998</v>
      </c>
      <c r="P32">
        <f t="shared" si="1"/>
        <v>36.810805360000003</v>
      </c>
      <c r="Q32">
        <f t="shared" si="2"/>
        <v>1.1882207499999999</v>
      </c>
      <c r="R32">
        <f t="shared" si="3"/>
        <v>2.005471473333333</v>
      </c>
    </row>
    <row r="33" spans="1:18" x14ac:dyDescent="0.25">
      <c r="A33">
        <v>104</v>
      </c>
      <c r="B33">
        <v>4</v>
      </c>
      <c r="C33" t="s">
        <v>27</v>
      </c>
      <c r="D33" t="s">
        <v>10</v>
      </c>
      <c r="E33" t="s">
        <v>52</v>
      </c>
      <c r="F33">
        <v>10</v>
      </c>
      <c r="G33" s="12">
        <v>915454</v>
      </c>
      <c r="H33" s="12">
        <v>994210</v>
      </c>
      <c r="I33" s="12">
        <v>13837</v>
      </c>
      <c r="J33" s="12">
        <v>12309</v>
      </c>
      <c r="K33">
        <f>'Std curve values (LC)'!$A$2*G33+'Std curve values (LC)'!$A$3</f>
        <v>384.52004620000002</v>
      </c>
      <c r="L33">
        <f>'Std curve values (LC)'!$B$2*H33+'Std curve values (LC)'!$B$3</f>
        <v>380.53990700000003</v>
      </c>
      <c r="M33">
        <f>'Std curve values (LC)'!$C$2*I33+'Std curve values (LC)'!$C$3</f>
        <v>17.221053099999999</v>
      </c>
      <c r="N33">
        <f>'Std curve values (LC)'!$D$2*J33+'Std curve values (LC)'!$D$3</f>
        <v>29.616597266666663</v>
      </c>
      <c r="O33">
        <f t="shared" si="0"/>
        <v>38.452004620000004</v>
      </c>
      <c r="P33">
        <f t="shared" si="1"/>
        <v>38.0539907</v>
      </c>
      <c r="Q33">
        <f t="shared" si="2"/>
        <v>1.7221053099999999</v>
      </c>
      <c r="R33">
        <f t="shared" si="3"/>
        <v>2.9616597266666664</v>
      </c>
    </row>
    <row r="34" spans="1:18" x14ac:dyDescent="0.25">
      <c r="A34">
        <v>105</v>
      </c>
      <c r="B34">
        <v>5</v>
      </c>
      <c r="C34" t="s">
        <v>28</v>
      </c>
      <c r="D34" t="s">
        <v>10</v>
      </c>
      <c r="E34" t="s">
        <v>52</v>
      </c>
      <c r="F34">
        <v>10</v>
      </c>
      <c r="G34" s="12">
        <v>943142</v>
      </c>
      <c r="H34" s="12">
        <v>1019469</v>
      </c>
      <c r="I34" s="12">
        <v>10271</v>
      </c>
      <c r="J34" s="12">
        <v>9416</v>
      </c>
      <c r="K34">
        <f>'Std curve values (LC)'!$A$2*G34+'Std curve values (LC)'!$A$3</f>
        <v>396.01887260000001</v>
      </c>
      <c r="L34">
        <f>'Std curve values (LC)'!$B$2*H34+'Std curve values (LC)'!$B$3</f>
        <v>390.05497230000003</v>
      </c>
      <c r="M34">
        <f>'Std curve values (LC)'!$C$2*I34+'Std curve values (LC)'!$C$3</f>
        <v>13.1729299</v>
      </c>
      <c r="N34">
        <f>'Std curve values (LC)'!$D$2*J34+'Std curve values (LC)'!$D$3</f>
        <v>22.676675999999997</v>
      </c>
      <c r="O34">
        <f t="shared" ref="O34:O65" si="4">K34/$F34</f>
        <v>39.601887259999998</v>
      </c>
      <c r="P34">
        <f t="shared" ref="P34:P65" si="5">L34/$F34</f>
        <v>39.005497230000003</v>
      </c>
      <c r="Q34">
        <f t="shared" ref="Q34:Q65" si="6">M34/$F34</f>
        <v>1.3172929899999999</v>
      </c>
      <c r="R34">
        <f t="shared" ref="R34:R65" si="7">N34/$F34</f>
        <v>2.2676675999999998</v>
      </c>
    </row>
    <row r="35" spans="1:18" x14ac:dyDescent="0.25">
      <c r="A35">
        <v>106</v>
      </c>
      <c r="B35">
        <v>6</v>
      </c>
      <c r="C35" t="s">
        <v>29</v>
      </c>
      <c r="D35" t="s">
        <v>10</v>
      </c>
      <c r="E35" t="s">
        <v>52</v>
      </c>
      <c r="F35">
        <v>10</v>
      </c>
      <c r="G35" s="12">
        <v>915317</v>
      </c>
      <c r="H35" s="12">
        <v>989496</v>
      </c>
      <c r="I35" s="12">
        <v>9647</v>
      </c>
      <c r="J35" s="12">
        <v>8889</v>
      </c>
      <c r="K35">
        <f>'Std curve values (LC)'!$A$2*G35+'Std curve values (LC)'!$A$3</f>
        <v>384.46315010000001</v>
      </c>
      <c r="L35">
        <f>'Std curve values (LC)'!$B$2*H35+'Std curve values (LC)'!$B$3</f>
        <v>378.76414320000003</v>
      </c>
      <c r="M35">
        <f>'Std curve values (LC)'!$C$2*I35+'Std curve values (LC)'!$C$3</f>
        <v>12.4645651</v>
      </c>
      <c r="N35">
        <f>'Std curve values (LC)'!$D$2*J35+'Std curve values (LC)'!$D$3</f>
        <v>21.412473266666662</v>
      </c>
      <c r="O35">
        <f t="shared" si="4"/>
        <v>38.446315009999999</v>
      </c>
      <c r="P35">
        <f t="shared" si="5"/>
        <v>37.876414320000002</v>
      </c>
      <c r="Q35">
        <f t="shared" si="6"/>
        <v>1.24645651</v>
      </c>
      <c r="R35">
        <f t="shared" si="7"/>
        <v>2.1412473266666661</v>
      </c>
    </row>
    <row r="36" spans="1:18" x14ac:dyDescent="0.25">
      <c r="A36">
        <v>107</v>
      </c>
      <c r="B36">
        <v>7</v>
      </c>
      <c r="C36" t="s">
        <v>30</v>
      </c>
      <c r="D36" t="s">
        <v>10</v>
      </c>
      <c r="E36" t="s">
        <v>52</v>
      </c>
      <c r="F36">
        <v>10</v>
      </c>
      <c r="G36" s="12">
        <v>924837</v>
      </c>
      <c r="H36" s="12">
        <v>1020466</v>
      </c>
      <c r="I36" s="12">
        <v>14074</v>
      </c>
      <c r="J36" s="12">
        <v>12907</v>
      </c>
      <c r="K36">
        <f>'Std curve values (LC)'!$A$2*G36+'Std curve values (LC)'!$A$3</f>
        <v>388.41680610000003</v>
      </c>
      <c r="L36">
        <f>'Std curve values (LC)'!$B$2*H36+'Std curve values (LC)'!$B$3</f>
        <v>390.43054219999999</v>
      </c>
      <c r="M36">
        <f>'Std curve values (LC)'!$C$2*I36+'Std curve values (LC)'!$C$3</f>
        <v>17.490095499999999</v>
      </c>
      <c r="N36">
        <f>'Std curve values (LC)'!$D$2*J36+'Std curve values (LC)'!$D$3</f>
        <v>31.051119533333328</v>
      </c>
      <c r="O36">
        <f t="shared" si="4"/>
        <v>38.841680610000004</v>
      </c>
      <c r="P36">
        <f t="shared" si="5"/>
        <v>39.043054220000002</v>
      </c>
      <c r="Q36">
        <f t="shared" si="6"/>
        <v>1.7490095499999998</v>
      </c>
      <c r="R36">
        <f t="shared" si="7"/>
        <v>3.1051119533333327</v>
      </c>
    </row>
    <row r="37" spans="1:18" x14ac:dyDescent="0.25">
      <c r="A37">
        <v>108</v>
      </c>
      <c r="B37">
        <v>8</v>
      </c>
      <c r="C37" t="s">
        <v>31</v>
      </c>
      <c r="D37" t="s">
        <v>10</v>
      </c>
      <c r="E37" t="s">
        <v>52</v>
      </c>
      <c r="F37">
        <v>10</v>
      </c>
      <c r="G37" s="12">
        <v>850844</v>
      </c>
      <c r="H37" s="12">
        <v>924907</v>
      </c>
      <c r="I37" s="12">
        <v>10673</v>
      </c>
      <c r="J37" s="12">
        <v>9759</v>
      </c>
      <c r="K37">
        <f>'Std curve values (LC)'!$A$2*G37+'Std curve values (LC)'!$A$3</f>
        <v>357.68751320000001</v>
      </c>
      <c r="L37">
        <f>'Std curve values (LC)'!$B$2*H37+'Std curve values (LC)'!$B$3</f>
        <v>354.43346689999998</v>
      </c>
      <c r="M37">
        <f>'Std curve values (LC)'!$C$2*I37+'Std curve values (LC)'!$C$3</f>
        <v>13.6292803</v>
      </c>
      <c r="N37">
        <f>'Std curve values (LC)'!$D$2*J37+'Std curve values (LC)'!$D$3</f>
        <v>23.499487266666662</v>
      </c>
      <c r="O37">
        <f t="shared" si="4"/>
        <v>35.76875132</v>
      </c>
      <c r="P37">
        <f t="shared" si="5"/>
        <v>35.443346689999998</v>
      </c>
      <c r="Q37">
        <f t="shared" si="6"/>
        <v>1.36292803</v>
      </c>
      <c r="R37">
        <f t="shared" si="7"/>
        <v>2.3499487266666663</v>
      </c>
    </row>
    <row r="38" spans="1:18" x14ac:dyDescent="0.25">
      <c r="A38">
        <v>109</v>
      </c>
      <c r="B38">
        <v>9</v>
      </c>
      <c r="C38" t="s">
        <v>32</v>
      </c>
      <c r="D38" t="s">
        <v>10</v>
      </c>
      <c r="E38" t="s">
        <v>52</v>
      </c>
      <c r="F38">
        <v>10</v>
      </c>
      <c r="G38" s="12">
        <v>921325</v>
      </c>
      <c r="H38" s="12">
        <v>997250</v>
      </c>
      <c r="I38" s="12">
        <v>9794</v>
      </c>
      <c r="J38" s="12">
        <v>9006</v>
      </c>
      <c r="K38">
        <f>'Std curve values (LC)'!$A$2*G38+'Std curve values (LC)'!$A$3</f>
        <v>386.95827250000002</v>
      </c>
      <c r="L38">
        <f>'Std curve values (LC)'!$B$2*H38+'Std curve values (LC)'!$B$3</f>
        <v>381.68507499999998</v>
      </c>
      <c r="M38">
        <f>'Std curve values (LC)'!$C$2*I38+'Std curve values (LC)'!$C$3</f>
        <v>12.631439499999999</v>
      </c>
      <c r="N38">
        <f>'Std curve values (LC)'!$D$2*J38+'Std curve values (LC)'!$D$3</f>
        <v>21.693140666666665</v>
      </c>
      <c r="O38">
        <f t="shared" si="4"/>
        <v>38.695827250000001</v>
      </c>
      <c r="P38">
        <f t="shared" si="5"/>
        <v>38.168507499999997</v>
      </c>
      <c r="Q38">
        <f t="shared" si="6"/>
        <v>1.2631439499999999</v>
      </c>
      <c r="R38">
        <f t="shared" si="7"/>
        <v>2.1693140666666664</v>
      </c>
    </row>
    <row r="39" spans="1:18" x14ac:dyDescent="0.25">
      <c r="A39">
        <v>110</v>
      </c>
      <c r="B39">
        <v>10</v>
      </c>
      <c r="C39" t="s">
        <v>33</v>
      </c>
      <c r="D39" t="s">
        <v>10</v>
      </c>
      <c r="E39" t="s">
        <v>52</v>
      </c>
      <c r="F39">
        <v>10</v>
      </c>
      <c r="G39" s="12">
        <v>910551</v>
      </c>
      <c r="H39" s="12">
        <v>979388</v>
      </c>
      <c r="I39" s="12">
        <v>9689</v>
      </c>
      <c r="J39" s="12">
        <v>9029</v>
      </c>
      <c r="K39">
        <f>'Std curve values (LC)'!$A$2*G39+'Std curve values (LC)'!$A$3</f>
        <v>382.48383030000002</v>
      </c>
      <c r="L39">
        <f>'Std curve values (LC)'!$B$2*H39+'Std curve values (LC)'!$B$3</f>
        <v>374.95645960000002</v>
      </c>
      <c r="M39">
        <f>'Std curve values (LC)'!$C$2*I39+'Std curve values (LC)'!$C$3</f>
        <v>12.512243499999999</v>
      </c>
      <c r="N39">
        <f>'Std curve values (LC)'!$D$2*J39+'Std curve values (LC)'!$D$3</f>
        <v>21.748314599999997</v>
      </c>
      <c r="O39">
        <f t="shared" si="4"/>
        <v>38.248383029999999</v>
      </c>
      <c r="P39">
        <f t="shared" si="5"/>
        <v>37.495645960000004</v>
      </c>
      <c r="Q39">
        <f t="shared" si="6"/>
        <v>1.2512243499999998</v>
      </c>
      <c r="R39">
        <f t="shared" si="7"/>
        <v>2.1748314599999996</v>
      </c>
    </row>
    <row r="40" spans="1:18" x14ac:dyDescent="0.25">
      <c r="A40">
        <v>111</v>
      </c>
      <c r="B40">
        <v>11</v>
      </c>
      <c r="C40" t="s">
        <v>34</v>
      </c>
      <c r="D40" t="s">
        <v>10</v>
      </c>
      <c r="E40" t="s">
        <v>52</v>
      </c>
      <c r="F40">
        <v>10</v>
      </c>
      <c r="G40" s="12">
        <v>871921</v>
      </c>
      <c r="H40" s="12">
        <v>995336</v>
      </c>
      <c r="I40" s="12">
        <v>24414</v>
      </c>
      <c r="J40" s="12">
        <v>21957</v>
      </c>
      <c r="K40">
        <f>'Std curve values (LC)'!$A$2*G40+'Std curve values (LC)'!$A$3</f>
        <v>366.4407913</v>
      </c>
      <c r="L40">
        <f>'Std curve values (LC)'!$B$2*H40+'Std curve values (LC)'!$B$3</f>
        <v>380.96407120000003</v>
      </c>
      <c r="M40">
        <f>'Std curve values (LC)'!$C$2*I40+'Std curve values (LC)'!$C$3</f>
        <v>29.228063499999994</v>
      </c>
      <c r="N40">
        <f>'Std curve values (LC)'!$D$2*J40+'Std curve values (LC)'!$D$3</f>
        <v>52.760862866666656</v>
      </c>
      <c r="O40">
        <f t="shared" si="4"/>
        <v>36.644079130000001</v>
      </c>
      <c r="P40">
        <f t="shared" si="5"/>
        <v>38.096407120000002</v>
      </c>
      <c r="Q40">
        <f t="shared" si="6"/>
        <v>2.9228063499999992</v>
      </c>
      <c r="R40">
        <f t="shared" si="7"/>
        <v>5.2760862866666658</v>
      </c>
    </row>
    <row r="41" spans="1:18" x14ac:dyDescent="0.25">
      <c r="A41">
        <v>112</v>
      </c>
      <c r="B41">
        <v>12</v>
      </c>
      <c r="C41" t="s">
        <v>35</v>
      </c>
      <c r="D41" t="s">
        <v>10</v>
      </c>
      <c r="E41" t="s">
        <v>52</v>
      </c>
      <c r="F41">
        <v>10</v>
      </c>
      <c r="G41" s="12">
        <v>897643</v>
      </c>
      <c r="H41" s="12">
        <v>993628</v>
      </c>
      <c r="I41" s="12">
        <v>14708</v>
      </c>
      <c r="J41" s="12">
        <v>1355</v>
      </c>
      <c r="K41">
        <f>'Std curve values (LC)'!$A$2*G41+'Std curve values (LC)'!$A$3</f>
        <v>377.12313790000002</v>
      </c>
      <c r="L41">
        <f>'Std curve values (LC)'!$B$2*H41+'Std curve values (LC)'!$B$3</f>
        <v>380.32066760000004</v>
      </c>
      <c r="M41">
        <f>'Std curve values (LC)'!$C$2*I41+'Std curve values (LC)'!$C$3</f>
        <v>18.209812299999996</v>
      </c>
      <c r="N41">
        <f>'Std curve values (LC)'!$D$2*J41+'Std curve values (LC)'!$D$3</f>
        <v>3.3394117999999997</v>
      </c>
      <c r="O41">
        <f t="shared" si="4"/>
        <v>37.712313790000003</v>
      </c>
      <c r="P41">
        <f t="shared" si="5"/>
        <v>38.032066760000006</v>
      </c>
      <c r="Q41">
        <f t="shared" si="6"/>
        <v>1.8209812299999997</v>
      </c>
      <c r="R41">
        <f t="shared" si="7"/>
        <v>0.33394117999999995</v>
      </c>
    </row>
    <row r="42" spans="1:18" x14ac:dyDescent="0.25">
      <c r="A42">
        <v>113</v>
      </c>
      <c r="B42">
        <v>13</v>
      </c>
      <c r="C42" t="s">
        <v>36</v>
      </c>
      <c r="D42" t="s">
        <v>10</v>
      </c>
      <c r="E42" t="s">
        <v>52</v>
      </c>
      <c r="F42">
        <v>10</v>
      </c>
      <c r="G42" s="3">
        <v>879521</v>
      </c>
      <c r="H42" s="3">
        <v>965118</v>
      </c>
      <c r="I42" s="3">
        <v>12130</v>
      </c>
      <c r="J42" s="3">
        <v>11638</v>
      </c>
      <c r="K42">
        <f>'Std curve values (LC)'!$A$2*G42+'Std curve values (LC)'!$A$3</f>
        <v>369.59707129999998</v>
      </c>
      <c r="L42">
        <f>'Std curve values (LC)'!$B$2*H42+'Std curve values (LC)'!$B$3</f>
        <v>369.58095059999999</v>
      </c>
      <c r="M42">
        <f>'Std curve values (LC)'!$C$2*I42+'Std curve values (LC)'!$C$3</f>
        <v>15.283266699999999</v>
      </c>
      <c r="N42">
        <f>'Std curve values (LC)'!$D$2*J42+'Std curve values (LC)'!$D$3</f>
        <v>28.00695773333333</v>
      </c>
      <c r="O42">
        <f t="shared" si="4"/>
        <v>36.959707129999998</v>
      </c>
      <c r="P42">
        <f t="shared" si="5"/>
        <v>36.958095059999998</v>
      </c>
      <c r="Q42">
        <f t="shared" si="6"/>
        <v>1.5283266699999998</v>
      </c>
      <c r="R42">
        <f t="shared" si="7"/>
        <v>2.8006957733333331</v>
      </c>
    </row>
    <row r="43" spans="1:18" x14ac:dyDescent="0.25">
      <c r="A43">
        <v>114</v>
      </c>
      <c r="B43">
        <v>14</v>
      </c>
      <c r="C43" t="s">
        <v>37</v>
      </c>
      <c r="D43" t="s">
        <v>10</v>
      </c>
      <c r="E43" t="s">
        <v>52</v>
      </c>
      <c r="F43">
        <v>10</v>
      </c>
      <c r="G43" s="3">
        <v>920303</v>
      </c>
      <c r="H43" s="3">
        <v>997696</v>
      </c>
      <c r="I43" s="3">
        <v>10419</v>
      </c>
      <c r="J43" s="3">
        <v>9732</v>
      </c>
      <c r="K43">
        <f>'Std curve values (LC)'!$A$2*G43+'Std curve values (LC)'!$A$3</f>
        <v>386.53383589999999</v>
      </c>
      <c r="L43">
        <f>'Std curve values (LC)'!$B$2*H43+'Std curve values (LC)'!$B$3</f>
        <v>381.85308320000001</v>
      </c>
      <c r="M43">
        <f>'Std curve values (LC)'!$C$2*I43+'Std curve values (LC)'!$C$3</f>
        <v>13.340939499999999</v>
      </c>
      <c r="N43">
        <f>'Std curve values (LC)'!$D$2*J43+'Std curve values (LC)'!$D$3</f>
        <v>23.434717866666663</v>
      </c>
      <c r="O43">
        <f t="shared" si="4"/>
        <v>38.653383589999997</v>
      </c>
      <c r="P43">
        <f t="shared" si="5"/>
        <v>38.185308320000004</v>
      </c>
      <c r="Q43">
        <f t="shared" si="6"/>
        <v>1.33409395</v>
      </c>
      <c r="R43">
        <f t="shared" si="7"/>
        <v>2.3434717866666661</v>
      </c>
    </row>
    <row r="44" spans="1:18" x14ac:dyDescent="0.25">
      <c r="A44">
        <v>115</v>
      </c>
      <c r="B44">
        <v>15</v>
      </c>
      <c r="C44" t="s">
        <v>38</v>
      </c>
      <c r="D44" t="s">
        <v>10</v>
      </c>
      <c r="E44" t="s">
        <v>52</v>
      </c>
      <c r="F44">
        <v>10</v>
      </c>
      <c r="G44" s="3">
        <v>915551</v>
      </c>
      <c r="H44" s="3">
        <v>994895</v>
      </c>
      <c r="I44" s="3">
        <v>10502</v>
      </c>
      <c r="J44" s="3">
        <v>10588</v>
      </c>
      <c r="K44">
        <f>'Std curve values (LC)'!$A$2*G44+'Std curve values (LC)'!$A$3</f>
        <v>384.56033030000003</v>
      </c>
      <c r="L44">
        <f>'Std curve values (LC)'!$B$2*H44+'Std curve values (LC)'!$B$3</f>
        <v>380.79794650000002</v>
      </c>
      <c r="M44">
        <f>'Std curve values (LC)'!$C$2*I44+'Std curve values (LC)'!$C$3</f>
        <v>13.435161099999998</v>
      </c>
      <c r="N44">
        <f>'Std curve values (LC)'!$D$2*J44+'Std curve values (LC)'!$D$3</f>
        <v>25.488147733333328</v>
      </c>
      <c r="O44">
        <f t="shared" si="4"/>
        <v>38.45603303</v>
      </c>
      <c r="P44">
        <f t="shared" si="5"/>
        <v>38.079794650000004</v>
      </c>
      <c r="Q44">
        <f t="shared" si="6"/>
        <v>1.3435161099999999</v>
      </c>
      <c r="R44">
        <f t="shared" si="7"/>
        <v>2.5488147733333326</v>
      </c>
    </row>
    <row r="45" spans="1:18" x14ac:dyDescent="0.25">
      <c r="A45">
        <v>116</v>
      </c>
      <c r="B45">
        <v>16</v>
      </c>
      <c r="C45" t="s">
        <v>39</v>
      </c>
      <c r="D45" t="s">
        <v>10</v>
      </c>
      <c r="E45" t="s">
        <v>52</v>
      </c>
      <c r="F45">
        <v>10</v>
      </c>
      <c r="G45" s="3">
        <v>917016</v>
      </c>
      <c r="H45" s="3">
        <v>993592</v>
      </c>
      <c r="I45" s="3">
        <v>11403</v>
      </c>
      <c r="J45" s="3">
        <v>11029</v>
      </c>
      <c r="K45">
        <f>'Std curve values (LC)'!$A$2*G45+'Std curve values (LC)'!$A$3</f>
        <v>385.16874480000001</v>
      </c>
      <c r="L45">
        <f>'Std curve values (LC)'!$B$2*H45+'Std curve values (LC)'!$B$3</f>
        <v>380.30710640000001</v>
      </c>
      <c r="M45">
        <f>'Std curve values (LC)'!$C$2*I45+'Std curve values (LC)'!$C$3</f>
        <v>14.457976299999999</v>
      </c>
      <c r="N45">
        <f>'Std curve values (LC)'!$D$2*J45+'Std curve values (LC)'!$D$3</f>
        <v>26.54604793333333</v>
      </c>
      <c r="O45">
        <f t="shared" si="4"/>
        <v>38.516874479999998</v>
      </c>
      <c r="P45">
        <f t="shared" si="5"/>
        <v>38.030710640000002</v>
      </c>
      <c r="Q45">
        <f t="shared" si="6"/>
        <v>1.4457976299999999</v>
      </c>
      <c r="R45">
        <f t="shared" si="7"/>
        <v>2.6546047933333332</v>
      </c>
    </row>
    <row r="46" spans="1:18" x14ac:dyDescent="0.25">
      <c r="A46">
        <v>117</v>
      </c>
      <c r="B46">
        <v>17</v>
      </c>
      <c r="C46" t="s">
        <v>40</v>
      </c>
      <c r="D46" t="s">
        <v>10</v>
      </c>
      <c r="E46" t="s">
        <v>52</v>
      </c>
      <c r="F46">
        <v>10</v>
      </c>
      <c r="G46" s="12">
        <v>900924</v>
      </c>
      <c r="H46" s="12">
        <v>985383</v>
      </c>
      <c r="I46" s="12">
        <v>11579</v>
      </c>
      <c r="J46" s="12">
        <v>10605</v>
      </c>
      <c r="K46">
        <f>'Std curve values (LC)'!$A$2*G46+'Std curve values (LC)'!$A$3</f>
        <v>378.48573720000002</v>
      </c>
      <c r="L46">
        <f>'Std curve values (LC)'!$B$2*H46+'Std curve values (LC)'!$B$3</f>
        <v>377.21477609999999</v>
      </c>
      <c r="M46">
        <f>'Std curve values (LC)'!$C$2*I46+'Std curve values (LC)'!$C$3</f>
        <v>14.657771499999999</v>
      </c>
      <c r="N46">
        <f>'Std curve values (LC)'!$D$2*J46+'Std curve values (LC)'!$D$3</f>
        <v>25.528928466666663</v>
      </c>
      <c r="O46">
        <f t="shared" si="4"/>
        <v>37.848573720000005</v>
      </c>
      <c r="P46">
        <f t="shared" si="5"/>
        <v>37.721477610000001</v>
      </c>
      <c r="Q46">
        <f t="shared" si="6"/>
        <v>1.4657771499999999</v>
      </c>
      <c r="R46">
        <f t="shared" si="7"/>
        <v>2.5528928466666665</v>
      </c>
    </row>
    <row r="47" spans="1:18" x14ac:dyDescent="0.25">
      <c r="A47">
        <v>118</v>
      </c>
      <c r="B47">
        <v>18</v>
      </c>
      <c r="C47" t="s">
        <v>41</v>
      </c>
      <c r="D47" t="s">
        <v>10</v>
      </c>
      <c r="E47" t="s">
        <v>52</v>
      </c>
      <c r="F47">
        <v>10</v>
      </c>
      <c r="G47" s="12">
        <v>925561</v>
      </c>
      <c r="H47" s="12">
        <v>1004181</v>
      </c>
      <c r="I47" s="12">
        <v>9842</v>
      </c>
      <c r="J47" s="12">
        <v>9108</v>
      </c>
      <c r="K47">
        <f>'Std curve values (LC)'!$A$2*G47+'Std curve values (LC)'!$A$3</f>
        <v>388.71748330000003</v>
      </c>
      <c r="L47">
        <f>'Std curve values (LC)'!$B$2*H47+'Std curve values (LC)'!$B$3</f>
        <v>384.29598270000002</v>
      </c>
      <c r="M47">
        <f>'Std curve values (LC)'!$C$2*I47+'Std curve values (LC)'!$C$3</f>
        <v>12.685929099999999</v>
      </c>
      <c r="N47">
        <f>'Std curve values (LC)'!$D$2*J47+'Std curve values (LC)'!$D$3</f>
        <v>21.937825066666662</v>
      </c>
      <c r="O47">
        <f t="shared" si="4"/>
        <v>38.871748330000003</v>
      </c>
      <c r="P47">
        <f t="shared" si="5"/>
        <v>38.42959827</v>
      </c>
      <c r="Q47">
        <f t="shared" si="6"/>
        <v>1.26859291</v>
      </c>
      <c r="R47">
        <f t="shared" si="7"/>
        <v>2.1937825066666661</v>
      </c>
    </row>
    <row r="48" spans="1:18" x14ac:dyDescent="0.25">
      <c r="A48">
        <v>119</v>
      </c>
      <c r="B48">
        <v>19</v>
      </c>
      <c r="C48" t="s">
        <v>42</v>
      </c>
      <c r="D48" t="s">
        <v>10</v>
      </c>
      <c r="E48" t="s">
        <v>52</v>
      </c>
      <c r="F48">
        <v>10</v>
      </c>
      <c r="G48" s="12">
        <v>893275</v>
      </c>
      <c r="H48" s="12">
        <v>985655</v>
      </c>
      <c r="I48" s="12">
        <v>13912</v>
      </c>
      <c r="J48" s="12">
        <v>12527</v>
      </c>
      <c r="K48">
        <f>'Std curve values (LC)'!$A$2*G48+'Std curve values (LC)'!$A$3</f>
        <v>375.30910749999998</v>
      </c>
      <c r="L48">
        <f>'Std curve values (LC)'!$B$2*H48+'Std curve values (LC)'!$B$3</f>
        <v>377.31723850000003</v>
      </c>
      <c r="M48">
        <f>'Std curve values (LC)'!$C$2*I48+'Std curve values (LC)'!$C$3</f>
        <v>17.306193099999998</v>
      </c>
      <c r="N48">
        <f>'Std curve values (LC)'!$D$2*J48+'Std curve values (LC)'!$D$3</f>
        <v>30.139550199999995</v>
      </c>
      <c r="O48">
        <f t="shared" si="4"/>
        <v>37.530910749999997</v>
      </c>
      <c r="P48">
        <f t="shared" si="5"/>
        <v>37.731723850000002</v>
      </c>
      <c r="Q48">
        <f t="shared" si="6"/>
        <v>1.7306193099999998</v>
      </c>
      <c r="R48">
        <f t="shared" si="7"/>
        <v>3.0139550199999996</v>
      </c>
    </row>
    <row r="49" spans="1:18" x14ac:dyDescent="0.25">
      <c r="A49">
        <v>120</v>
      </c>
      <c r="B49">
        <v>20</v>
      </c>
      <c r="C49" t="s">
        <v>43</v>
      </c>
      <c r="D49" t="s">
        <v>10</v>
      </c>
      <c r="E49" t="s">
        <v>52</v>
      </c>
      <c r="F49">
        <v>10</v>
      </c>
      <c r="G49" s="12">
        <v>946633</v>
      </c>
      <c r="H49" s="12">
        <v>1032049</v>
      </c>
      <c r="I49" s="12">
        <v>16811</v>
      </c>
      <c r="J49" s="12">
        <v>10334</v>
      </c>
      <c r="K49">
        <f>'Std curve values (LC)'!$A$2*G49+'Std curve values (LC)'!$A$3</f>
        <v>397.46868490000003</v>
      </c>
      <c r="L49">
        <f>'Std curve values (LC)'!$B$2*H49+'Std curve values (LC)'!$B$3</f>
        <v>394.79385830000001</v>
      </c>
      <c r="M49">
        <f>'Std curve values (LC)'!$C$2*I49+'Std curve values (LC)'!$C$3</f>
        <v>20.597137899999996</v>
      </c>
      <c r="N49">
        <f>'Std curve values (LC)'!$D$2*J49+'Std curve values (LC)'!$D$3</f>
        <v>24.878835599999995</v>
      </c>
      <c r="O49">
        <f t="shared" si="4"/>
        <v>39.746868490000004</v>
      </c>
      <c r="P49">
        <f t="shared" si="5"/>
        <v>39.479385829999998</v>
      </c>
      <c r="Q49">
        <f t="shared" si="6"/>
        <v>2.0597137899999995</v>
      </c>
      <c r="R49">
        <f t="shared" si="7"/>
        <v>2.4878835599999993</v>
      </c>
    </row>
    <row r="50" spans="1:18" x14ac:dyDescent="0.25">
      <c r="A50">
        <v>121</v>
      </c>
      <c r="B50">
        <v>21</v>
      </c>
      <c r="C50" t="s">
        <v>44</v>
      </c>
      <c r="D50" t="s">
        <v>10</v>
      </c>
      <c r="E50" t="s">
        <v>52</v>
      </c>
      <c r="F50">
        <v>10</v>
      </c>
      <c r="G50" s="3">
        <v>915080</v>
      </c>
      <c r="H50" s="3">
        <v>992039</v>
      </c>
      <c r="I50" s="3">
        <v>12470</v>
      </c>
      <c r="J50" s="3">
        <v>11477</v>
      </c>
      <c r="K50">
        <f>'Std curve values (LC)'!$A$2*G50+'Std curve values (LC)'!$A$3</f>
        <v>384.36472400000002</v>
      </c>
      <c r="L50">
        <f>'Std curve values (LC)'!$B$2*H50+'Std curve values (LC)'!$B$3</f>
        <v>379.72209129999999</v>
      </c>
      <c r="M50">
        <f>'Std curve values (LC)'!$C$2*I50+'Std curve values (LC)'!$C$3</f>
        <v>15.669234699999999</v>
      </c>
      <c r="N50">
        <f>'Std curve values (LC)'!$D$2*J50+'Std curve values (LC)'!$D$3</f>
        <v>27.620740199999997</v>
      </c>
      <c r="O50">
        <f t="shared" si="4"/>
        <v>38.4364724</v>
      </c>
      <c r="P50">
        <f t="shared" si="5"/>
        <v>37.972209129999996</v>
      </c>
      <c r="Q50">
        <f t="shared" si="6"/>
        <v>1.5669234699999999</v>
      </c>
      <c r="R50">
        <f t="shared" si="7"/>
        <v>2.7620740199999996</v>
      </c>
    </row>
    <row r="51" spans="1:18" x14ac:dyDescent="0.25">
      <c r="A51">
        <v>122</v>
      </c>
      <c r="B51">
        <v>22</v>
      </c>
      <c r="C51" t="s">
        <v>45</v>
      </c>
      <c r="D51" t="s">
        <v>10</v>
      </c>
      <c r="E51" t="s">
        <v>52</v>
      </c>
      <c r="F51">
        <v>10</v>
      </c>
      <c r="G51" s="3">
        <v>906514</v>
      </c>
      <c r="H51" s="3">
        <v>992132</v>
      </c>
      <c r="I51" s="3">
        <v>14617</v>
      </c>
      <c r="J51" s="3">
        <v>13124</v>
      </c>
      <c r="K51">
        <f>'Std curve values (LC)'!$A$2*G51+'Std curve values (LC)'!$A$3</f>
        <v>380.80726420000002</v>
      </c>
      <c r="L51">
        <f>'Std curve values (LC)'!$B$2*H51+'Std curve values (LC)'!$B$3</f>
        <v>379.75712440000001</v>
      </c>
      <c r="M51">
        <f>'Std curve values (LC)'!$C$2*I51+'Std curve values (LC)'!$C$3</f>
        <v>18.106509099999997</v>
      </c>
      <c r="N51">
        <f>'Std curve values (LC)'!$D$2*J51+'Std curve values (LC)'!$D$3</f>
        <v>31.571673599999993</v>
      </c>
      <c r="O51">
        <f t="shared" si="4"/>
        <v>38.080726420000005</v>
      </c>
      <c r="P51">
        <f t="shared" si="5"/>
        <v>37.975712440000002</v>
      </c>
      <c r="Q51">
        <f t="shared" si="6"/>
        <v>1.8106509099999997</v>
      </c>
      <c r="R51">
        <f t="shared" si="7"/>
        <v>3.1571673599999994</v>
      </c>
    </row>
    <row r="52" spans="1:18" x14ac:dyDescent="0.25">
      <c r="A52">
        <v>123</v>
      </c>
      <c r="B52">
        <v>23</v>
      </c>
      <c r="C52" t="s">
        <v>46</v>
      </c>
      <c r="D52" t="s">
        <v>10</v>
      </c>
      <c r="E52" t="s">
        <v>52</v>
      </c>
      <c r="F52">
        <v>10</v>
      </c>
      <c r="G52" s="3">
        <v>944742</v>
      </c>
      <c r="H52" s="3">
        <v>1019007</v>
      </c>
      <c r="I52" s="3">
        <v>9089</v>
      </c>
      <c r="J52" s="3">
        <v>9099</v>
      </c>
      <c r="K52">
        <f>'Std curve values (LC)'!$A$2*G52+'Std curve values (LC)'!$A$3</f>
        <v>396.68335259999998</v>
      </c>
      <c r="L52">
        <f>'Std curve values (LC)'!$B$2*H52+'Std curve values (LC)'!$B$3</f>
        <v>389.88093689999999</v>
      </c>
      <c r="M52">
        <f>'Std curve values (LC)'!$C$2*I52+'Std curve values (LC)'!$C$3</f>
        <v>11.831123499999999</v>
      </c>
      <c r="N52">
        <f>'Std curve values (LC)'!$D$2*J52+'Std curve values (LC)'!$D$3</f>
        <v>21.916235266666664</v>
      </c>
      <c r="O52">
        <f t="shared" si="4"/>
        <v>39.668335259999999</v>
      </c>
      <c r="P52">
        <f t="shared" si="5"/>
        <v>38.988093689999999</v>
      </c>
      <c r="Q52">
        <f t="shared" si="6"/>
        <v>1.1831123499999998</v>
      </c>
      <c r="R52">
        <f t="shared" si="7"/>
        <v>2.1916235266666666</v>
      </c>
    </row>
    <row r="53" spans="1:18" x14ac:dyDescent="0.25">
      <c r="A53">
        <v>124</v>
      </c>
      <c r="B53">
        <v>24</v>
      </c>
      <c r="C53" t="s">
        <v>47</v>
      </c>
      <c r="D53" t="s">
        <v>10</v>
      </c>
      <c r="E53" t="s">
        <v>52</v>
      </c>
      <c r="F53">
        <v>10</v>
      </c>
      <c r="G53" s="3">
        <v>928511</v>
      </c>
      <c r="H53" s="3">
        <v>1018238</v>
      </c>
      <c r="I53" s="3">
        <v>14204</v>
      </c>
      <c r="J53" s="3">
        <v>13026</v>
      </c>
      <c r="K53">
        <f>'Std curve values (LC)'!$A$2*G53+'Std curve values (LC)'!$A$3</f>
        <v>389.94261829999999</v>
      </c>
      <c r="L53">
        <f>'Std curve values (LC)'!$B$2*H53+'Std curve values (LC)'!$B$3</f>
        <v>389.59125460000001</v>
      </c>
      <c r="M53">
        <f>'Std curve values (LC)'!$C$2*I53+'Std curve values (LC)'!$C$3</f>
        <v>17.637671499999996</v>
      </c>
      <c r="N53">
        <f>'Std curve values (LC)'!$D$2*J53+'Std curve values (LC)'!$D$3</f>
        <v>31.336584666666663</v>
      </c>
      <c r="O53">
        <f t="shared" si="4"/>
        <v>38.994261829999999</v>
      </c>
      <c r="P53">
        <f t="shared" si="5"/>
        <v>38.959125460000003</v>
      </c>
      <c r="Q53">
        <f t="shared" si="6"/>
        <v>1.7637671499999996</v>
      </c>
      <c r="R53">
        <f t="shared" si="7"/>
        <v>3.1336584666666663</v>
      </c>
    </row>
    <row r="54" spans="1:18" x14ac:dyDescent="0.25">
      <c r="A54">
        <v>141</v>
      </c>
      <c r="B54">
        <v>25</v>
      </c>
      <c r="C54" t="s">
        <v>48</v>
      </c>
      <c r="D54" t="s">
        <v>10</v>
      </c>
      <c r="E54" t="s">
        <v>52</v>
      </c>
      <c r="F54">
        <v>10</v>
      </c>
      <c r="G54" s="12">
        <v>893363</v>
      </c>
      <c r="H54" s="12">
        <v>990017</v>
      </c>
      <c r="I54" s="12">
        <v>19980</v>
      </c>
      <c r="J54" s="12">
        <v>15553</v>
      </c>
      <c r="K54">
        <f>'Std curve values (LC)'!$A$2*G54+'Std curve values (LC)'!$A$3</f>
        <v>375.3456539</v>
      </c>
      <c r="L54">
        <f>'Std curve values (LC)'!$B$2*H54+'Std curve values (LC)'!$B$3</f>
        <v>378.96040390000002</v>
      </c>
      <c r="M54">
        <f>'Std curve values (LC)'!$C$2*I54+'Std curve values (LC)'!$C$3</f>
        <v>24.194586699999995</v>
      </c>
      <c r="N54">
        <f>'Std curve values (LC)'!$D$2*J54+'Std curve values (LC)'!$D$3</f>
        <v>37.398520733333328</v>
      </c>
      <c r="O54">
        <f t="shared" si="4"/>
        <v>37.534565389999997</v>
      </c>
      <c r="P54">
        <f t="shared" si="5"/>
        <v>37.896040390000003</v>
      </c>
      <c r="Q54">
        <f t="shared" si="6"/>
        <v>2.4194586699999996</v>
      </c>
      <c r="R54">
        <f t="shared" si="7"/>
        <v>3.7398520733333327</v>
      </c>
    </row>
    <row r="55" spans="1:18" x14ac:dyDescent="0.25">
      <c r="A55">
        <v>142</v>
      </c>
      <c r="B55">
        <v>26</v>
      </c>
      <c r="C55" t="s">
        <v>49</v>
      </c>
      <c r="D55" t="s">
        <v>10</v>
      </c>
      <c r="E55" t="s">
        <v>52</v>
      </c>
      <c r="F55">
        <v>10</v>
      </c>
      <c r="G55" s="12">
        <v>908425</v>
      </c>
      <c r="H55" s="12">
        <v>1003305</v>
      </c>
      <c r="I55" s="12">
        <v>18546</v>
      </c>
      <c r="J55" s="12">
        <v>12704</v>
      </c>
      <c r="K55">
        <f>'Std curve values (LC)'!$A$2*G55+'Std curve values (LC)'!$A$3</f>
        <v>381.60090250000002</v>
      </c>
      <c r="L55">
        <f>'Std curve values (LC)'!$B$2*H55+'Std curve values (LC)'!$B$3</f>
        <v>383.96599350000002</v>
      </c>
      <c r="M55">
        <f>'Std curve values (LC)'!$C$2*I55+'Std curve values (LC)'!$C$3</f>
        <v>22.566709899999996</v>
      </c>
      <c r="N55">
        <f>'Std curve values (LC)'!$D$2*J55+'Std curve values (LC)'!$D$3</f>
        <v>30.564149599999997</v>
      </c>
      <c r="O55">
        <f t="shared" si="4"/>
        <v>38.160090250000003</v>
      </c>
      <c r="P55">
        <f t="shared" si="5"/>
        <v>38.396599350000002</v>
      </c>
      <c r="Q55">
        <f t="shared" si="6"/>
        <v>2.2566709899999995</v>
      </c>
      <c r="R55">
        <f t="shared" si="7"/>
        <v>3.0564149599999997</v>
      </c>
    </row>
    <row r="56" spans="1:18" x14ac:dyDescent="0.25">
      <c r="A56">
        <v>143</v>
      </c>
      <c r="B56">
        <v>27</v>
      </c>
      <c r="C56" t="s">
        <v>50</v>
      </c>
      <c r="D56" t="s">
        <v>10</v>
      </c>
      <c r="E56" t="s">
        <v>52</v>
      </c>
      <c r="F56">
        <v>10</v>
      </c>
      <c r="G56" s="12">
        <v>922023</v>
      </c>
      <c r="H56" s="12">
        <v>1003085</v>
      </c>
      <c r="I56" s="12">
        <v>10077</v>
      </c>
      <c r="J56" s="12">
        <v>10418</v>
      </c>
      <c r="K56">
        <f>'Std curve values (LC)'!$A$2*G56+'Std curve values (LC)'!$A$3</f>
        <v>387.24815189999998</v>
      </c>
      <c r="L56">
        <f>'Std curve values (LC)'!$B$2*H56+'Std curve values (LC)'!$B$3</f>
        <v>383.88311950000002</v>
      </c>
      <c r="M56">
        <f>'Std curve values (LC)'!$C$2*I56+'Std curve values (LC)'!$C$3</f>
        <v>12.952701099999999</v>
      </c>
      <c r="N56">
        <f>'Std curve values (LC)'!$D$2*J56+'Std curve values (LC)'!$D$3</f>
        <v>25.080340399999997</v>
      </c>
      <c r="O56">
        <f t="shared" si="4"/>
        <v>38.724815190000001</v>
      </c>
      <c r="P56">
        <f t="shared" si="5"/>
        <v>38.388311950000002</v>
      </c>
      <c r="Q56">
        <f t="shared" si="6"/>
        <v>1.2952701099999999</v>
      </c>
      <c r="R56">
        <f t="shared" si="7"/>
        <v>2.5080340399999996</v>
      </c>
    </row>
    <row r="57" spans="1:18" x14ac:dyDescent="0.25">
      <c r="A57">
        <v>144</v>
      </c>
      <c r="B57">
        <v>28</v>
      </c>
      <c r="C57" t="s">
        <v>51</v>
      </c>
      <c r="D57" t="s">
        <v>10</v>
      </c>
      <c r="E57" t="s">
        <v>52</v>
      </c>
      <c r="F57">
        <v>10</v>
      </c>
      <c r="G57" s="12">
        <v>913655</v>
      </c>
      <c r="H57" s="12">
        <v>1000952</v>
      </c>
      <c r="I57" s="12">
        <v>18266</v>
      </c>
      <c r="J57" s="12">
        <v>12256</v>
      </c>
      <c r="K57">
        <f>'Std curve values (LC)'!$A$2*G57+'Std curve values (LC)'!$A$3</f>
        <v>383.7729215</v>
      </c>
      <c r="L57">
        <f>'Std curve values (LC)'!$B$2*H57+'Std curve values (LC)'!$B$3</f>
        <v>383.07961840000002</v>
      </c>
      <c r="M57">
        <f>'Std curve values (LC)'!$C$2*I57+'Std curve values (LC)'!$C$3</f>
        <v>22.248853899999997</v>
      </c>
      <c r="N57">
        <f>'Std curve values (LC)'!$D$2*J57+'Std curve values (LC)'!$D$3</f>
        <v>29.489457333333327</v>
      </c>
      <c r="O57">
        <f t="shared" si="4"/>
        <v>38.377292150000002</v>
      </c>
      <c r="P57">
        <f t="shared" si="5"/>
        <v>38.307961840000004</v>
      </c>
      <c r="Q57">
        <f t="shared" si="6"/>
        <v>2.2248853899999999</v>
      </c>
      <c r="R57">
        <f t="shared" si="7"/>
        <v>2.9489457333333329</v>
      </c>
    </row>
    <row r="58" spans="1:18" x14ac:dyDescent="0.25">
      <c r="A58">
        <v>51</v>
      </c>
      <c r="B58">
        <v>1</v>
      </c>
      <c r="C58" t="s">
        <v>23</v>
      </c>
      <c r="D58" t="s">
        <v>11</v>
      </c>
      <c r="E58" t="s">
        <v>24</v>
      </c>
      <c r="F58">
        <v>10</v>
      </c>
      <c r="G58" s="4" t="s">
        <v>55</v>
      </c>
      <c r="H58" s="4">
        <v>802351</v>
      </c>
      <c r="I58" s="4">
        <v>21544</v>
      </c>
      <c r="J58" s="4">
        <v>70311</v>
      </c>
      <c r="K58" t="e">
        <f>'Std curve values (LC)'!$A$2*G58+'Std curve values (LC)'!$A$3</f>
        <v>#VALUE!</v>
      </c>
      <c r="L58">
        <f>'Std curve values (LC)'!$B$2*H58+'Std curve values (LC)'!$B$3</f>
        <v>308.26662170000003</v>
      </c>
      <c r="M58">
        <f>'Std curve values (LC)'!$C$2*I58+'Std curve values (LC)'!$C$3</f>
        <v>25.970039499999995</v>
      </c>
      <c r="N58">
        <f>'Std curve values (LC)'!$D$2*J58+'Std curve values (LC)'!$D$3</f>
        <v>168.75566166666664</v>
      </c>
      <c r="O58" t="e">
        <f t="shared" si="4"/>
        <v>#VALUE!</v>
      </c>
      <c r="P58">
        <f t="shared" si="5"/>
        <v>30.826662170000002</v>
      </c>
      <c r="Q58">
        <f t="shared" si="6"/>
        <v>2.5970039499999995</v>
      </c>
      <c r="R58">
        <f t="shared" si="7"/>
        <v>16.875566166666665</v>
      </c>
    </row>
    <row r="59" spans="1:18" x14ac:dyDescent="0.25">
      <c r="A59">
        <v>52</v>
      </c>
      <c r="B59">
        <v>2</v>
      </c>
      <c r="C59" t="s">
        <v>25</v>
      </c>
      <c r="D59" t="s">
        <v>11</v>
      </c>
      <c r="E59" t="s">
        <v>24</v>
      </c>
      <c r="F59">
        <v>10</v>
      </c>
      <c r="G59" s="4" t="s">
        <v>55</v>
      </c>
      <c r="H59" s="4">
        <v>736068</v>
      </c>
      <c r="I59" s="4">
        <v>38513</v>
      </c>
      <c r="J59" s="4">
        <v>73612</v>
      </c>
      <c r="K59" t="e">
        <f>'Std curve values (LC)'!$A$2*G59+'Std curve values (LC)'!$A$3</f>
        <v>#VALUE!</v>
      </c>
      <c r="L59">
        <f>'Std curve values (LC)'!$B$2*H59+'Std curve values (LC)'!$B$3</f>
        <v>283.29781560000004</v>
      </c>
      <c r="M59">
        <f>'Std curve values (LC)'!$C$2*I59+'Std curve values (LC)'!$C$3</f>
        <v>45.233248299999993</v>
      </c>
      <c r="N59">
        <f>'Std curve values (LC)'!$D$2*J59+'Std curve values (LC)'!$D$3</f>
        <v>176.67432053333332</v>
      </c>
      <c r="O59" t="e">
        <f t="shared" si="4"/>
        <v>#VALUE!</v>
      </c>
      <c r="P59">
        <f t="shared" si="5"/>
        <v>28.329781560000004</v>
      </c>
      <c r="Q59">
        <f t="shared" si="6"/>
        <v>4.5233248299999991</v>
      </c>
      <c r="R59">
        <f t="shared" si="7"/>
        <v>17.667432053333332</v>
      </c>
    </row>
    <row r="60" spans="1:18" x14ac:dyDescent="0.25">
      <c r="A60">
        <v>53</v>
      </c>
      <c r="B60">
        <v>3</v>
      </c>
      <c r="C60" t="s">
        <v>26</v>
      </c>
      <c r="D60" t="s">
        <v>11</v>
      </c>
      <c r="E60" t="s">
        <v>24</v>
      </c>
      <c r="F60">
        <v>10</v>
      </c>
      <c r="G60" s="4" t="s">
        <v>55</v>
      </c>
      <c r="H60" s="4">
        <v>745977</v>
      </c>
      <c r="I60" s="4">
        <v>13949</v>
      </c>
      <c r="J60" s="4">
        <v>75942</v>
      </c>
      <c r="K60" t="e">
        <f>'Std curve values (LC)'!$A$2*G60+'Std curve values (LC)'!$A$3</f>
        <v>#VALUE!</v>
      </c>
      <c r="L60">
        <f>'Std curve values (LC)'!$B$2*H60+'Std curve values (LC)'!$B$3</f>
        <v>287.03053590000002</v>
      </c>
      <c r="M60">
        <f>'Std curve values (LC)'!$C$2*I60+'Std curve values (LC)'!$C$3</f>
        <v>17.348195499999999</v>
      </c>
      <c r="N60">
        <f>'Std curve values (LC)'!$D$2*J60+'Std curve values (LC)'!$D$3</f>
        <v>182.26367986666665</v>
      </c>
      <c r="O60" t="e">
        <f t="shared" si="4"/>
        <v>#VALUE!</v>
      </c>
      <c r="P60">
        <f t="shared" si="5"/>
        <v>28.703053590000003</v>
      </c>
      <c r="Q60">
        <f t="shared" si="6"/>
        <v>1.7348195499999999</v>
      </c>
      <c r="R60">
        <f t="shared" si="7"/>
        <v>18.226367986666666</v>
      </c>
    </row>
    <row r="61" spans="1:18" x14ac:dyDescent="0.25">
      <c r="A61">
        <v>54</v>
      </c>
      <c r="B61">
        <v>4</v>
      </c>
      <c r="C61" t="s">
        <v>27</v>
      </c>
      <c r="D61" t="s">
        <v>11</v>
      </c>
      <c r="E61" t="s">
        <v>24</v>
      </c>
      <c r="F61">
        <v>10</v>
      </c>
      <c r="G61" s="4">
        <v>25932</v>
      </c>
      <c r="H61" s="4">
        <v>641004</v>
      </c>
      <c r="I61" s="4">
        <v>89340</v>
      </c>
      <c r="J61" s="4">
        <v>83937</v>
      </c>
      <c r="K61">
        <f>'Std curve values (LC)'!$A$2*G61+'Std curve values (LC)'!$A$3</f>
        <v>15.101559600000002</v>
      </c>
      <c r="L61">
        <f>'Std curve values (LC)'!$B$2*H61+'Std curve values (LC)'!$B$3</f>
        <v>247.4872068</v>
      </c>
      <c r="M61">
        <f>'Std curve values (LC)'!$C$2*I61+'Std curve values (LC)'!$C$3</f>
        <v>102.93205869999998</v>
      </c>
      <c r="N61">
        <f>'Std curve values (LC)'!$D$2*J61+'Std curve values (LC)'!$D$3</f>
        <v>201.44261886666663</v>
      </c>
      <c r="O61">
        <f t="shared" si="4"/>
        <v>1.5101559600000001</v>
      </c>
      <c r="P61">
        <f t="shared" si="5"/>
        <v>24.748720679999998</v>
      </c>
      <c r="Q61">
        <f t="shared" si="6"/>
        <v>10.293205869999998</v>
      </c>
      <c r="R61">
        <f t="shared" si="7"/>
        <v>20.144261886666662</v>
      </c>
    </row>
    <row r="62" spans="1:18" x14ac:dyDescent="0.25">
      <c r="A62">
        <v>55</v>
      </c>
      <c r="B62">
        <v>5</v>
      </c>
      <c r="C62" t="s">
        <v>28</v>
      </c>
      <c r="D62" t="s">
        <v>11</v>
      </c>
      <c r="E62" t="s">
        <v>24</v>
      </c>
      <c r="F62">
        <v>10</v>
      </c>
      <c r="G62" s="4">
        <v>18081</v>
      </c>
      <c r="H62" s="4">
        <v>608357</v>
      </c>
      <c r="I62" s="4">
        <v>95245</v>
      </c>
      <c r="J62" s="4">
        <v>91838</v>
      </c>
      <c r="K62">
        <f>'Std curve values (LC)'!$A$2*G62+'Std curve values (LC)'!$A$3</f>
        <v>11.8410393</v>
      </c>
      <c r="L62">
        <f>'Std curve values (LC)'!$B$2*H62+'Std curve values (LC)'!$B$3</f>
        <v>235.18908189999999</v>
      </c>
      <c r="M62">
        <f>'Std curve values (LC)'!$C$2*I62+'Std curve values (LC)'!$C$3</f>
        <v>109.63541469999998</v>
      </c>
      <c r="N62">
        <f>'Std curve values (LC)'!$D$2*J62+'Std curve values (LC)'!$D$3</f>
        <v>220.39606439999997</v>
      </c>
      <c r="O62">
        <f t="shared" si="4"/>
        <v>1.18410393</v>
      </c>
      <c r="P62">
        <f t="shared" si="5"/>
        <v>23.518908189999998</v>
      </c>
      <c r="Q62">
        <f t="shared" si="6"/>
        <v>10.963541469999999</v>
      </c>
      <c r="R62">
        <f t="shared" si="7"/>
        <v>22.039606439999996</v>
      </c>
    </row>
    <row r="63" spans="1:18" x14ac:dyDescent="0.25">
      <c r="A63">
        <v>56</v>
      </c>
      <c r="B63">
        <v>6</v>
      </c>
      <c r="C63" t="s">
        <v>29</v>
      </c>
      <c r="D63" t="s">
        <v>11</v>
      </c>
      <c r="E63" t="s">
        <v>24</v>
      </c>
      <c r="F63">
        <v>10</v>
      </c>
      <c r="G63" s="4">
        <v>1101</v>
      </c>
      <c r="H63" s="4">
        <v>653211</v>
      </c>
      <c r="I63" s="4">
        <v>53360</v>
      </c>
      <c r="J63" s="4">
        <v>88781</v>
      </c>
      <c r="K63">
        <f>'Std curve values (LC)'!$A$2*G63+'Std curve values (LC)'!$A$3</f>
        <v>4.7892453000000001</v>
      </c>
      <c r="L63">
        <f>'Std curve values (LC)'!$B$2*H63+'Std curve values (LC)'!$B$3</f>
        <v>252.08558369999997</v>
      </c>
      <c r="M63">
        <f>'Std curve values (LC)'!$C$2*I63+'Std curve values (LC)'!$C$3</f>
        <v>62.087562699999992</v>
      </c>
      <c r="N63">
        <f>'Std curve values (LC)'!$D$2*J63+'Std curve values (LC)'!$D$3</f>
        <v>213.06272899999996</v>
      </c>
      <c r="O63">
        <f t="shared" si="4"/>
        <v>0.47892453000000001</v>
      </c>
      <c r="P63">
        <f t="shared" si="5"/>
        <v>25.208558369999999</v>
      </c>
      <c r="Q63">
        <f t="shared" si="6"/>
        <v>6.2087562699999994</v>
      </c>
      <c r="R63">
        <f t="shared" si="7"/>
        <v>21.306272899999996</v>
      </c>
    </row>
    <row r="64" spans="1:18" x14ac:dyDescent="0.25">
      <c r="A64">
        <v>57</v>
      </c>
      <c r="B64">
        <v>7</v>
      </c>
      <c r="C64" t="s">
        <v>30</v>
      </c>
      <c r="D64" t="s">
        <v>11</v>
      </c>
      <c r="E64" t="s">
        <v>24</v>
      </c>
      <c r="F64">
        <v>10</v>
      </c>
      <c r="G64" s="4" t="s">
        <v>55</v>
      </c>
      <c r="H64" s="4">
        <v>736951</v>
      </c>
      <c r="I64" s="4">
        <v>27298</v>
      </c>
      <c r="J64" s="4">
        <v>79165</v>
      </c>
      <c r="K64" t="e">
        <f>'Std curve values (LC)'!$A$2*G64+'Std curve values (LC)'!$A$3</f>
        <v>#VALUE!</v>
      </c>
      <c r="L64">
        <f>'Std curve values (LC)'!$B$2*H64+'Std curve values (LC)'!$B$3</f>
        <v>283.63044170000001</v>
      </c>
      <c r="M64">
        <f>'Std curve values (LC)'!$C$2*I64+'Std curve values (LC)'!$C$3</f>
        <v>32.5019803</v>
      </c>
      <c r="N64">
        <f>'Std curve values (LC)'!$D$2*J64+'Std curve values (LC)'!$D$3</f>
        <v>189.99522713333329</v>
      </c>
      <c r="O64" t="e">
        <f t="shared" si="4"/>
        <v>#VALUE!</v>
      </c>
      <c r="P64">
        <f t="shared" si="5"/>
        <v>28.363044170000002</v>
      </c>
      <c r="Q64">
        <f t="shared" si="6"/>
        <v>3.25019803</v>
      </c>
      <c r="R64">
        <f t="shared" si="7"/>
        <v>18.999522713333327</v>
      </c>
    </row>
    <row r="65" spans="1:18" x14ac:dyDescent="0.25">
      <c r="A65">
        <v>58</v>
      </c>
      <c r="B65">
        <v>8</v>
      </c>
      <c r="C65" t="s">
        <v>31</v>
      </c>
      <c r="D65" t="s">
        <v>11</v>
      </c>
      <c r="E65" t="s">
        <v>24</v>
      </c>
      <c r="F65">
        <v>10</v>
      </c>
      <c r="G65" s="4">
        <v>18133</v>
      </c>
      <c r="H65" s="4">
        <v>579785</v>
      </c>
      <c r="I65" s="4">
        <v>115640</v>
      </c>
      <c r="J65" s="4">
        <v>100582</v>
      </c>
      <c r="K65">
        <f>'Std curve values (LC)'!$A$2*G65+'Std curve values (LC)'!$A$3</f>
        <v>11.8626349</v>
      </c>
      <c r="L65">
        <f>'Std curve values (LC)'!$B$2*H65+'Std curve values (LC)'!$B$3</f>
        <v>224.42600949999999</v>
      </c>
      <c r="M65">
        <f>'Std curve values (LC)'!$C$2*I65+'Std curve values (LC)'!$C$3</f>
        <v>132.78781869999997</v>
      </c>
      <c r="N65">
        <f>'Std curve values (LC)'!$D$2*J65+'Std curve values (LC)'!$D$3</f>
        <v>241.3717545333333</v>
      </c>
      <c r="O65">
        <f t="shared" si="4"/>
        <v>1.18626349</v>
      </c>
      <c r="P65">
        <f t="shared" si="5"/>
        <v>22.442600949999999</v>
      </c>
      <c r="Q65">
        <f t="shared" si="6"/>
        <v>13.278781869999998</v>
      </c>
      <c r="R65">
        <f t="shared" si="7"/>
        <v>24.137175453333331</v>
      </c>
    </row>
    <row r="66" spans="1:18" x14ac:dyDescent="0.25">
      <c r="A66">
        <v>59</v>
      </c>
      <c r="B66">
        <v>9</v>
      </c>
      <c r="C66" t="s">
        <v>32</v>
      </c>
      <c r="D66" t="s">
        <v>11</v>
      </c>
      <c r="E66" t="s">
        <v>24</v>
      </c>
      <c r="F66">
        <v>10</v>
      </c>
      <c r="G66" s="4" t="s">
        <v>55</v>
      </c>
      <c r="H66" s="4">
        <v>760223</v>
      </c>
      <c r="I66" s="4">
        <v>48697</v>
      </c>
      <c r="J66" s="4">
        <v>88444</v>
      </c>
      <c r="K66" t="e">
        <f>'Std curve values (LC)'!$A$2*G66+'Std curve values (LC)'!$A$3</f>
        <v>#VALUE!</v>
      </c>
      <c r="L66">
        <f>'Std curve values (LC)'!$B$2*H66+'Std curve values (LC)'!$B$3</f>
        <v>292.3970041</v>
      </c>
      <c r="M66">
        <f>'Std curve values (LC)'!$C$2*I66+'Std curve values (LC)'!$C$3</f>
        <v>56.794125099999988</v>
      </c>
      <c r="N66">
        <f>'Std curve values (LC)'!$D$2*J66+'Std curve values (LC)'!$D$3</f>
        <v>212.2543109333333</v>
      </c>
      <c r="O66" t="e">
        <f t="shared" ref="O66:O97" si="8">K66/$F66</f>
        <v>#VALUE!</v>
      </c>
      <c r="P66">
        <f t="shared" ref="P66:P97" si="9">L66/$F66</f>
        <v>29.239700410000001</v>
      </c>
      <c r="Q66">
        <f t="shared" ref="Q66:Q97" si="10">M66/$F66</f>
        <v>5.6794125099999988</v>
      </c>
      <c r="R66">
        <f t="shared" ref="R66:R97" si="11">N66/$F66</f>
        <v>21.225431093333331</v>
      </c>
    </row>
    <row r="67" spans="1:18" x14ac:dyDescent="0.25">
      <c r="A67">
        <v>60</v>
      </c>
      <c r="B67">
        <v>10</v>
      </c>
      <c r="C67" t="s">
        <v>33</v>
      </c>
      <c r="D67" t="s">
        <v>11</v>
      </c>
      <c r="E67" t="s">
        <v>24</v>
      </c>
      <c r="F67">
        <v>10</v>
      </c>
      <c r="G67" s="4" t="s">
        <v>55</v>
      </c>
      <c r="H67" s="4">
        <v>679615</v>
      </c>
      <c r="I67" s="4">
        <v>19044</v>
      </c>
      <c r="J67" s="4">
        <v>96981</v>
      </c>
      <c r="K67" t="e">
        <f>'Std curve values (LC)'!$A$2*G67+'Std curve values (LC)'!$A$3</f>
        <v>#VALUE!</v>
      </c>
      <c r="L67">
        <f>'Std curve values (LC)'!$B$2*H67+'Std curve values (LC)'!$B$3</f>
        <v>262.0319705</v>
      </c>
      <c r="M67">
        <f>'Std curve values (LC)'!$C$2*I67+'Std curve values (LC)'!$C$3</f>
        <v>23.132039499999994</v>
      </c>
      <c r="N67">
        <f>'Std curve values (LC)'!$D$2*J67+'Std curve values (LC)'!$D$3</f>
        <v>232.73343566666662</v>
      </c>
      <c r="O67" t="e">
        <f t="shared" si="8"/>
        <v>#VALUE!</v>
      </c>
      <c r="P67">
        <f t="shared" si="9"/>
        <v>26.20319705</v>
      </c>
      <c r="Q67">
        <f t="shared" si="10"/>
        <v>2.3132039499999992</v>
      </c>
      <c r="R67">
        <f t="shared" si="11"/>
        <v>23.273343566666661</v>
      </c>
    </row>
    <row r="68" spans="1:18" x14ac:dyDescent="0.25">
      <c r="A68">
        <v>61</v>
      </c>
      <c r="B68">
        <v>11</v>
      </c>
      <c r="C68" t="s">
        <v>34</v>
      </c>
      <c r="D68" t="s">
        <v>11</v>
      </c>
      <c r="E68" t="s">
        <v>24</v>
      </c>
      <c r="F68">
        <v>10</v>
      </c>
      <c r="G68" s="4" t="s">
        <v>55</v>
      </c>
      <c r="H68" s="4">
        <v>687074</v>
      </c>
      <c r="I68" s="4">
        <v>37991</v>
      </c>
      <c r="J68" s="4">
        <v>106332</v>
      </c>
      <c r="K68" t="e">
        <f>'Std curve values (LC)'!$A$2*G68+'Std curve values (LC)'!$A$3</f>
        <v>#VALUE!</v>
      </c>
      <c r="L68">
        <f>'Std curve values (LC)'!$B$2*H68+'Std curve values (LC)'!$B$3</f>
        <v>264.84177579999999</v>
      </c>
      <c r="M68">
        <f>'Std curve values (LC)'!$C$2*I68+'Std curve values (LC)'!$C$3</f>
        <v>44.640673899999996</v>
      </c>
      <c r="N68">
        <f>'Std curve values (LC)'!$D$2*J68+'Std curve values (LC)'!$D$3</f>
        <v>255.16523786666662</v>
      </c>
      <c r="O68" t="e">
        <f t="shared" si="8"/>
        <v>#VALUE!</v>
      </c>
      <c r="P68">
        <f t="shared" si="9"/>
        <v>26.484177580000001</v>
      </c>
      <c r="Q68">
        <f t="shared" si="10"/>
        <v>4.4640673899999994</v>
      </c>
      <c r="R68">
        <f t="shared" si="11"/>
        <v>25.51652378666666</v>
      </c>
    </row>
    <row r="69" spans="1:18" x14ac:dyDescent="0.25">
      <c r="A69">
        <v>62</v>
      </c>
      <c r="B69">
        <v>12</v>
      </c>
      <c r="C69" t="s">
        <v>35</v>
      </c>
      <c r="D69" t="s">
        <v>11</v>
      </c>
      <c r="E69" t="s">
        <v>24</v>
      </c>
      <c r="F69">
        <v>10</v>
      </c>
      <c r="G69" s="4" t="s">
        <v>55</v>
      </c>
      <c r="H69" s="4">
        <v>723609</v>
      </c>
      <c r="I69" s="4">
        <v>36947</v>
      </c>
      <c r="J69" s="4">
        <v>104008</v>
      </c>
      <c r="K69" t="e">
        <f>'Std curve values (LC)'!$A$2*G69+'Std curve values (LC)'!$A$3</f>
        <v>#VALUE!</v>
      </c>
      <c r="L69">
        <f>'Std curve values (LC)'!$B$2*H69+'Std curve values (LC)'!$B$3</f>
        <v>278.60451030000002</v>
      </c>
      <c r="M69">
        <f>'Std curve values (LC)'!$C$2*I69+'Std curve values (LC)'!$C$3</f>
        <v>43.455525099999996</v>
      </c>
      <c r="N69">
        <f>'Std curve values (LC)'!$D$2*J69+'Std curve values (LC)'!$D$3</f>
        <v>249.59027173333328</v>
      </c>
      <c r="O69" t="e">
        <f t="shared" si="8"/>
        <v>#VALUE!</v>
      </c>
      <c r="P69">
        <f t="shared" si="9"/>
        <v>27.86045103</v>
      </c>
      <c r="Q69">
        <f t="shared" si="10"/>
        <v>4.3455525099999992</v>
      </c>
      <c r="R69">
        <f t="shared" si="11"/>
        <v>24.959027173333329</v>
      </c>
    </row>
    <row r="70" spans="1:18" x14ac:dyDescent="0.25">
      <c r="A70">
        <v>63</v>
      </c>
      <c r="B70">
        <v>13</v>
      </c>
      <c r="C70" t="s">
        <v>36</v>
      </c>
      <c r="D70" t="s">
        <v>11</v>
      </c>
      <c r="E70" t="s">
        <v>24</v>
      </c>
      <c r="F70">
        <v>10</v>
      </c>
      <c r="G70" s="3">
        <v>27698</v>
      </c>
      <c r="H70" s="3">
        <v>714448</v>
      </c>
      <c r="I70" s="3">
        <v>50348</v>
      </c>
      <c r="J70" s="3">
        <v>95631</v>
      </c>
      <c r="K70">
        <f>'Std curve values (LC)'!$A$2*G70+'Std curve values (LC)'!$A$3</f>
        <v>15.834979400000002</v>
      </c>
      <c r="L70">
        <f>'Std curve values (LC)'!$B$2*H70+'Std curve values (LC)'!$B$3</f>
        <v>275.15356159999999</v>
      </c>
      <c r="M70">
        <f>'Std curve values (LC)'!$C$2*I70+'Std curve values (LC)'!$C$3</f>
        <v>58.66834029999999</v>
      </c>
      <c r="N70">
        <f>'Std curve values (LC)'!$D$2*J70+'Std curve values (LC)'!$D$3</f>
        <v>229.49496566666662</v>
      </c>
      <c r="O70">
        <f t="shared" si="8"/>
        <v>1.5834979400000002</v>
      </c>
      <c r="P70">
        <f t="shared" si="9"/>
        <v>27.51535616</v>
      </c>
      <c r="Q70">
        <f t="shared" si="10"/>
        <v>5.8668340299999988</v>
      </c>
      <c r="R70">
        <f t="shared" si="11"/>
        <v>22.94949656666666</v>
      </c>
    </row>
    <row r="71" spans="1:18" x14ac:dyDescent="0.25">
      <c r="A71">
        <v>64</v>
      </c>
      <c r="B71">
        <v>14</v>
      </c>
      <c r="C71" t="s">
        <v>37</v>
      </c>
      <c r="D71" t="s">
        <v>11</v>
      </c>
      <c r="E71" t="s">
        <v>24</v>
      </c>
      <c r="F71">
        <v>10</v>
      </c>
      <c r="G71" s="3" t="s">
        <v>55</v>
      </c>
      <c r="H71" s="3">
        <v>794792</v>
      </c>
      <c r="I71" s="3">
        <v>32510</v>
      </c>
      <c r="J71" s="3">
        <v>79564</v>
      </c>
      <c r="K71" t="e">
        <f>'Std curve values (LC)'!$A$2*G71+'Std curve values (LC)'!$A$3</f>
        <v>#VALUE!</v>
      </c>
      <c r="L71">
        <f>'Std curve values (LC)'!$B$2*H71+'Std curve values (LC)'!$B$3</f>
        <v>305.41914639999999</v>
      </c>
      <c r="M71">
        <f>'Std curve values (LC)'!$C$2*I71+'Std curve values (LC)'!$C$3</f>
        <v>38.418642699999992</v>
      </c>
      <c r="N71">
        <f>'Std curve values (LC)'!$D$2*J71+'Std curve values (LC)'!$D$3</f>
        <v>190.95237493333329</v>
      </c>
      <c r="O71" t="e">
        <f t="shared" si="8"/>
        <v>#VALUE!</v>
      </c>
      <c r="P71">
        <f t="shared" si="9"/>
        <v>30.541914639999998</v>
      </c>
      <c r="Q71">
        <f t="shared" si="10"/>
        <v>3.8418642699999994</v>
      </c>
      <c r="R71">
        <f t="shared" si="11"/>
        <v>19.095237493333329</v>
      </c>
    </row>
    <row r="72" spans="1:18" x14ac:dyDescent="0.25">
      <c r="A72">
        <v>65</v>
      </c>
      <c r="B72">
        <v>15</v>
      </c>
      <c r="C72" t="s">
        <v>38</v>
      </c>
      <c r="D72" t="s">
        <v>11</v>
      </c>
      <c r="E72" t="s">
        <v>24</v>
      </c>
      <c r="F72">
        <v>10</v>
      </c>
      <c r="G72" s="3">
        <v>29770</v>
      </c>
      <c r="H72" s="3">
        <v>615693</v>
      </c>
      <c r="I72" s="3">
        <v>120163</v>
      </c>
      <c r="J72" s="3">
        <v>102039</v>
      </c>
      <c r="K72">
        <f>'Std curve values (LC)'!$A$2*G72+'Std curve values (LC)'!$A$3</f>
        <v>16.695481000000001</v>
      </c>
      <c r="L72">
        <f>'Std curve values (LC)'!$B$2*H72+'Std curve values (LC)'!$B$3</f>
        <v>237.95255309999999</v>
      </c>
      <c r="M72">
        <f>'Std curve values (LC)'!$C$2*I72+'Std curve values (LC)'!$C$3</f>
        <v>137.92232829999998</v>
      </c>
      <c r="N72">
        <f>'Std curve values (LC)'!$D$2*J72+'Std curve values (LC)'!$D$3</f>
        <v>244.86690326666661</v>
      </c>
      <c r="O72">
        <f t="shared" si="8"/>
        <v>1.6695481000000001</v>
      </c>
      <c r="P72">
        <f t="shared" si="9"/>
        <v>23.795255309999998</v>
      </c>
      <c r="Q72">
        <f t="shared" si="10"/>
        <v>13.792232829999998</v>
      </c>
      <c r="R72">
        <f t="shared" si="11"/>
        <v>24.486690326666661</v>
      </c>
    </row>
    <row r="73" spans="1:18" x14ac:dyDescent="0.25">
      <c r="A73">
        <v>66</v>
      </c>
      <c r="B73">
        <v>16</v>
      </c>
      <c r="C73" t="s">
        <v>39</v>
      </c>
      <c r="D73" t="s">
        <v>11</v>
      </c>
      <c r="E73" t="s">
        <v>24</v>
      </c>
      <c r="F73">
        <v>10</v>
      </c>
      <c r="G73" s="3">
        <v>32939</v>
      </c>
      <c r="H73" s="3">
        <v>795975</v>
      </c>
      <c r="I73" s="3">
        <v>26368</v>
      </c>
      <c r="J73" s="3">
        <v>77088</v>
      </c>
      <c r="K73">
        <f>'Std curve values (LC)'!$A$2*G73+'Std curve values (LC)'!$A$3</f>
        <v>18.011566699999999</v>
      </c>
      <c r="L73">
        <f>'Std curve values (LC)'!$B$2*H73+'Std curve values (LC)'!$B$3</f>
        <v>305.86478249999999</v>
      </c>
      <c r="M73">
        <f>'Std curve values (LC)'!$C$2*I73+'Std curve values (LC)'!$C$3</f>
        <v>31.446244299999993</v>
      </c>
      <c r="N73">
        <f>'Std curve values (LC)'!$D$2*J73+'Std curve values (LC)'!$D$3</f>
        <v>185.01278106666663</v>
      </c>
      <c r="O73">
        <f t="shared" si="8"/>
        <v>1.8011566699999999</v>
      </c>
      <c r="P73">
        <f t="shared" si="9"/>
        <v>30.586478249999999</v>
      </c>
      <c r="Q73">
        <f t="shared" si="10"/>
        <v>3.1446244299999995</v>
      </c>
      <c r="R73">
        <f t="shared" si="11"/>
        <v>18.501278106666664</v>
      </c>
    </row>
    <row r="74" spans="1:18" x14ac:dyDescent="0.25">
      <c r="A74">
        <v>67</v>
      </c>
      <c r="B74">
        <v>17</v>
      </c>
      <c r="C74" t="s">
        <v>40</v>
      </c>
      <c r="D74" t="s">
        <v>11</v>
      </c>
      <c r="E74" t="s">
        <v>24</v>
      </c>
      <c r="F74">
        <v>10</v>
      </c>
      <c r="G74" s="4" t="s">
        <v>55</v>
      </c>
      <c r="H74" s="4">
        <v>809400</v>
      </c>
      <c r="I74" s="4">
        <v>28533</v>
      </c>
      <c r="J74" s="4">
        <v>70464</v>
      </c>
      <c r="K74" t="e">
        <f>'Std curve values (LC)'!$A$2*G74+'Std curve values (LC)'!$A$3</f>
        <v>#VALUE!</v>
      </c>
      <c r="L74">
        <f>'Std curve values (LC)'!$B$2*H74+'Std curve values (LC)'!$B$3</f>
        <v>310.92198000000002</v>
      </c>
      <c r="M74">
        <f>'Std curve values (LC)'!$C$2*I74+'Std curve values (LC)'!$C$3</f>
        <v>33.903952299999993</v>
      </c>
      <c r="N74">
        <f>'Std curve values (LC)'!$D$2*J74+'Std curve values (LC)'!$D$3</f>
        <v>169.12268826666664</v>
      </c>
      <c r="O74" t="e">
        <f t="shared" si="8"/>
        <v>#VALUE!</v>
      </c>
      <c r="P74">
        <f t="shared" si="9"/>
        <v>31.092198000000003</v>
      </c>
      <c r="Q74">
        <f t="shared" si="10"/>
        <v>3.3903952299999993</v>
      </c>
      <c r="R74">
        <f t="shared" si="11"/>
        <v>16.912268826666665</v>
      </c>
    </row>
    <row r="75" spans="1:18" x14ac:dyDescent="0.25">
      <c r="A75">
        <v>68</v>
      </c>
      <c r="B75">
        <v>18</v>
      </c>
      <c r="C75" t="s">
        <v>41</v>
      </c>
      <c r="D75" t="s">
        <v>11</v>
      </c>
      <c r="E75" t="s">
        <v>24</v>
      </c>
      <c r="F75">
        <v>10</v>
      </c>
      <c r="G75" s="4">
        <v>27978</v>
      </c>
      <c r="H75" s="4">
        <v>768857</v>
      </c>
      <c r="I75" s="4">
        <v>65062</v>
      </c>
      <c r="J75" s="4">
        <v>64505</v>
      </c>
      <c r="K75">
        <f>'Std curve values (LC)'!$A$2*G75+'Std curve values (LC)'!$A$3</f>
        <v>15.951263399999998</v>
      </c>
      <c r="L75">
        <f>'Std curve values (LC)'!$B$2*H75+'Std curve values (LC)'!$B$3</f>
        <v>295.64943190000002</v>
      </c>
      <c r="M75">
        <f>'Std curve values (LC)'!$C$2*I75+'Std curve values (LC)'!$C$3</f>
        <v>75.371673099999995</v>
      </c>
      <c r="N75">
        <f>'Std curve values (LC)'!$D$2*J75+'Std curve values (LC)'!$D$3</f>
        <v>154.82784179999999</v>
      </c>
      <c r="O75">
        <f t="shared" si="8"/>
        <v>1.5951263399999998</v>
      </c>
      <c r="P75">
        <f t="shared" si="9"/>
        <v>29.564943190000001</v>
      </c>
      <c r="Q75">
        <f t="shared" si="10"/>
        <v>7.5371673099999992</v>
      </c>
      <c r="R75">
        <f t="shared" si="11"/>
        <v>15.482784179999999</v>
      </c>
    </row>
    <row r="76" spans="1:18" x14ac:dyDescent="0.25">
      <c r="A76">
        <v>69</v>
      </c>
      <c r="B76">
        <v>19</v>
      </c>
      <c r="C76" t="s">
        <v>42</v>
      </c>
      <c r="D76" t="s">
        <v>11</v>
      </c>
      <c r="E76" t="s">
        <v>24</v>
      </c>
      <c r="F76">
        <v>10</v>
      </c>
      <c r="G76" s="4">
        <v>1688</v>
      </c>
      <c r="H76" s="4">
        <v>737448</v>
      </c>
      <c r="I76" s="4">
        <v>60692</v>
      </c>
      <c r="J76" s="4">
        <v>66698</v>
      </c>
      <c r="K76">
        <f>'Std curve values (LC)'!$A$2*G76+'Std curve values (LC)'!$A$3</f>
        <v>5.0330263999999998</v>
      </c>
      <c r="L76">
        <f>'Std curve values (LC)'!$B$2*H76+'Std curve values (LC)'!$B$3</f>
        <v>283.81766160000001</v>
      </c>
      <c r="M76">
        <f>'Std curve values (LC)'!$C$2*I76+'Std curve values (LC)'!$C$3</f>
        <v>70.410849099999993</v>
      </c>
      <c r="N76">
        <f>'Std curve values (LC)'!$D$2*J76+'Std curve values (LC)'!$D$3</f>
        <v>160.08855639999996</v>
      </c>
      <c r="O76">
        <f t="shared" si="8"/>
        <v>0.50330264000000002</v>
      </c>
      <c r="P76">
        <f t="shared" si="9"/>
        <v>28.381766160000002</v>
      </c>
      <c r="Q76">
        <f t="shared" si="10"/>
        <v>7.0410849099999995</v>
      </c>
      <c r="R76">
        <f t="shared" si="11"/>
        <v>16.008855639999997</v>
      </c>
    </row>
    <row r="77" spans="1:18" x14ac:dyDescent="0.25">
      <c r="A77">
        <v>70</v>
      </c>
      <c r="B77">
        <v>20</v>
      </c>
      <c r="C77" t="s">
        <v>43</v>
      </c>
      <c r="D77" t="s">
        <v>11</v>
      </c>
      <c r="E77" t="s">
        <v>24</v>
      </c>
      <c r="F77">
        <v>10</v>
      </c>
      <c r="G77" s="4">
        <v>32156</v>
      </c>
      <c r="H77" s="4">
        <v>790036</v>
      </c>
      <c r="I77" s="4">
        <v>26838</v>
      </c>
      <c r="J77" s="4">
        <v>51657</v>
      </c>
      <c r="K77">
        <f>'Std curve values (LC)'!$A$2*G77+'Std curve values (LC)'!$A$3</f>
        <v>17.686386800000001</v>
      </c>
      <c r="L77">
        <f>'Std curve values (LC)'!$B$2*H77+'Std curve values (LC)'!$B$3</f>
        <v>303.6275612</v>
      </c>
      <c r="M77">
        <f>'Std curve values (LC)'!$C$2*I77+'Std curve values (LC)'!$C$3</f>
        <v>31.979788299999996</v>
      </c>
      <c r="N77">
        <f>'Std curve values (LC)'!$D$2*J77+'Std curve values (LC)'!$D$3</f>
        <v>124.00720286666665</v>
      </c>
      <c r="O77">
        <f t="shared" si="8"/>
        <v>1.76863868</v>
      </c>
      <c r="P77">
        <f t="shared" si="9"/>
        <v>30.36275612</v>
      </c>
      <c r="Q77">
        <f t="shared" si="10"/>
        <v>3.1979788299999994</v>
      </c>
      <c r="R77">
        <f t="shared" si="11"/>
        <v>12.400720286666665</v>
      </c>
    </row>
    <row r="78" spans="1:18" x14ac:dyDescent="0.25">
      <c r="A78">
        <v>71</v>
      </c>
      <c r="B78">
        <v>21</v>
      </c>
      <c r="C78" t="s">
        <v>44</v>
      </c>
      <c r="D78" t="s">
        <v>11</v>
      </c>
      <c r="E78" t="s">
        <v>24</v>
      </c>
      <c r="F78">
        <v>10</v>
      </c>
      <c r="G78" s="3">
        <v>28338</v>
      </c>
      <c r="H78" s="3">
        <v>694790</v>
      </c>
      <c r="I78" s="3">
        <v>104366</v>
      </c>
      <c r="J78" s="3">
        <v>90677</v>
      </c>
      <c r="K78">
        <f>'Std curve values (LC)'!$A$2*G78+'Std curve values (LC)'!$A$3</f>
        <v>16.100771399999999</v>
      </c>
      <c r="L78">
        <f>'Std curve values (LC)'!$B$2*H78+'Std curve values (LC)'!$B$3</f>
        <v>267.74839300000002</v>
      </c>
      <c r="M78">
        <f>'Std curve values (LC)'!$C$2*I78+'Std curve values (LC)'!$C$3</f>
        <v>119.98957389999998</v>
      </c>
      <c r="N78">
        <f>'Std curve values (LC)'!$D$2*J78+'Std curve values (LC)'!$D$3</f>
        <v>217.61098019999997</v>
      </c>
      <c r="O78">
        <f t="shared" si="8"/>
        <v>1.61007714</v>
      </c>
      <c r="P78">
        <f t="shared" si="9"/>
        <v>26.774839300000004</v>
      </c>
      <c r="Q78">
        <f t="shared" si="10"/>
        <v>11.998957389999998</v>
      </c>
      <c r="R78">
        <f t="shared" si="11"/>
        <v>21.761098019999999</v>
      </c>
    </row>
    <row r="79" spans="1:18" x14ac:dyDescent="0.25">
      <c r="A79">
        <v>72</v>
      </c>
      <c r="B79">
        <v>22</v>
      </c>
      <c r="C79" t="s">
        <v>45</v>
      </c>
      <c r="D79" t="s">
        <v>11</v>
      </c>
      <c r="E79" t="s">
        <v>24</v>
      </c>
      <c r="F79">
        <v>10</v>
      </c>
      <c r="G79" s="3" t="s">
        <v>55</v>
      </c>
      <c r="H79" s="3">
        <v>741150</v>
      </c>
      <c r="I79" s="3">
        <v>61337</v>
      </c>
      <c r="J79" s="3">
        <v>77902</v>
      </c>
      <c r="K79" t="e">
        <f>'Std curve values (LC)'!$A$2*G79+'Std curve values (LC)'!$A$3</f>
        <v>#VALUE!</v>
      </c>
      <c r="L79">
        <f>'Std curve values (LC)'!$B$2*H79+'Std curve values (LC)'!$B$3</f>
        <v>285.21220499999998</v>
      </c>
      <c r="M79">
        <f>'Std curve values (LC)'!$C$2*I79+'Std curve values (LC)'!$C$3</f>
        <v>71.143053099999989</v>
      </c>
      <c r="N79">
        <f>'Std curve values (LC)'!$D$2*J79+'Std curve values (LC)'!$D$3</f>
        <v>186.9654585333333</v>
      </c>
      <c r="O79" t="e">
        <f t="shared" si="8"/>
        <v>#VALUE!</v>
      </c>
      <c r="P79">
        <f t="shared" si="9"/>
        <v>28.521220499999998</v>
      </c>
      <c r="Q79">
        <f t="shared" si="10"/>
        <v>7.1143053099999989</v>
      </c>
      <c r="R79">
        <f t="shared" si="11"/>
        <v>18.69654585333333</v>
      </c>
    </row>
    <row r="80" spans="1:18" x14ac:dyDescent="0.25">
      <c r="A80">
        <v>73</v>
      </c>
      <c r="B80">
        <v>23</v>
      </c>
      <c r="C80" t="s">
        <v>46</v>
      </c>
      <c r="D80" t="s">
        <v>11</v>
      </c>
      <c r="E80" t="s">
        <v>24</v>
      </c>
      <c r="F80">
        <v>10</v>
      </c>
      <c r="G80" s="3">
        <v>32314</v>
      </c>
      <c r="H80" s="3">
        <v>695323</v>
      </c>
      <c r="I80" s="3">
        <v>106595</v>
      </c>
      <c r="J80" s="3">
        <v>89163</v>
      </c>
      <c r="K80">
        <f>'Std curve values (LC)'!$A$2*G80+'Std curve values (LC)'!$A$3</f>
        <v>17.752004200000002</v>
      </c>
      <c r="L80">
        <f>'Std curve values (LC)'!$B$2*H80+'Std curve values (LC)'!$B$3</f>
        <v>267.94917409999999</v>
      </c>
      <c r="M80">
        <f>'Std curve values (LC)'!$C$2*I80+'Std curve values (LC)'!$C$3</f>
        <v>122.51993469999998</v>
      </c>
      <c r="N80">
        <f>'Std curve values (LC)'!$D$2*J80+'Std curve values (LC)'!$D$3</f>
        <v>213.97909606666664</v>
      </c>
      <c r="O80">
        <f t="shared" si="8"/>
        <v>1.7752004200000002</v>
      </c>
      <c r="P80">
        <f t="shared" si="9"/>
        <v>26.79491741</v>
      </c>
      <c r="Q80">
        <f t="shared" si="10"/>
        <v>12.251993469999999</v>
      </c>
      <c r="R80">
        <f t="shared" si="11"/>
        <v>21.397909606666666</v>
      </c>
    </row>
    <row r="81" spans="1:18" x14ac:dyDescent="0.25">
      <c r="A81">
        <v>74</v>
      </c>
      <c r="B81">
        <v>24</v>
      </c>
      <c r="C81" t="s">
        <v>47</v>
      </c>
      <c r="D81" t="s">
        <v>11</v>
      </c>
      <c r="E81" t="s">
        <v>24</v>
      </c>
      <c r="F81">
        <v>10</v>
      </c>
      <c r="G81" s="3" t="s">
        <v>55</v>
      </c>
      <c r="H81" s="3">
        <v>775032</v>
      </c>
      <c r="I81" s="3">
        <v>43802</v>
      </c>
      <c r="J81" s="3">
        <v>70632</v>
      </c>
      <c r="K81" t="e">
        <f>'Std curve values (LC)'!$A$2*G81+'Std curve values (LC)'!$A$3</f>
        <v>#VALUE!</v>
      </c>
      <c r="L81">
        <f>'Std curve values (LC)'!$B$2*H81+'Std curve values (LC)'!$B$3</f>
        <v>297.97555440000002</v>
      </c>
      <c r="M81">
        <f>'Std curve values (LC)'!$C$2*I81+'Std curve values (LC)'!$C$3</f>
        <v>51.237321099999988</v>
      </c>
      <c r="N81">
        <f>'Std curve values (LC)'!$D$2*J81+'Std curve values (LC)'!$D$3</f>
        <v>169.52569786666663</v>
      </c>
      <c r="O81" t="e">
        <f t="shared" si="8"/>
        <v>#VALUE!</v>
      </c>
      <c r="P81">
        <f t="shared" si="9"/>
        <v>29.797555440000004</v>
      </c>
      <c r="Q81">
        <f t="shared" si="10"/>
        <v>5.1237321099999988</v>
      </c>
      <c r="R81">
        <f t="shared" si="11"/>
        <v>16.952569786666665</v>
      </c>
    </row>
    <row r="82" spans="1:18" x14ac:dyDescent="0.25">
      <c r="A82">
        <v>91</v>
      </c>
      <c r="B82">
        <v>25</v>
      </c>
      <c r="C82" t="s">
        <v>48</v>
      </c>
      <c r="D82" t="s">
        <v>11</v>
      </c>
      <c r="E82" t="s">
        <v>24</v>
      </c>
      <c r="F82">
        <v>10</v>
      </c>
      <c r="G82" s="4" t="s">
        <v>55</v>
      </c>
      <c r="H82" s="4">
        <v>916094</v>
      </c>
      <c r="I82" s="4">
        <v>4021</v>
      </c>
      <c r="J82" s="4">
        <v>25712</v>
      </c>
      <c r="K82" t="e">
        <f>'Std curve values (LC)'!$A$2*G82+'Std curve values (LC)'!$A$3</f>
        <v>#VALUE!</v>
      </c>
      <c r="L82">
        <f>'Std curve values (LC)'!$B$2*H82+'Std curve values (LC)'!$B$3</f>
        <v>351.11360980000001</v>
      </c>
      <c r="M82">
        <f>'Std curve values (LC)'!$C$2*I82+'Std curve values (LC)'!$C$3</f>
        <v>6.0779298999999991</v>
      </c>
      <c r="N82">
        <f>'Std curve values (LC)'!$D$2*J82+'Std curve values (LC)'!$D$3</f>
        <v>61.768607199999991</v>
      </c>
      <c r="O82" t="e">
        <f t="shared" si="8"/>
        <v>#VALUE!</v>
      </c>
      <c r="P82">
        <f t="shared" si="9"/>
        <v>35.111360980000001</v>
      </c>
      <c r="Q82">
        <f t="shared" si="10"/>
        <v>0.60779298999999987</v>
      </c>
      <c r="R82">
        <f t="shared" si="11"/>
        <v>6.1768607199999988</v>
      </c>
    </row>
    <row r="83" spans="1:18" x14ac:dyDescent="0.25">
      <c r="A83">
        <v>92</v>
      </c>
      <c r="B83">
        <v>26</v>
      </c>
      <c r="C83" t="s">
        <v>49</v>
      </c>
      <c r="D83" t="s">
        <v>11</v>
      </c>
      <c r="E83" t="s">
        <v>24</v>
      </c>
      <c r="F83">
        <v>10</v>
      </c>
      <c r="G83" s="4" t="s">
        <v>55</v>
      </c>
      <c r="H83" s="4">
        <v>926325</v>
      </c>
      <c r="I83" s="4">
        <v>7480</v>
      </c>
      <c r="J83" s="4">
        <v>37170</v>
      </c>
      <c r="K83" t="e">
        <f>'Std curve values (LC)'!$A$2*G83+'Std curve values (LC)'!$A$3</f>
        <v>#VALUE!</v>
      </c>
      <c r="L83">
        <f>'Std curve values (LC)'!$B$2*H83+'Std curve values (LC)'!$B$3</f>
        <v>354.96762749999999</v>
      </c>
      <c r="M83">
        <f>'Std curve values (LC)'!$C$2*I83+'Std curve values (LC)'!$C$3</f>
        <v>10.004586699999999</v>
      </c>
      <c r="N83">
        <f>'Std curve values (LC)'!$D$2*J83+'Std curve values (LC)'!$D$3</f>
        <v>89.254821466666655</v>
      </c>
      <c r="O83" t="e">
        <f t="shared" si="8"/>
        <v>#VALUE!</v>
      </c>
      <c r="P83">
        <f t="shared" si="9"/>
        <v>35.496762750000002</v>
      </c>
      <c r="Q83">
        <f t="shared" si="10"/>
        <v>1.00045867</v>
      </c>
      <c r="R83">
        <f t="shared" si="11"/>
        <v>8.9254821466666652</v>
      </c>
    </row>
    <row r="84" spans="1:18" x14ac:dyDescent="0.25">
      <c r="A84">
        <v>93</v>
      </c>
      <c r="B84">
        <v>27</v>
      </c>
      <c r="C84" t="s">
        <v>50</v>
      </c>
      <c r="D84" t="s">
        <v>11</v>
      </c>
      <c r="E84" t="s">
        <v>24</v>
      </c>
      <c r="F84">
        <v>10</v>
      </c>
      <c r="G84" s="4" t="s">
        <v>55</v>
      </c>
      <c r="H84" s="4">
        <v>1003703</v>
      </c>
      <c r="I84" s="4">
        <v>6152</v>
      </c>
      <c r="J84" s="4">
        <v>23662</v>
      </c>
      <c r="K84" t="e">
        <f>'Std curve values (LC)'!$A$2*G84+'Std curve values (LC)'!$A$3</f>
        <v>#VALUE!</v>
      </c>
      <c r="L84">
        <f>'Std curve values (LC)'!$B$2*H84+'Std curve values (LC)'!$B$3</f>
        <v>384.11592009999998</v>
      </c>
      <c r="M84">
        <f>'Std curve values (LC)'!$C$2*I84+'Std curve values (LC)'!$C$3</f>
        <v>8.4970410999999988</v>
      </c>
      <c r="N84">
        <f>'Std curve values (LC)'!$D$2*J84+'Std curve values (LC)'!$D$3</f>
        <v>56.850930533333326</v>
      </c>
      <c r="O84" t="e">
        <f t="shared" si="8"/>
        <v>#VALUE!</v>
      </c>
      <c r="P84">
        <f t="shared" si="9"/>
        <v>38.41159201</v>
      </c>
      <c r="Q84">
        <f t="shared" si="10"/>
        <v>0.8497041099999999</v>
      </c>
      <c r="R84">
        <f t="shared" si="11"/>
        <v>5.6850930533333326</v>
      </c>
    </row>
    <row r="85" spans="1:18" x14ac:dyDescent="0.25">
      <c r="A85">
        <v>94</v>
      </c>
      <c r="B85">
        <v>28</v>
      </c>
      <c r="C85" t="s">
        <v>51</v>
      </c>
      <c r="D85" t="s">
        <v>11</v>
      </c>
      <c r="E85" t="s">
        <v>24</v>
      </c>
      <c r="F85">
        <v>10</v>
      </c>
      <c r="G85" s="4">
        <v>2515</v>
      </c>
      <c r="H85" s="4">
        <v>846940</v>
      </c>
      <c r="I85" s="4">
        <v>5476</v>
      </c>
      <c r="J85" s="4">
        <v>24789</v>
      </c>
      <c r="K85">
        <f>'Std curve values (LC)'!$A$2*G85+'Std curve values (LC)'!$A$3</f>
        <v>5.3764795000000003</v>
      </c>
      <c r="L85">
        <f>'Std curve values (LC)'!$B$2*H85+'Std curve values (LC)'!$B$3</f>
        <v>325.06329800000003</v>
      </c>
      <c r="M85">
        <f>'Std curve values (LC)'!$C$2*I85+'Std curve values (LC)'!$C$3</f>
        <v>7.7296458999999986</v>
      </c>
      <c r="N85">
        <f>'Std curve values (LC)'!$D$2*J85+'Std curve values (LC)'!$D$3</f>
        <v>59.554453266666656</v>
      </c>
      <c r="O85">
        <f t="shared" si="8"/>
        <v>0.53764794999999999</v>
      </c>
      <c r="P85">
        <f t="shared" si="9"/>
        <v>32.506329800000003</v>
      </c>
      <c r="Q85">
        <f t="shared" si="10"/>
        <v>0.77296458999999984</v>
      </c>
      <c r="R85">
        <f t="shared" si="11"/>
        <v>5.9554453266666654</v>
      </c>
    </row>
    <row r="86" spans="1:18" x14ac:dyDescent="0.25">
      <c r="A86">
        <v>151</v>
      </c>
      <c r="B86">
        <v>1</v>
      </c>
      <c r="C86" t="s">
        <v>23</v>
      </c>
      <c r="D86" t="s">
        <v>11</v>
      </c>
      <c r="E86" t="s">
        <v>52</v>
      </c>
      <c r="F86">
        <v>10</v>
      </c>
      <c r="G86" s="12">
        <v>564255</v>
      </c>
      <c r="H86" s="12">
        <v>844874</v>
      </c>
      <c r="I86" s="12">
        <v>82751</v>
      </c>
      <c r="J86" s="12">
        <v>71788</v>
      </c>
      <c r="K86">
        <f>'Std curve values (LC)'!$A$2*G86+'Std curve values (LC)'!$A$3</f>
        <v>238.6671015</v>
      </c>
      <c r="L86">
        <f>'Std curve values (LC)'!$B$2*H86+'Std curve values (LC)'!$B$3</f>
        <v>324.2850358</v>
      </c>
      <c r="M86">
        <f>'Std curve values (LC)'!$C$2*I86+'Std curve values (LC)'!$C$3</f>
        <v>95.452225899999988</v>
      </c>
      <c r="N86">
        <f>'Std curve values (LC)'!$D$2*J86+'Std curve values (LC)'!$D$3</f>
        <v>172.29878773333331</v>
      </c>
      <c r="O86">
        <f t="shared" si="8"/>
        <v>23.866710149999999</v>
      </c>
      <c r="P86">
        <f t="shared" si="9"/>
        <v>32.428503579999997</v>
      </c>
      <c r="Q86">
        <f t="shared" si="10"/>
        <v>9.5452225899999981</v>
      </c>
      <c r="R86">
        <f t="shared" si="11"/>
        <v>17.229878773333333</v>
      </c>
    </row>
    <row r="87" spans="1:18" x14ac:dyDescent="0.25">
      <c r="A87">
        <v>152</v>
      </c>
      <c r="B87">
        <v>2</v>
      </c>
      <c r="C87" t="s">
        <v>25</v>
      </c>
      <c r="D87" t="s">
        <v>11</v>
      </c>
      <c r="E87" t="s">
        <v>52</v>
      </c>
      <c r="F87">
        <v>10</v>
      </c>
      <c r="G87" s="12">
        <v>750152</v>
      </c>
      <c r="H87" s="12">
        <v>986008</v>
      </c>
      <c r="I87" s="12">
        <v>58940</v>
      </c>
      <c r="J87" s="12">
        <v>48885</v>
      </c>
      <c r="K87">
        <f>'Std curve values (LC)'!$A$2*G87+'Std curve values (LC)'!$A$3</f>
        <v>315.87012559999999</v>
      </c>
      <c r="L87">
        <f>'Std curve values (LC)'!$B$2*H87+'Std curve values (LC)'!$B$3</f>
        <v>377.45021359999998</v>
      </c>
      <c r="M87">
        <f>'Std curve values (LC)'!$C$2*I87+'Std curve values (LC)'!$C$3</f>
        <v>68.421978699999983</v>
      </c>
      <c r="N87">
        <f>'Std curve values (LC)'!$D$2*J87+'Std curve values (LC)'!$D$3</f>
        <v>117.35754446666665</v>
      </c>
      <c r="O87">
        <f t="shared" si="8"/>
        <v>31.587012559999998</v>
      </c>
      <c r="P87">
        <f t="shared" si="9"/>
        <v>37.745021359999996</v>
      </c>
      <c r="Q87">
        <f t="shared" si="10"/>
        <v>6.8421978699999979</v>
      </c>
      <c r="R87">
        <f t="shared" si="11"/>
        <v>11.735754446666665</v>
      </c>
    </row>
    <row r="88" spans="1:18" x14ac:dyDescent="0.25">
      <c r="A88">
        <v>153</v>
      </c>
      <c r="B88">
        <v>3</v>
      </c>
      <c r="C88" t="s">
        <v>26</v>
      </c>
      <c r="D88" t="s">
        <v>11</v>
      </c>
      <c r="E88" t="s">
        <v>52</v>
      </c>
      <c r="F88">
        <v>10</v>
      </c>
      <c r="G88" s="12">
        <v>539236</v>
      </c>
      <c r="H88" s="12">
        <v>929212</v>
      </c>
      <c r="I88" s="12">
        <v>114788</v>
      </c>
      <c r="J88" s="12">
        <v>98952</v>
      </c>
      <c r="K88">
        <f>'Std curve values (LC)'!$A$2*G88+'Std curve values (LC)'!$A$3</f>
        <v>228.27671079999999</v>
      </c>
      <c r="L88">
        <f>'Std curve values (LC)'!$B$2*H88+'Std curve values (LC)'!$B$3</f>
        <v>356.05516040000003</v>
      </c>
      <c r="M88">
        <f>'Std curve values (LC)'!$C$2*I88+'Std curve values (LC)'!$C$3</f>
        <v>131.82062829999998</v>
      </c>
      <c r="N88">
        <f>'Std curve values (LC)'!$D$2*J88+'Std curve values (LC)'!$D$3</f>
        <v>237.46160186666663</v>
      </c>
      <c r="O88">
        <f t="shared" si="8"/>
        <v>22.827671079999998</v>
      </c>
      <c r="P88">
        <f t="shared" si="9"/>
        <v>35.605516040000005</v>
      </c>
      <c r="Q88">
        <f t="shared" si="10"/>
        <v>13.182062829999998</v>
      </c>
      <c r="R88">
        <f t="shared" si="11"/>
        <v>23.746160186666664</v>
      </c>
    </row>
    <row r="89" spans="1:18" x14ac:dyDescent="0.25">
      <c r="A89">
        <v>154</v>
      </c>
      <c r="B89">
        <v>4</v>
      </c>
      <c r="C89" t="s">
        <v>27</v>
      </c>
      <c r="D89" t="s">
        <v>11</v>
      </c>
      <c r="E89" t="s">
        <v>52</v>
      </c>
      <c r="F89">
        <v>10</v>
      </c>
      <c r="G89" s="12">
        <v>663856</v>
      </c>
      <c r="H89" s="12">
        <v>787959</v>
      </c>
      <c r="I89" s="12">
        <v>134428</v>
      </c>
      <c r="J89" s="12">
        <v>101051</v>
      </c>
      <c r="K89">
        <f>'Std curve values (LC)'!$A$2*G89+'Std curve values (LC)'!$A$3</f>
        <v>280.03139679999998</v>
      </c>
      <c r="L89">
        <f>'Std curve values (LC)'!$B$2*H89+'Std curve values (LC)'!$B$3</f>
        <v>302.84515529999999</v>
      </c>
      <c r="M89">
        <f>'Std curve values (LC)'!$C$2*I89+'Std curve values (LC)'!$C$3</f>
        <v>154.11595629999997</v>
      </c>
      <c r="N89">
        <f>'Std curve values (LC)'!$D$2*J89+'Std curve values (LC)'!$D$3</f>
        <v>242.49682299999995</v>
      </c>
      <c r="O89">
        <f t="shared" si="8"/>
        <v>28.003139679999997</v>
      </c>
      <c r="P89">
        <f t="shared" si="9"/>
        <v>30.28451553</v>
      </c>
      <c r="Q89">
        <f t="shared" si="10"/>
        <v>15.411595629999997</v>
      </c>
      <c r="R89">
        <f t="shared" si="11"/>
        <v>24.249682299999996</v>
      </c>
    </row>
    <row r="90" spans="1:18" x14ac:dyDescent="0.25">
      <c r="A90">
        <v>155</v>
      </c>
      <c r="B90">
        <v>5</v>
      </c>
      <c r="C90" t="s">
        <v>28</v>
      </c>
      <c r="D90" t="s">
        <v>11</v>
      </c>
      <c r="E90" t="s">
        <v>52</v>
      </c>
      <c r="F90">
        <v>10</v>
      </c>
      <c r="G90" s="12">
        <v>702285</v>
      </c>
      <c r="H90" s="12">
        <v>898199</v>
      </c>
      <c r="I90" s="12">
        <v>120175</v>
      </c>
      <c r="J90" s="12">
        <v>84799</v>
      </c>
      <c r="K90">
        <f>'Std curve values (LC)'!$A$2*G90+'Std curve values (LC)'!$A$3</f>
        <v>295.99096050000003</v>
      </c>
      <c r="L90">
        <f>'Std curve values (LC)'!$B$2*H90+'Std curve values (LC)'!$B$3</f>
        <v>344.37256330000002</v>
      </c>
      <c r="M90">
        <f>'Std curve values (LC)'!$C$2*I90+'Std curve values (LC)'!$C$3</f>
        <v>137.93595069999998</v>
      </c>
      <c r="N90">
        <f>'Std curve values (LC)'!$D$2*J90+'Std curve values (LC)'!$D$3</f>
        <v>203.51044193333331</v>
      </c>
      <c r="O90">
        <f t="shared" si="8"/>
        <v>29.599096050000004</v>
      </c>
      <c r="P90">
        <f t="shared" si="9"/>
        <v>34.437256330000004</v>
      </c>
      <c r="Q90">
        <f t="shared" si="10"/>
        <v>13.793595069999999</v>
      </c>
      <c r="R90">
        <f t="shared" si="11"/>
        <v>20.35104419333333</v>
      </c>
    </row>
    <row r="91" spans="1:18" x14ac:dyDescent="0.25">
      <c r="A91">
        <v>156</v>
      </c>
      <c r="B91">
        <v>6</v>
      </c>
      <c r="C91" t="s">
        <v>29</v>
      </c>
      <c r="D91" t="s">
        <v>11</v>
      </c>
      <c r="E91" t="s">
        <v>52</v>
      </c>
      <c r="F91">
        <v>10</v>
      </c>
      <c r="G91" s="12">
        <v>540872</v>
      </c>
      <c r="H91" s="12">
        <v>851866</v>
      </c>
      <c r="I91" s="12">
        <v>177129</v>
      </c>
      <c r="J91" s="12">
        <v>134825</v>
      </c>
      <c r="K91">
        <f>'Std curve values (LC)'!$A$2*G91+'Std curve values (LC)'!$A$3</f>
        <v>228.9561416</v>
      </c>
      <c r="L91">
        <f>'Std curve values (LC)'!$B$2*H91+'Std curve values (LC)'!$B$3</f>
        <v>326.9189222</v>
      </c>
      <c r="M91">
        <f>'Std curve values (LC)'!$C$2*I91+'Std curve values (LC)'!$C$3</f>
        <v>202.59013149999998</v>
      </c>
      <c r="N91">
        <f>'Std curve values (LC)'!$D$2*J91+'Std curve values (LC)'!$D$3</f>
        <v>323.51614579999989</v>
      </c>
      <c r="O91">
        <f t="shared" si="8"/>
        <v>22.895614160000001</v>
      </c>
      <c r="P91">
        <f t="shared" si="9"/>
        <v>32.69189222</v>
      </c>
      <c r="Q91">
        <f t="shared" si="10"/>
        <v>20.259013149999998</v>
      </c>
      <c r="R91">
        <f t="shared" si="11"/>
        <v>32.351614579999989</v>
      </c>
    </row>
    <row r="92" spans="1:18" x14ac:dyDescent="0.25">
      <c r="A92">
        <v>157</v>
      </c>
      <c r="B92">
        <v>7</v>
      </c>
      <c r="C92" t="s">
        <v>30</v>
      </c>
      <c r="D92" t="s">
        <v>11</v>
      </c>
      <c r="E92" t="s">
        <v>52</v>
      </c>
      <c r="F92">
        <v>10</v>
      </c>
      <c r="G92" s="12">
        <v>572994</v>
      </c>
      <c r="H92" s="12">
        <v>984793</v>
      </c>
      <c r="I92" s="12">
        <v>104672</v>
      </c>
      <c r="J92" s="12">
        <v>88383</v>
      </c>
      <c r="K92">
        <f>'Std curve values (LC)'!$A$2*G92+'Std curve values (LC)'!$A$3</f>
        <v>242.2964082</v>
      </c>
      <c r="L92">
        <f>'Std curve values (LC)'!$B$2*H92+'Std curve values (LC)'!$B$3</f>
        <v>376.99252310000003</v>
      </c>
      <c r="M92">
        <f>'Std curve values (LC)'!$C$2*I92+'Std curve values (LC)'!$C$3</f>
        <v>120.33694509999998</v>
      </c>
      <c r="N92">
        <f>'Std curve values (LC)'!$D$2*J92+'Std curve values (LC)'!$D$3</f>
        <v>212.10798006666664</v>
      </c>
      <c r="O92">
        <f t="shared" si="8"/>
        <v>24.22964082</v>
      </c>
      <c r="P92">
        <f t="shared" si="9"/>
        <v>37.699252310000006</v>
      </c>
      <c r="Q92">
        <f t="shared" si="10"/>
        <v>12.033694509999998</v>
      </c>
      <c r="R92">
        <f t="shared" si="11"/>
        <v>21.210798006666664</v>
      </c>
    </row>
    <row r="93" spans="1:18" x14ac:dyDescent="0.25">
      <c r="A93">
        <v>158</v>
      </c>
      <c r="B93">
        <v>8</v>
      </c>
      <c r="C93" t="s">
        <v>31</v>
      </c>
      <c r="D93" t="s">
        <v>11</v>
      </c>
      <c r="E93" t="s">
        <v>52</v>
      </c>
      <c r="F93">
        <v>10</v>
      </c>
      <c r="G93" s="12">
        <v>633547</v>
      </c>
      <c r="H93" s="12">
        <v>817987</v>
      </c>
      <c r="I93" s="12">
        <v>159408</v>
      </c>
      <c r="J93" s="12">
        <v>124974</v>
      </c>
      <c r="K93">
        <f>'Std curve values (LC)'!$A$2*G93+'Std curve values (LC)'!$A$3</f>
        <v>267.44406909999998</v>
      </c>
      <c r="L93">
        <f>'Std curve values (LC)'!$B$2*H93+'Std curve values (LC)'!$B$3</f>
        <v>314.15670290000003</v>
      </c>
      <c r="M93">
        <f>'Std curve values (LC)'!$C$2*I93+'Std curve values (LC)'!$C$3</f>
        <v>182.47325229999998</v>
      </c>
      <c r="N93">
        <f>'Std curve values (LC)'!$D$2*J93+'Std curve values (LC)'!$D$3</f>
        <v>299.88491026666657</v>
      </c>
      <c r="O93">
        <f t="shared" si="8"/>
        <v>26.744406909999999</v>
      </c>
      <c r="P93">
        <f t="shared" si="9"/>
        <v>31.415670290000001</v>
      </c>
      <c r="Q93">
        <f t="shared" si="10"/>
        <v>18.247325229999998</v>
      </c>
      <c r="R93">
        <f t="shared" si="11"/>
        <v>29.988491026666658</v>
      </c>
    </row>
    <row r="94" spans="1:18" x14ac:dyDescent="0.25">
      <c r="A94">
        <v>159</v>
      </c>
      <c r="B94">
        <v>9</v>
      </c>
      <c r="C94" t="s">
        <v>32</v>
      </c>
      <c r="D94" t="s">
        <v>11</v>
      </c>
      <c r="E94" t="s">
        <v>52</v>
      </c>
      <c r="F94">
        <v>10</v>
      </c>
      <c r="G94" s="12">
        <v>697677</v>
      </c>
      <c r="H94" s="12">
        <v>993226</v>
      </c>
      <c r="I94" s="12">
        <v>93463</v>
      </c>
      <c r="J94" s="12">
        <v>73617</v>
      </c>
      <c r="K94">
        <f>'Std curve values (LC)'!$A$2*G94+'Std curve values (LC)'!$A$3</f>
        <v>294.07725809999999</v>
      </c>
      <c r="L94">
        <f>'Std curve values (LC)'!$B$2*H94+'Std curve values (LC)'!$B$3</f>
        <v>380.16923420000001</v>
      </c>
      <c r="M94">
        <f>'Std curve values (LC)'!$C$2*I94+'Std curve values (LC)'!$C$3</f>
        <v>107.61248829999998</v>
      </c>
      <c r="N94">
        <f>'Std curve values (LC)'!$D$2*J94+'Std curve values (LC)'!$D$3</f>
        <v>176.68631486666663</v>
      </c>
      <c r="O94">
        <f t="shared" si="8"/>
        <v>29.407725809999999</v>
      </c>
      <c r="P94">
        <f t="shared" si="9"/>
        <v>38.016923419999998</v>
      </c>
      <c r="Q94">
        <f t="shared" si="10"/>
        <v>10.761248829999998</v>
      </c>
      <c r="R94">
        <f t="shared" si="11"/>
        <v>17.668631486666662</v>
      </c>
    </row>
    <row r="95" spans="1:18" x14ac:dyDescent="0.25">
      <c r="A95">
        <v>160</v>
      </c>
      <c r="B95">
        <v>10</v>
      </c>
      <c r="C95" t="s">
        <v>33</v>
      </c>
      <c r="D95" t="s">
        <v>11</v>
      </c>
      <c r="E95" t="s">
        <v>52</v>
      </c>
      <c r="F95">
        <v>10</v>
      </c>
      <c r="G95" s="12">
        <v>488598</v>
      </c>
      <c r="H95" s="12">
        <v>1002631</v>
      </c>
      <c r="I95" s="12">
        <v>127186</v>
      </c>
      <c r="J95" s="12">
        <v>116535</v>
      </c>
      <c r="K95">
        <f>'Std curve values (LC)'!$A$2*G95+'Std curve values (LC)'!$A$3</f>
        <v>207.2467494</v>
      </c>
      <c r="L95">
        <f>'Std curve values (LC)'!$B$2*H95+'Std curve values (LC)'!$B$3</f>
        <v>383.71209770000002</v>
      </c>
      <c r="M95">
        <f>'Std curve values (LC)'!$C$2*I95+'Std curve values (LC)'!$C$3</f>
        <v>145.89483789999997</v>
      </c>
      <c r="N95">
        <f>'Std curve values (LC)'!$D$2*J95+'Std curve values (LC)'!$D$3</f>
        <v>279.64087446666662</v>
      </c>
      <c r="O95">
        <f t="shared" si="8"/>
        <v>20.72467494</v>
      </c>
      <c r="P95">
        <f t="shared" si="9"/>
        <v>38.37120977</v>
      </c>
      <c r="Q95">
        <f t="shared" si="10"/>
        <v>14.589483789999997</v>
      </c>
      <c r="R95">
        <f t="shared" si="11"/>
        <v>27.96408744666666</v>
      </c>
    </row>
    <row r="96" spans="1:18" x14ac:dyDescent="0.25">
      <c r="A96">
        <v>161</v>
      </c>
      <c r="B96">
        <v>11</v>
      </c>
      <c r="C96" t="s">
        <v>34</v>
      </c>
      <c r="D96" t="s">
        <v>11</v>
      </c>
      <c r="E96" t="s">
        <v>52</v>
      </c>
      <c r="F96">
        <v>10</v>
      </c>
      <c r="G96" s="12">
        <v>613297</v>
      </c>
      <c r="H96" s="12">
        <v>1001452</v>
      </c>
      <c r="I96" s="12">
        <v>61152</v>
      </c>
      <c r="J96" s="12">
        <v>91071</v>
      </c>
      <c r="K96">
        <f>'Std curve values (LC)'!$A$2*G96+'Std curve values (LC)'!$A$3</f>
        <v>259.03424410000002</v>
      </c>
      <c r="L96">
        <f>'Std curve values (LC)'!$B$2*H96+'Std curve values (LC)'!$B$3</f>
        <v>383.26796840000003</v>
      </c>
      <c r="M96">
        <f>'Std curve values (LC)'!$C$2*I96+'Std curve values (LC)'!$C$3</f>
        <v>70.933041099999983</v>
      </c>
      <c r="N96">
        <f>'Std curve values (LC)'!$D$2*J96+'Std curve values (LC)'!$D$3</f>
        <v>218.55613366666663</v>
      </c>
      <c r="O96">
        <f t="shared" si="8"/>
        <v>25.903424410000003</v>
      </c>
      <c r="P96">
        <f t="shared" si="9"/>
        <v>38.32679684</v>
      </c>
      <c r="Q96">
        <f t="shared" si="10"/>
        <v>7.0933041099999983</v>
      </c>
      <c r="R96">
        <f t="shared" si="11"/>
        <v>21.855613366666663</v>
      </c>
    </row>
    <row r="97" spans="1:18" x14ac:dyDescent="0.25">
      <c r="A97">
        <v>162</v>
      </c>
      <c r="B97">
        <v>12</v>
      </c>
      <c r="C97" t="s">
        <v>35</v>
      </c>
      <c r="D97" t="s">
        <v>11</v>
      </c>
      <c r="E97" t="s">
        <v>52</v>
      </c>
      <c r="F97">
        <v>10</v>
      </c>
      <c r="G97" s="12">
        <v>599058</v>
      </c>
      <c r="H97" s="12">
        <v>960704</v>
      </c>
      <c r="I97" s="12">
        <v>104334</v>
      </c>
      <c r="J97" s="12">
        <v>102340</v>
      </c>
      <c r="K97">
        <f>'Std curve values (LC)'!$A$2*G97+'Std curve values (LC)'!$A$3</f>
        <v>253.12078740000001</v>
      </c>
      <c r="L97">
        <f>'Std curve values (LC)'!$B$2*H97+'Std curve values (LC)'!$B$3</f>
        <v>367.91819680000003</v>
      </c>
      <c r="M97">
        <f>'Std curve values (LC)'!$C$2*I97+'Std curve values (LC)'!$C$3</f>
        <v>119.95324749999997</v>
      </c>
      <c r="N97">
        <f>'Std curve values (LC)'!$D$2*J97+'Std curve values (LC)'!$D$3</f>
        <v>245.5889621333333</v>
      </c>
      <c r="O97">
        <f t="shared" si="8"/>
        <v>25.31207874</v>
      </c>
      <c r="P97">
        <f t="shared" si="9"/>
        <v>36.791819680000003</v>
      </c>
      <c r="Q97">
        <f t="shared" si="10"/>
        <v>11.995324749999998</v>
      </c>
      <c r="R97">
        <f t="shared" si="11"/>
        <v>24.55889621333333</v>
      </c>
    </row>
    <row r="98" spans="1:18" x14ac:dyDescent="0.25">
      <c r="A98">
        <v>163</v>
      </c>
      <c r="B98">
        <v>13</v>
      </c>
      <c r="C98" t="s">
        <v>36</v>
      </c>
      <c r="D98" t="s">
        <v>11</v>
      </c>
      <c r="E98" t="s">
        <v>52</v>
      </c>
      <c r="F98">
        <v>10</v>
      </c>
      <c r="G98" s="3">
        <v>725811</v>
      </c>
      <c r="H98" s="3">
        <v>972838</v>
      </c>
      <c r="I98" s="3">
        <v>56931</v>
      </c>
      <c r="J98" s="3">
        <v>80637</v>
      </c>
      <c r="K98">
        <f>'Std curve values (LC)'!$A$2*G98+'Std curve values (LC)'!$A$3</f>
        <v>305.7613083</v>
      </c>
      <c r="L98">
        <f>'Std curve values (LC)'!$B$2*H98+'Std curve values (LC)'!$B$3</f>
        <v>372.48907460000004</v>
      </c>
      <c r="M98">
        <f>'Std curve values (LC)'!$C$2*I98+'Std curve values (LC)'!$C$3</f>
        <v>66.141361899999993</v>
      </c>
      <c r="N98">
        <f>'Std curve values (LC)'!$D$2*J98+'Std curve values (LC)'!$D$3</f>
        <v>193.52635886666664</v>
      </c>
      <c r="O98">
        <f t="shared" ref="O98:O113" si="12">K98/$F98</f>
        <v>30.57613083</v>
      </c>
      <c r="P98">
        <f t="shared" ref="P98:P113" si="13">L98/$F98</f>
        <v>37.248907460000005</v>
      </c>
      <c r="Q98">
        <f t="shared" ref="Q98:Q113" si="14">M98/$F98</f>
        <v>6.6141361899999991</v>
      </c>
      <c r="R98">
        <f t="shared" ref="R98:R113" si="15">N98/$F98</f>
        <v>19.352635886666665</v>
      </c>
    </row>
    <row r="99" spans="1:18" x14ac:dyDescent="0.25">
      <c r="A99">
        <v>164</v>
      </c>
      <c r="B99">
        <v>14</v>
      </c>
      <c r="C99" t="s">
        <v>37</v>
      </c>
      <c r="D99" t="s">
        <v>11</v>
      </c>
      <c r="E99" t="s">
        <v>52</v>
      </c>
      <c r="F99">
        <v>10</v>
      </c>
      <c r="G99" s="3">
        <v>678945</v>
      </c>
      <c r="H99" s="3">
        <v>1016253</v>
      </c>
      <c r="I99" s="3">
        <v>68972</v>
      </c>
      <c r="J99" s="3">
        <v>81996</v>
      </c>
      <c r="K99">
        <f>'Std curve values (LC)'!$A$2*G99+'Std curve values (LC)'!$A$3</f>
        <v>286.29785850000002</v>
      </c>
      <c r="L99">
        <f>'Std curve values (LC)'!$B$2*H99+'Std curve values (LC)'!$B$3</f>
        <v>388.84350510000002</v>
      </c>
      <c r="M99">
        <f>'Std curve values (LC)'!$C$2*I99+'Std curve values (LC)'!$C$3</f>
        <v>79.810305099999994</v>
      </c>
      <c r="N99">
        <f>'Std curve values (LC)'!$D$2*J99+'Std curve values (LC)'!$D$3</f>
        <v>196.78641866666663</v>
      </c>
      <c r="O99">
        <f t="shared" si="12"/>
        <v>28.629785850000001</v>
      </c>
      <c r="P99">
        <f t="shared" si="13"/>
        <v>38.884350510000004</v>
      </c>
      <c r="Q99">
        <f t="shared" si="14"/>
        <v>7.9810305099999992</v>
      </c>
      <c r="R99">
        <f t="shared" si="15"/>
        <v>19.678641866666663</v>
      </c>
    </row>
    <row r="100" spans="1:18" x14ac:dyDescent="0.25">
      <c r="A100">
        <v>165</v>
      </c>
      <c r="B100">
        <v>15</v>
      </c>
      <c r="C100" t="s">
        <v>38</v>
      </c>
      <c r="D100" t="s">
        <v>11</v>
      </c>
      <c r="E100" t="s">
        <v>52</v>
      </c>
      <c r="F100">
        <v>10</v>
      </c>
      <c r="G100" s="3">
        <v>600316</v>
      </c>
      <c r="H100" s="3">
        <v>1018229</v>
      </c>
      <c r="I100" s="3">
        <v>77504</v>
      </c>
      <c r="J100" s="3">
        <v>100215</v>
      </c>
      <c r="K100">
        <f>'Std curve values (LC)'!$A$2*G100+'Std curve values (LC)'!$A$3</f>
        <v>253.64323479999999</v>
      </c>
      <c r="L100">
        <f>'Std curve values (LC)'!$B$2*H100+'Std curve values (LC)'!$B$3</f>
        <v>389.58786430000004</v>
      </c>
      <c r="M100">
        <f>'Std curve values (LC)'!$C$2*I100+'Std curve values (LC)'!$C$3</f>
        <v>89.49583149999998</v>
      </c>
      <c r="N100">
        <f>'Std curve values (LC)'!$D$2*J100+'Std curve values (LC)'!$D$3</f>
        <v>240.49137046666664</v>
      </c>
      <c r="O100">
        <f t="shared" si="12"/>
        <v>25.364323479999999</v>
      </c>
      <c r="P100">
        <f t="shared" si="13"/>
        <v>38.958786430000004</v>
      </c>
      <c r="Q100">
        <f t="shared" si="14"/>
        <v>8.9495831499999987</v>
      </c>
      <c r="R100">
        <f t="shared" si="15"/>
        <v>24.049137046666665</v>
      </c>
    </row>
    <row r="101" spans="1:18" x14ac:dyDescent="0.25">
      <c r="A101">
        <v>166</v>
      </c>
      <c r="B101">
        <v>16</v>
      </c>
      <c r="C101" t="s">
        <v>39</v>
      </c>
      <c r="D101" t="s">
        <v>11</v>
      </c>
      <c r="E101" t="s">
        <v>52</v>
      </c>
      <c r="F101">
        <v>10</v>
      </c>
      <c r="G101" s="3">
        <v>710065</v>
      </c>
      <c r="H101" s="3">
        <v>932613</v>
      </c>
      <c r="I101" s="3">
        <v>79948</v>
      </c>
      <c r="J101" s="3">
        <v>96135</v>
      </c>
      <c r="K101">
        <f>'Std curve values (LC)'!$A$2*G101+'Std curve values (LC)'!$A$3</f>
        <v>299.22199449999999</v>
      </c>
      <c r="L101">
        <f>'Std curve values (LC)'!$B$2*H101+'Std curve values (LC)'!$B$3</f>
        <v>357.33631710000003</v>
      </c>
      <c r="M101">
        <f>'Std curve values (LC)'!$C$2*I101+'Std curve values (LC)'!$C$3</f>
        <v>92.27026029999999</v>
      </c>
      <c r="N101">
        <f>'Std curve values (LC)'!$D$2*J101+'Std curve values (LC)'!$D$3</f>
        <v>230.70399446666661</v>
      </c>
      <c r="O101">
        <f t="shared" si="12"/>
        <v>29.922199450000001</v>
      </c>
      <c r="P101">
        <f t="shared" si="13"/>
        <v>35.733631710000004</v>
      </c>
      <c r="Q101">
        <f t="shared" si="14"/>
        <v>9.2270260299999993</v>
      </c>
      <c r="R101">
        <f t="shared" si="15"/>
        <v>23.070399446666663</v>
      </c>
    </row>
    <row r="102" spans="1:18" x14ac:dyDescent="0.25">
      <c r="A102">
        <v>167</v>
      </c>
      <c r="B102">
        <v>17</v>
      </c>
      <c r="C102" t="s">
        <v>40</v>
      </c>
      <c r="D102" t="s">
        <v>11</v>
      </c>
      <c r="E102" t="s">
        <v>52</v>
      </c>
      <c r="F102">
        <v>10</v>
      </c>
      <c r="G102" s="12">
        <v>613833</v>
      </c>
      <c r="H102" s="12">
        <v>991478</v>
      </c>
      <c r="I102" s="12">
        <v>88219</v>
      </c>
      <c r="J102" s="12">
        <v>71774</v>
      </c>
      <c r="K102">
        <f>'Std curve values (LC)'!$A$2*G102+'Std curve values (LC)'!$A$3</f>
        <v>259.25684490000003</v>
      </c>
      <c r="L102">
        <f>'Std curve values (LC)'!$B$2*H102+'Std curve values (LC)'!$B$3</f>
        <v>379.51076260000002</v>
      </c>
      <c r="M102">
        <f>'Std curve values (LC)'!$C$2*I102+'Std curve values (LC)'!$C$3</f>
        <v>101.65949949999998</v>
      </c>
      <c r="N102">
        <f>'Std curve values (LC)'!$D$2*J102+'Std curve values (LC)'!$D$3</f>
        <v>172.26520359999998</v>
      </c>
      <c r="O102">
        <f t="shared" si="12"/>
        <v>25.925684490000002</v>
      </c>
      <c r="P102">
        <f t="shared" si="13"/>
        <v>37.951076260000001</v>
      </c>
      <c r="Q102">
        <f t="shared" si="14"/>
        <v>10.165949949999998</v>
      </c>
      <c r="R102">
        <f t="shared" si="15"/>
        <v>17.226520359999999</v>
      </c>
    </row>
    <row r="103" spans="1:18" x14ac:dyDescent="0.25">
      <c r="A103">
        <v>168</v>
      </c>
      <c r="B103">
        <v>18</v>
      </c>
      <c r="C103" t="s">
        <v>41</v>
      </c>
      <c r="D103" t="s">
        <v>11</v>
      </c>
      <c r="E103" t="s">
        <v>52</v>
      </c>
      <c r="F103">
        <v>10</v>
      </c>
      <c r="G103" s="12">
        <v>543897</v>
      </c>
      <c r="H103" s="12">
        <v>867843</v>
      </c>
      <c r="I103" s="12">
        <v>149692</v>
      </c>
      <c r="J103" s="12">
        <v>106669</v>
      </c>
      <c r="K103">
        <f>'Std curve values (LC)'!$A$2*G103+'Std curve values (LC)'!$A$3</f>
        <v>230.21242409999999</v>
      </c>
      <c r="L103">
        <f>'Std curve values (LC)'!$B$2*H103+'Std curve values (LC)'!$B$3</f>
        <v>332.93745810000001</v>
      </c>
      <c r="M103">
        <f>'Std curve values (LC)'!$C$2*I103+'Std curve values (LC)'!$C$3</f>
        <v>171.44364909999999</v>
      </c>
      <c r="N103">
        <f>'Std curve values (LC)'!$D$2*J103+'Std curve values (LC)'!$D$3</f>
        <v>255.97365593333328</v>
      </c>
      <c r="O103">
        <f t="shared" si="12"/>
        <v>23.021242409999999</v>
      </c>
      <c r="P103">
        <f t="shared" si="13"/>
        <v>33.293745810000004</v>
      </c>
      <c r="Q103">
        <f t="shared" si="14"/>
        <v>17.14436491</v>
      </c>
      <c r="R103">
        <f t="shared" si="15"/>
        <v>25.597365593333329</v>
      </c>
    </row>
    <row r="104" spans="1:18" x14ac:dyDescent="0.25">
      <c r="A104">
        <v>169</v>
      </c>
      <c r="B104">
        <v>19</v>
      </c>
      <c r="C104" t="s">
        <v>42</v>
      </c>
      <c r="D104" t="s">
        <v>11</v>
      </c>
      <c r="E104" t="s">
        <v>52</v>
      </c>
      <c r="F104">
        <v>10</v>
      </c>
      <c r="G104" s="12">
        <v>676871</v>
      </c>
      <c r="H104" s="12">
        <v>898912</v>
      </c>
      <c r="I104" s="12">
        <v>134191</v>
      </c>
      <c r="J104" s="12">
        <v>96244</v>
      </c>
      <c r="K104">
        <f>'Std curve values (LC)'!$A$2*G104+'Std curve values (LC)'!$A$3</f>
        <v>285.43652630000003</v>
      </c>
      <c r="L104">
        <f>'Std curve values (LC)'!$B$2*H104+'Std curve values (LC)'!$B$3</f>
        <v>344.64115040000001</v>
      </c>
      <c r="M104">
        <f>'Std curve values (LC)'!$C$2*I104+'Std curve values (LC)'!$C$3</f>
        <v>153.84691389999998</v>
      </c>
      <c r="N104">
        <f>'Std curve values (LC)'!$D$2*J104+'Std curve values (LC)'!$D$3</f>
        <v>230.96547093333331</v>
      </c>
      <c r="O104">
        <f t="shared" si="12"/>
        <v>28.543652630000004</v>
      </c>
      <c r="P104">
        <f t="shared" si="13"/>
        <v>34.464115040000003</v>
      </c>
      <c r="Q104">
        <f t="shared" si="14"/>
        <v>15.384691389999997</v>
      </c>
      <c r="R104">
        <f t="shared" si="15"/>
        <v>23.096547093333331</v>
      </c>
    </row>
    <row r="105" spans="1:18" x14ac:dyDescent="0.25">
      <c r="A105">
        <v>170</v>
      </c>
      <c r="B105">
        <v>20</v>
      </c>
      <c r="C105" t="s">
        <v>43</v>
      </c>
      <c r="D105" t="s">
        <v>11</v>
      </c>
      <c r="E105" t="s">
        <v>52</v>
      </c>
      <c r="F105">
        <v>10</v>
      </c>
      <c r="G105" s="12">
        <v>734680</v>
      </c>
      <c r="H105" s="12">
        <v>914353</v>
      </c>
      <c r="I105" s="12">
        <v>92001</v>
      </c>
      <c r="J105" s="12">
        <v>76205</v>
      </c>
      <c r="K105">
        <f>'Std curve values (LC)'!$A$2*G105+'Std curve values (LC)'!$A$3</f>
        <v>309.44460400000003</v>
      </c>
      <c r="L105">
        <f>'Std curve values (LC)'!$B$2*H105+'Std curve values (LC)'!$B$3</f>
        <v>350.45777509999999</v>
      </c>
      <c r="M105">
        <f>'Std curve values (LC)'!$C$2*I105+'Std curve values (LC)'!$C$3</f>
        <v>105.95282589999998</v>
      </c>
      <c r="N105">
        <f>'Std curve values (LC)'!$D$2*J105+'Std curve values (LC)'!$D$3</f>
        <v>182.89458179999997</v>
      </c>
      <c r="O105">
        <f t="shared" si="12"/>
        <v>30.944460400000004</v>
      </c>
      <c r="P105">
        <f t="shared" si="13"/>
        <v>35.045777510000001</v>
      </c>
      <c r="Q105">
        <f t="shared" si="14"/>
        <v>10.595282589999998</v>
      </c>
      <c r="R105">
        <f t="shared" si="15"/>
        <v>18.289458179999997</v>
      </c>
    </row>
    <row r="106" spans="1:18" x14ac:dyDescent="0.25">
      <c r="A106">
        <v>171</v>
      </c>
      <c r="B106">
        <v>21</v>
      </c>
      <c r="C106" t="s">
        <v>44</v>
      </c>
      <c r="D106" t="s">
        <v>11</v>
      </c>
      <c r="E106" t="s">
        <v>52</v>
      </c>
      <c r="F106">
        <v>10</v>
      </c>
      <c r="G106" s="3">
        <v>729043</v>
      </c>
      <c r="H106" s="3">
        <v>890974</v>
      </c>
      <c r="I106" s="3">
        <v>113698</v>
      </c>
      <c r="J106" s="3">
        <v>88466</v>
      </c>
      <c r="K106">
        <f>'Std curve values (LC)'!$A$2*G106+'Std curve values (LC)'!$A$3</f>
        <v>307.1035579</v>
      </c>
      <c r="L106">
        <f>'Std curve values (LC)'!$B$2*H106+'Std curve values (LC)'!$B$3</f>
        <v>341.65090580000003</v>
      </c>
      <c r="M106">
        <f>'Std curve values (LC)'!$C$2*I106+'Std curve values (LC)'!$C$3</f>
        <v>130.58326029999998</v>
      </c>
      <c r="N106">
        <f>'Std curve values (LC)'!$D$2*J106+'Std curve values (LC)'!$D$3</f>
        <v>212.30708599999997</v>
      </c>
      <c r="O106">
        <f t="shared" si="12"/>
        <v>30.710355790000001</v>
      </c>
      <c r="P106">
        <f t="shared" si="13"/>
        <v>34.165090580000005</v>
      </c>
      <c r="Q106">
        <f t="shared" si="14"/>
        <v>13.058326029999998</v>
      </c>
      <c r="R106">
        <f t="shared" si="15"/>
        <v>21.230708599999996</v>
      </c>
    </row>
    <row r="107" spans="1:18" x14ac:dyDescent="0.25">
      <c r="A107">
        <v>172</v>
      </c>
      <c r="B107">
        <v>22</v>
      </c>
      <c r="C107" t="s">
        <v>45</v>
      </c>
      <c r="D107" t="s">
        <v>11</v>
      </c>
      <c r="E107" t="s">
        <v>52</v>
      </c>
      <c r="F107">
        <v>10</v>
      </c>
      <c r="G107" s="3">
        <v>652615</v>
      </c>
      <c r="H107" s="3">
        <v>981566</v>
      </c>
      <c r="I107" s="3">
        <v>114839</v>
      </c>
      <c r="J107" s="3">
        <v>87310</v>
      </c>
      <c r="K107">
        <f>'Std curve values (LC)'!$A$2*G107+'Std curve values (LC)'!$A$3</f>
        <v>275.36300949999998</v>
      </c>
      <c r="L107">
        <f>'Std curve values (LC)'!$B$2*H107+'Std curve values (LC)'!$B$3</f>
        <v>375.77691220000003</v>
      </c>
      <c r="M107">
        <f>'Std curve values (LC)'!$C$2*I107+'Std curve values (LC)'!$C$3</f>
        <v>131.87852349999997</v>
      </c>
      <c r="N107">
        <f>'Std curve values (LC)'!$D$2*J107+'Std curve values (LC)'!$D$3</f>
        <v>209.53399613333329</v>
      </c>
      <c r="O107">
        <f t="shared" si="12"/>
        <v>27.536300949999998</v>
      </c>
      <c r="P107">
        <f t="shared" si="13"/>
        <v>37.577691220000006</v>
      </c>
      <c r="Q107">
        <f t="shared" si="14"/>
        <v>13.187852349999996</v>
      </c>
      <c r="R107">
        <f t="shared" si="15"/>
        <v>20.953399613333328</v>
      </c>
    </row>
    <row r="108" spans="1:18" x14ac:dyDescent="0.25">
      <c r="A108">
        <v>173</v>
      </c>
      <c r="B108">
        <v>23</v>
      </c>
      <c r="C108" t="s">
        <v>46</v>
      </c>
      <c r="D108" t="s">
        <v>11</v>
      </c>
      <c r="E108" t="s">
        <v>52</v>
      </c>
      <c r="F108">
        <v>10</v>
      </c>
      <c r="G108" s="3">
        <v>631013</v>
      </c>
      <c r="H108" s="3">
        <v>944699</v>
      </c>
      <c r="I108" s="3">
        <v>103307</v>
      </c>
      <c r="J108" s="3">
        <v>109975</v>
      </c>
      <c r="K108">
        <f>'Std curve values (LC)'!$A$2*G108+'Std curve values (LC)'!$A$3</f>
        <v>266.39169889999999</v>
      </c>
      <c r="L108">
        <f>'Std curve values (LC)'!$B$2*H108+'Std curve values (LC)'!$B$3</f>
        <v>361.88911330000002</v>
      </c>
      <c r="M108">
        <f>'Std curve values (LC)'!$C$2*I108+'Std curve values (LC)'!$C$3</f>
        <v>118.78739709999998</v>
      </c>
      <c r="N108">
        <f>'Std curve values (LC)'!$D$2*J108+'Std curve values (LC)'!$D$3</f>
        <v>263.90430913333324</v>
      </c>
      <c r="O108">
        <f t="shared" si="12"/>
        <v>26.639169889999998</v>
      </c>
      <c r="P108">
        <f t="shared" si="13"/>
        <v>36.188911330000003</v>
      </c>
      <c r="Q108">
        <f t="shared" si="14"/>
        <v>11.878739709999998</v>
      </c>
      <c r="R108">
        <f t="shared" si="15"/>
        <v>26.390430913333326</v>
      </c>
    </row>
    <row r="109" spans="1:18" x14ac:dyDescent="0.25">
      <c r="A109">
        <v>174</v>
      </c>
      <c r="B109">
        <v>24</v>
      </c>
      <c r="C109" t="s">
        <v>47</v>
      </c>
      <c r="D109" t="s">
        <v>11</v>
      </c>
      <c r="E109" t="s">
        <v>52</v>
      </c>
      <c r="F109">
        <v>10</v>
      </c>
      <c r="G109" s="3">
        <v>553285</v>
      </c>
      <c r="H109" s="3">
        <v>961427</v>
      </c>
      <c r="I109" s="3">
        <v>121652</v>
      </c>
      <c r="J109" s="3">
        <v>100274</v>
      </c>
      <c r="K109">
        <f>'Std curve values (LC)'!$A$2*G109+'Std curve values (LC)'!$A$3</f>
        <v>234.11126049999999</v>
      </c>
      <c r="L109">
        <f>'Std curve values (LC)'!$B$2*H109+'Std curve values (LC)'!$B$3</f>
        <v>368.19055090000001</v>
      </c>
      <c r="M109">
        <f>'Std curve values (LC)'!$C$2*I109+'Std curve values (LC)'!$C$3</f>
        <v>139.61264109999999</v>
      </c>
      <c r="N109">
        <f>'Std curve values (LC)'!$D$2*J109+'Std curve values (LC)'!$D$3</f>
        <v>240.63290359999996</v>
      </c>
      <c r="O109">
        <f t="shared" si="12"/>
        <v>23.41112605</v>
      </c>
      <c r="P109">
        <f t="shared" si="13"/>
        <v>36.819055089999999</v>
      </c>
      <c r="Q109">
        <f t="shared" si="14"/>
        <v>13.961264109999998</v>
      </c>
      <c r="R109">
        <f t="shared" si="15"/>
        <v>24.063290359999996</v>
      </c>
    </row>
    <row r="110" spans="1:18" x14ac:dyDescent="0.25">
      <c r="A110">
        <v>191</v>
      </c>
      <c r="B110">
        <v>25</v>
      </c>
      <c r="C110" t="s">
        <v>48</v>
      </c>
      <c r="D110" t="s">
        <v>11</v>
      </c>
      <c r="E110" t="s">
        <v>52</v>
      </c>
      <c r="F110">
        <v>10</v>
      </c>
      <c r="G110" s="12">
        <v>420550</v>
      </c>
      <c r="H110" s="12">
        <v>891306</v>
      </c>
      <c r="I110" s="12">
        <v>70356</v>
      </c>
      <c r="J110" s="12">
        <v>113950</v>
      </c>
      <c r="K110">
        <f>'Std curve values (LC)'!$A$2*G110+'Std curve values (LC)'!$A$3</f>
        <v>178.98641499999999</v>
      </c>
      <c r="L110">
        <f>'Std curve values (LC)'!$B$2*H110+'Std curve values (LC)'!$B$3</f>
        <v>341.77597020000002</v>
      </c>
      <c r="M110">
        <f>'Std curve values (LC)'!$C$2*I110+'Std curve values (LC)'!$C$3</f>
        <v>81.381421899999992</v>
      </c>
      <c r="N110">
        <f>'Std curve values (LC)'!$D$2*J110+'Std curve values (LC)'!$D$3</f>
        <v>273.43980413333327</v>
      </c>
      <c r="O110">
        <f t="shared" si="12"/>
        <v>17.8986415</v>
      </c>
      <c r="P110">
        <f t="shared" si="13"/>
        <v>34.17759702</v>
      </c>
      <c r="Q110">
        <f t="shared" si="14"/>
        <v>8.1381421899999999</v>
      </c>
      <c r="R110">
        <f t="shared" si="15"/>
        <v>27.343980413333327</v>
      </c>
    </row>
    <row r="111" spans="1:18" x14ac:dyDescent="0.25">
      <c r="A111">
        <v>192</v>
      </c>
      <c r="B111">
        <v>26</v>
      </c>
      <c r="C111" t="s">
        <v>49</v>
      </c>
      <c r="D111" t="s">
        <v>11</v>
      </c>
      <c r="E111" t="s">
        <v>52</v>
      </c>
      <c r="F111">
        <v>10</v>
      </c>
      <c r="G111" s="12">
        <v>465511</v>
      </c>
      <c r="H111" s="12">
        <v>913010</v>
      </c>
      <c r="I111" s="12">
        <v>68327</v>
      </c>
      <c r="J111" s="12">
        <v>111751</v>
      </c>
      <c r="K111">
        <f>'Std curve values (LC)'!$A$2*G111+'Std curve values (LC)'!$A$3</f>
        <v>197.6587183</v>
      </c>
      <c r="L111">
        <f>'Std curve values (LC)'!$B$2*H111+'Std curve values (LC)'!$B$3</f>
        <v>349.95186699999999</v>
      </c>
      <c r="M111">
        <f>'Std curve values (LC)'!$C$2*I111+'Std curve values (LC)'!$C$3</f>
        <v>79.078101099999984</v>
      </c>
      <c r="N111">
        <f>'Std curve values (LC)'!$D$2*J111+'Std curve values (LC)'!$D$3</f>
        <v>268.16469633333327</v>
      </c>
      <c r="O111">
        <f t="shared" si="12"/>
        <v>19.765871830000002</v>
      </c>
      <c r="P111">
        <f t="shared" si="13"/>
        <v>34.995186699999998</v>
      </c>
      <c r="Q111">
        <f t="shared" si="14"/>
        <v>7.907810109999998</v>
      </c>
      <c r="R111">
        <f t="shared" si="15"/>
        <v>26.816469633333327</v>
      </c>
    </row>
    <row r="112" spans="1:18" x14ac:dyDescent="0.25">
      <c r="A112">
        <v>193</v>
      </c>
      <c r="B112">
        <v>27</v>
      </c>
      <c r="C112" t="s">
        <v>50</v>
      </c>
      <c r="D112" t="s">
        <v>11</v>
      </c>
      <c r="E112" t="s">
        <v>52</v>
      </c>
      <c r="F112">
        <v>10</v>
      </c>
      <c r="G112" s="12">
        <v>398101</v>
      </c>
      <c r="H112" s="12">
        <v>832570</v>
      </c>
      <c r="I112" s="12">
        <v>59454</v>
      </c>
      <c r="J112" s="12">
        <v>87468</v>
      </c>
      <c r="K112">
        <f>'Std curve values (LC)'!$A$2*G112+'Std curve values (LC)'!$A$3</f>
        <v>169.6633453</v>
      </c>
      <c r="L112">
        <f>'Std curve values (LC)'!$B$2*H112+'Std curve values (LC)'!$B$3</f>
        <v>319.65011900000002</v>
      </c>
      <c r="M112">
        <f>'Std curve values (LC)'!$C$2*I112+'Std curve values (LC)'!$C$3</f>
        <v>69.005471499999985</v>
      </c>
      <c r="N112">
        <f>'Std curve values (LC)'!$D$2*J112+'Std curve values (LC)'!$D$3</f>
        <v>209.91301706666664</v>
      </c>
      <c r="O112">
        <f t="shared" si="12"/>
        <v>16.966334530000001</v>
      </c>
      <c r="P112">
        <f t="shared" si="13"/>
        <v>31.9650119</v>
      </c>
      <c r="Q112">
        <f t="shared" si="14"/>
        <v>6.9005471499999986</v>
      </c>
      <c r="R112">
        <f t="shared" si="15"/>
        <v>20.991301706666665</v>
      </c>
    </row>
    <row r="113" spans="1:18" x14ac:dyDescent="0.25">
      <c r="A113">
        <v>194</v>
      </c>
      <c r="B113">
        <v>28</v>
      </c>
      <c r="C113" t="s">
        <v>51</v>
      </c>
      <c r="D113" t="s">
        <v>11</v>
      </c>
      <c r="E113" t="s">
        <v>52</v>
      </c>
      <c r="F113">
        <v>10</v>
      </c>
      <c r="G113" s="12">
        <v>415184</v>
      </c>
      <c r="H113" s="12">
        <v>892676</v>
      </c>
      <c r="I113" s="12">
        <v>70004</v>
      </c>
      <c r="J113" s="12">
        <v>114277</v>
      </c>
      <c r="K113">
        <f>'Std curve values (LC)'!$A$2*G113+'Std curve values (LC)'!$A$3</f>
        <v>176.75791519999999</v>
      </c>
      <c r="L113">
        <f>'Std curve values (LC)'!$B$2*H113+'Std curve values (LC)'!$B$3</f>
        <v>342.29204920000001</v>
      </c>
      <c r="M113">
        <f>'Std curve values (LC)'!$C$2*I113+'Std curve values (LC)'!$C$3</f>
        <v>80.981831499999984</v>
      </c>
      <c r="N113">
        <f>'Std curve values (LC)'!$D$2*J113+'Std curve values (LC)'!$D$3</f>
        <v>274.22423353333323</v>
      </c>
      <c r="O113">
        <f t="shared" si="12"/>
        <v>17.675791519999997</v>
      </c>
      <c r="P113">
        <f t="shared" si="13"/>
        <v>34.229204920000001</v>
      </c>
      <c r="Q113">
        <f t="shared" si="14"/>
        <v>8.0981831499999988</v>
      </c>
      <c r="R113">
        <f t="shared" si="15"/>
        <v>27.422423353333322</v>
      </c>
    </row>
  </sheetData>
  <sortState xmlns:xlrd2="http://schemas.microsoft.com/office/spreadsheetml/2017/richdata2" ref="A2:R113">
    <sortCondition ref="D2:D113"/>
    <sortCondition ref="E2:E113"/>
    <sortCondition ref="A2:A113"/>
    <sortCondition ref="B2:B1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75AD-D911-4CAC-91D9-EFAFD3051DD5}">
  <dimension ref="A1:Y57"/>
  <sheetViews>
    <sheetView workbookViewId="0">
      <selection activeCell="P1" sqref="P1"/>
    </sheetView>
  </sheetViews>
  <sheetFormatPr defaultRowHeight="15" x14ac:dyDescent="0.25"/>
  <cols>
    <col min="13" max="13" width="10.42578125" style="11" customWidth="1"/>
    <col min="15" max="18" width="9.140625" style="6"/>
  </cols>
  <sheetData>
    <row r="1" spans="1:25" x14ac:dyDescent="0.25">
      <c r="A1" t="s">
        <v>20</v>
      </c>
      <c r="B1" t="s">
        <v>57</v>
      </c>
      <c r="C1" t="s">
        <v>53</v>
      </c>
      <c r="D1" t="s">
        <v>21</v>
      </c>
      <c r="E1" t="s">
        <v>22</v>
      </c>
      <c r="F1" t="s">
        <v>19</v>
      </c>
      <c r="G1" t="s">
        <v>58</v>
      </c>
      <c r="H1" t="s">
        <v>59</v>
      </c>
      <c r="I1" t="s">
        <v>60</v>
      </c>
      <c r="J1" t="s">
        <v>61</v>
      </c>
      <c r="K1" t="s">
        <v>64</v>
      </c>
      <c r="L1" t="s">
        <v>62</v>
      </c>
      <c r="M1" s="11" t="s">
        <v>74</v>
      </c>
      <c r="N1" t="s">
        <v>63</v>
      </c>
      <c r="O1" s="5" t="s">
        <v>79</v>
      </c>
      <c r="P1" s="5" t="s">
        <v>78</v>
      </c>
      <c r="Q1" s="5" t="s">
        <v>80</v>
      </c>
      <c r="R1" s="5" t="s">
        <v>81</v>
      </c>
      <c r="T1" s="5" t="s">
        <v>75</v>
      </c>
      <c r="V1" s="5" t="s">
        <v>83</v>
      </c>
      <c r="W1" s="5" t="s">
        <v>84</v>
      </c>
      <c r="X1" s="5" t="s">
        <v>85</v>
      </c>
      <c r="Y1" s="5" t="s">
        <v>86</v>
      </c>
    </row>
    <row r="2" spans="1:25" x14ac:dyDescent="0.25">
      <c r="A2">
        <v>1</v>
      </c>
      <c r="B2">
        <f>A2+200</f>
        <v>201</v>
      </c>
      <c r="C2">
        <v>1</v>
      </c>
      <c r="D2" t="s">
        <v>23</v>
      </c>
      <c r="E2" t="s">
        <v>56</v>
      </c>
      <c r="F2" t="s">
        <v>24</v>
      </c>
      <c r="G2" t="e">
        <f>Samples!O58-Samples!O2</f>
        <v>#VALUE!</v>
      </c>
      <c r="H2">
        <f>Samples!P58-Samples!P2</f>
        <v>-6.9099211100000026</v>
      </c>
      <c r="I2">
        <f>Samples!Q58-Samples!Q2</f>
        <v>0.43080839999999965</v>
      </c>
      <c r="J2">
        <f>Samples!R58-Samples!R2</f>
        <v>13.883200946666665</v>
      </c>
      <c r="K2">
        <f>1024-80</f>
        <v>944</v>
      </c>
      <c r="L2">
        <f>K2/1000</f>
        <v>0.94399999999999995</v>
      </c>
      <c r="M2" s="11">
        <f>'Std curve values (OD-cell dens)'!$J$2*Flux!L2+'Std curve values (OD-cell dens)'!$J$3</f>
        <v>196063455.35999998</v>
      </c>
      <c r="N2">
        <v>0.18179999999999999</v>
      </c>
      <c r="O2" s="17" t="e">
        <f>G2/$M2*$N2</f>
        <v>#VALUE!</v>
      </c>
      <c r="P2">
        <f t="shared" ref="P2:R2" si="0">H2/$M2*$N2</f>
        <v>-6.4072300240317495E-9</v>
      </c>
      <c r="Q2">
        <f t="shared" si="0"/>
        <v>3.9946744270211734E-10</v>
      </c>
      <c r="R2">
        <f t="shared" si="0"/>
        <v>1.287320947939862E-8</v>
      </c>
      <c r="T2" t="s">
        <v>76</v>
      </c>
      <c r="V2" t="e">
        <f>O2*10^9</f>
        <v>#VALUE!</v>
      </c>
      <c r="W2">
        <f t="shared" ref="W2:Y2" si="1">P2*10^9</f>
        <v>-6.4072300240317492</v>
      </c>
      <c r="X2">
        <f t="shared" si="1"/>
        <v>0.39946744270211731</v>
      </c>
      <c r="Y2">
        <f t="shared" si="1"/>
        <v>12.87320947939862</v>
      </c>
    </row>
    <row r="3" spans="1:25" x14ac:dyDescent="0.25">
      <c r="A3">
        <v>2</v>
      </c>
      <c r="B3">
        <f t="shared" ref="B3:B57" si="2">A3+200</f>
        <v>202</v>
      </c>
      <c r="C3">
        <v>2</v>
      </c>
      <c r="D3" t="s">
        <v>25</v>
      </c>
      <c r="E3" t="s">
        <v>56</v>
      </c>
      <c r="F3" t="s">
        <v>24</v>
      </c>
      <c r="G3" t="e">
        <f>Samples!O59-Samples!O3</f>
        <v>#VALUE!</v>
      </c>
      <c r="H3">
        <f>Samples!P59-Samples!P3</f>
        <v>-7.7494347299999937</v>
      </c>
      <c r="I3">
        <f>Samples!Q59-Samples!Q3</f>
        <v>3.0881980799999993</v>
      </c>
      <c r="J3">
        <f>Samples!R59-Samples!R3</f>
        <v>13.921103039999998</v>
      </c>
      <c r="K3">
        <f>1056-115</f>
        <v>941</v>
      </c>
      <c r="L3">
        <f t="shared" ref="L3:L57" si="3">K3/1000</f>
        <v>0.94099999999999995</v>
      </c>
      <c r="M3" s="11">
        <f>'Std curve values (OD-cell dens)'!$J$2*Flux!L3+'Std curve values (OD-cell dens)'!$J$3</f>
        <v>195398446.66499999</v>
      </c>
      <c r="N3">
        <v>0.2346</v>
      </c>
      <c r="O3" t="e">
        <f t="shared" ref="O3:O57" si="4">G3/$M3*$N3</f>
        <v>#VALUE!</v>
      </c>
      <c r="P3">
        <f t="shared" ref="P3:P57" si="5">H3/$M3*$N3</f>
        <v>-9.3041547601188994E-9</v>
      </c>
      <c r="Q3">
        <f t="shared" ref="Q3:Q57" si="6">I3/$M3*$N3</f>
        <v>3.707763710169614E-9</v>
      </c>
      <c r="R3">
        <f t="shared" ref="R3:R57" si="7">J3/$M3*$N3</f>
        <v>1.6714005811843488E-8</v>
      </c>
      <c r="T3" t="s">
        <v>77</v>
      </c>
      <c r="V3" t="e">
        <f t="shared" ref="V3:V57" si="8">O3*10^9</f>
        <v>#VALUE!</v>
      </c>
      <c r="W3">
        <f t="shared" ref="W3:W57" si="9">P3*10^9</f>
        <v>-9.3041547601188999</v>
      </c>
      <c r="X3">
        <f t="shared" ref="X3:X57" si="10">Q3*10^9</f>
        <v>3.7077637101696141</v>
      </c>
      <c r="Y3">
        <f t="shared" ref="Y3:Y57" si="11">R3*10^9</f>
        <v>16.714005811843489</v>
      </c>
    </row>
    <row r="4" spans="1:25" x14ac:dyDescent="0.25">
      <c r="A4">
        <v>3</v>
      </c>
      <c r="B4">
        <f t="shared" si="2"/>
        <v>203</v>
      </c>
      <c r="C4">
        <v>3</v>
      </c>
      <c r="D4" t="s">
        <v>26</v>
      </c>
      <c r="E4" t="s">
        <v>56</v>
      </c>
      <c r="F4" t="s">
        <v>24</v>
      </c>
      <c r="G4" t="e">
        <f>Samples!O60-Samples!O4</f>
        <v>#VALUE!</v>
      </c>
      <c r="H4">
        <f>Samples!P60-Samples!P4</f>
        <v>-8.0539213399999952</v>
      </c>
      <c r="I4">
        <f>Samples!Q60-Samples!Q4</f>
        <v>0.68986103999999981</v>
      </c>
      <c r="J4">
        <f>Samples!R60-Samples!R4</f>
        <v>13.478272253333333</v>
      </c>
      <c r="K4">
        <f>1103-181</f>
        <v>922</v>
      </c>
      <c r="L4">
        <f t="shared" si="3"/>
        <v>0.92200000000000004</v>
      </c>
      <c r="M4" s="11">
        <f>'Std curve values (OD-cell dens)'!$J$2*Flux!L4+'Std curve values (OD-cell dens)'!$J$3</f>
        <v>191186724.93000001</v>
      </c>
      <c r="N4">
        <v>0.16669999999999999</v>
      </c>
      <c r="O4" t="e">
        <f t="shared" si="4"/>
        <v>#VALUE!</v>
      </c>
      <c r="P4">
        <f t="shared" si="5"/>
        <v>-7.0223949276267308E-9</v>
      </c>
      <c r="Q4">
        <f t="shared" si="6"/>
        <v>6.0150533678583241E-10</v>
      </c>
      <c r="R4">
        <f t="shared" si="7"/>
        <v>1.1752008333493379E-8</v>
      </c>
      <c r="V4" t="e">
        <f t="shared" si="8"/>
        <v>#VALUE!</v>
      </c>
      <c r="W4">
        <f t="shared" si="9"/>
        <v>-7.0223949276267303</v>
      </c>
      <c r="X4">
        <f t="shared" si="10"/>
        <v>0.6015053367858324</v>
      </c>
      <c r="Y4">
        <f t="shared" si="11"/>
        <v>11.752008333493379</v>
      </c>
    </row>
    <row r="5" spans="1:25" x14ac:dyDescent="0.25">
      <c r="A5">
        <v>4</v>
      </c>
      <c r="B5">
        <f t="shared" si="2"/>
        <v>204</v>
      </c>
      <c r="C5">
        <v>4</v>
      </c>
      <c r="D5" t="s">
        <v>27</v>
      </c>
      <c r="E5" t="s">
        <v>56</v>
      </c>
      <c r="F5" t="s">
        <v>24</v>
      </c>
      <c r="G5">
        <f>Samples!O61-Samples!O5</f>
        <v>-1.21259294</v>
      </c>
      <c r="H5">
        <f>Samples!P61-Samples!P5</f>
        <v>-10.927765640000004</v>
      </c>
      <c r="I5">
        <f>Samples!Q61-Samples!Q5</f>
        <v>8.9780697599999986</v>
      </c>
      <c r="J5">
        <f>Samples!R61-Samples!R5</f>
        <v>17.125988906666663</v>
      </c>
      <c r="K5">
        <f>1081-70</f>
        <v>1011</v>
      </c>
      <c r="L5">
        <f t="shared" si="3"/>
        <v>1.0109999999999999</v>
      </c>
      <c r="M5" s="11">
        <f>'Std curve values (OD-cell dens)'!$J$2*Flux!L5+'Std curve values (OD-cell dens)'!$J$3</f>
        <v>210915316.21499997</v>
      </c>
      <c r="N5">
        <v>0.25459999999999999</v>
      </c>
      <c r="O5">
        <f t="shared" si="4"/>
        <v>-1.4637446348813044E-9</v>
      </c>
      <c r="P5">
        <f t="shared" si="5"/>
        <v>-1.319111945909092E-8</v>
      </c>
      <c r="Q5">
        <f t="shared" si="6"/>
        <v>1.083760346055625E-8</v>
      </c>
      <c r="R5">
        <f t="shared" si="7"/>
        <v>2.0673115892601241E-8</v>
      </c>
      <c r="T5" t="s">
        <v>82</v>
      </c>
      <c r="V5">
        <f t="shared" si="8"/>
        <v>-1.4637446348813044</v>
      </c>
      <c r="W5">
        <f t="shared" si="9"/>
        <v>-13.19111945909092</v>
      </c>
      <c r="X5">
        <f t="shared" si="10"/>
        <v>10.837603460556251</v>
      </c>
      <c r="Y5">
        <f t="shared" si="11"/>
        <v>20.673115892601242</v>
      </c>
    </row>
    <row r="6" spans="1:25" x14ac:dyDescent="0.25">
      <c r="A6">
        <v>5</v>
      </c>
      <c r="B6">
        <f t="shared" si="2"/>
        <v>205</v>
      </c>
      <c r="C6">
        <v>5</v>
      </c>
      <c r="D6" t="s">
        <v>28</v>
      </c>
      <c r="E6" t="s">
        <v>56</v>
      </c>
      <c r="F6" t="s">
        <v>24</v>
      </c>
      <c r="G6">
        <f>Samples!O62-Samples!O6</f>
        <v>-1.87354289</v>
      </c>
      <c r="H6">
        <f>Samples!P62-Samples!P6</f>
        <v>-14.08760058</v>
      </c>
      <c r="I6">
        <f>Samples!Q62-Samples!Q6</f>
        <v>9.4327173599999998</v>
      </c>
      <c r="J6">
        <f>Samples!R62-Samples!R6</f>
        <v>19.529413419999997</v>
      </c>
      <c r="K6">
        <f>1254-36</f>
        <v>1218</v>
      </c>
      <c r="L6">
        <f t="shared" si="3"/>
        <v>1.218</v>
      </c>
      <c r="M6" s="11">
        <f>'Std curve values (OD-cell dens)'!$J$2*Flux!L6+'Std curve values (OD-cell dens)'!$J$3</f>
        <v>256800916.17000002</v>
      </c>
      <c r="N6">
        <v>0.28899999999999998</v>
      </c>
      <c r="O6">
        <f t="shared" si="4"/>
        <v>-2.1084578018076933E-9</v>
      </c>
      <c r="P6">
        <f t="shared" si="5"/>
        <v>-1.5853979916975152E-8</v>
      </c>
      <c r="Q6">
        <f t="shared" si="6"/>
        <v>1.061544233446338E-8</v>
      </c>
      <c r="R6">
        <f t="shared" si="7"/>
        <v>2.1978116599255896E-8</v>
      </c>
      <c r="V6">
        <f t="shared" si="8"/>
        <v>-2.1084578018076932</v>
      </c>
      <c r="W6">
        <f t="shared" si="9"/>
        <v>-15.853979916975153</v>
      </c>
      <c r="X6">
        <f t="shared" si="10"/>
        <v>10.615442334463379</v>
      </c>
      <c r="Y6">
        <f t="shared" si="11"/>
        <v>21.978116599255895</v>
      </c>
    </row>
    <row r="7" spans="1:25" x14ac:dyDescent="0.25">
      <c r="A7">
        <v>6</v>
      </c>
      <c r="B7">
        <f t="shared" si="2"/>
        <v>206</v>
      </c>
      <c r="C7">
        <v>6</v>
      </c>
      <c r="D7" t="s">
        <v>29</v>
      </c>
      <c r="E7" t="s">
        <v>56</v>
      </c>
      <c r="F7" t="s">
        <v>24</v>
      </c>
      <c r="G7">
        <f>Samples!O63-Samples!O7</f>
        <v>-2.41239464</v>
      </c>
      <c r="H7">
        <f>Samples!P63-Samples!P7</f>
        <v>-10.97801742</v>
      </c>
      <c r="I7">
        <f>Samples!Q63-Samples!Q7</f>
        <v>4.5099225599999997</v>
      </c>
      <c r="J7">
        <f>Samples!R63-Samples!R7</f>
        <v>18.151504406666664</v>
      </c>
      <c r="K7">
        <f>1214-117</f>
        <v>1097</v>
      </c>
      <c r="L7">
        <f t="shared" si="3"/>
        <v>1.097</v>
      </c>
      <c r="M7" s="11">
        <f>'Std curve values (OD-cell dens)'!$J$2*Flux!L7+'Std curve values (OD-cell dens)'!$J$3</f>
        <v>229978898.80500001</v>
      </c>
      <c r="N7">
        <v>0.22570000000000001</v>
      </c>
      <c r="O7">
        <f t="shared" si="4"/>
        <v>-2.3675105545646804E-9</v>
      </c>
      <c r="P7">
        <f t="shared" si="5"/>
        <v>-1.0773764656534356E-8</v>
      </c>
      <c r="Q7">
        <f t="shared" si="6"/>
        <v>4.4260126780373548E-9</v>
      </c>
      <c r="R7">
        <f t="shared" si="7"/>
        <v>1.7813784507501075E-8</v>
      </c>
      <c r="V7">
        <f t="shared" si="8"/>
        <v>-2.3675105545646802</v>
      </c>
      <c r="W7">
        <f t="shared" si="9"/>
        <v>-10.773764656534356</v>
      </c>
      <c r="X7">
        <f t="shared" si="10"/>
        <v>4.4260126780373552</v>
      </c>
      <c r="Y7">
        <f t="shared" si="11"/>
        <v>17.813784507501076</v>
      </c>
    </row>
    <row r="8" spans="1:25" x14ac:dyDescent="0.25">
      <c r="A8">
        <v>7</v>
      </c>
      <c r="B8">
        <f t="shared" si="2"/>
        <v>207</v>
      </c>
      <c r="C8">
        <v>7</v>
      </c>
      <c r="D8" t="s">
        <v>30</v>
      </c>
      <c r="E8" t="s">
        <v>56</v>
      </c>
      <c r="F8" t="s">
        <v>24</v>
      </c>
      <c r="G8" t="e">
        <f>Samples!O64-Samples!O8</f>
        <v>#VALUE!</v>
      </c>
      <c r="H8">
        <f>Samples!P64-Samples!P8</f>
        <v>-7.7167748399999994</v>
      </c>
      <c r="I8">
        <f>Samples!Q64-Samples!Q8</f>
        <v>0.70518624000000063</v>
      </c>
      <c r="J8">
        <f>Samples!R64-Samples!R8</f>
        <v>13.563192133333327</v>
      </c>
      <c r="K8">
        <f>1069-256</f>
        <v>813</v>
      </c>
      <c r="L8">
        <f t="shared" si="3"/>
        <v>0.81299999999999994</v>
      </c>
      <c r="M8" s="11">
        <f>'Std curve values (OD-cell dens)'!$J$2*Flux!L8+'Std curve values (OD-cell dens)'!$J$3</f>
        <v>167024742.345</v>
      </c>
      <c r="N8">
        <v>0.1512</v>
      </c>
      <c r="O8" t="e">
        <f t="shared" si="4"/>
        <v>#VALUE!</v>
      </c>
      <c r="P8">
        <f t="shared" si="5"/>
        <v>-6.9856497871312432E-9</v>
      </c>
      <c r="Q8">
        <f t="shared" si="6"/>
        <v>6.3837344091069614E-10</v>
      </c>
      <c r="R8">
        <f t="shared" si="7"/>
        <v>1.2278148864460079E-8</v>
      </c>
      <c r="V8" t="e">
        <f t="shared" si="8"/>
        <v>#VALUE!</v>
      </c>
      <c r="W8">
        <f t="shared" si="9"/>
        <v>-6.9856497871312433</v>
      </c>
      <c r="X8">
        <f t="shared" si="10"/>
        <v>0.63837344091069614</v>
      </c>
      <c r="Y8">
        <f t="shared" si="11"/>
        <v>12.27814886446008</v>
      </c>
    </row>
    <row r="9" spans="1:25" x14ac:dyDescent="0.25">
      <c r="A9">
        <v>8</v>
      </c>
      <c r="B9">
        <f t="shared" si="2"/>
        <v>208</v>
      </c>
      <c r="C9">
        <v>8</v>
      </c>
      <c r="D9" t="s">
        <v>31</v>
      </c>
      <c r="E9" t="s">
        <v>56</v>
      </c>
      <c r="F9" t="s">
        <v>24</v>
      </c>
      <c r="G9">
        <f>Samples!O65-Samples!O9</f>
        <v>-1.5340766700000001</v>
      </c>
      <c r="H9">
        <f>Samples!P65-Samples!P9</f>
        <v>-13.996627530000005</v>
      </c>
      <c r="I9">
        <f>Samples!Q65-Samples!Q9</f>
        <v>11.856936959999999</v>
      </c>
      <c r="J9">
        <f>Samples!R65-Samples!R9</f>
        <v>20.97952832</v>
      </c>
      <c r="K9">
        <f>1121-71</f>
        <v>1050</v>
      </c>
      <c r="L9">
        <f t="shared" si="3"/>
        <v>1.05</v>
      </c>
      <c r="M9" s="11">
        <f>'Std curve values (OD-cell dens)'!$J$2*Flux!L9+'Std curve values (OD-cell dens)'!$J$3</f>
        <v>219560429.25</v>
      </c>
      <c r="N9">
        <v>0.28610000000000002</v>
      </c>
      <c r="O9">
        <f t="shared" si="4"/>
        <v>-1.9989910603939122E-9</v>
      </c>
      <c r="P9">
        <f t="shared" si="5"/>
        <v>-1.8238419145070064E-8</v>
      </c>
      <c r="Q9">
        <f t="shared" si="6"/>
        <v>1.5450277975151116E-8</v>
      </c>
      <c r="R9">
        <f t="shared" si="7"/>
        <v>2.7337544715389558E-8</v>
      </c>
      <c r="S9" s="7"/>
      <c r="T9" s="6"/>
      <c r="V9">
        <f t="shared" si="8"/>
        <v>-1.9989910603939123</v>
      </c>
      <c r="W9">
        <f t="shared" si="9"/>
        <v>-18.238419145070065</v>
      </c>
      <c r="X9">
        <f t="shared" si="10"/>
        <v>15.450277975151115</v>
      </c>
      <c r="Y9">
        <f t="shared" si="11"/>
        <v>27.337544715389559</v>
      </c>
    </row>
    <row r="10" spans="1:25" x14ac:dyDescent="0.25">
      <c r="A10">
        <v>9</v>
      </c>
      <c r="B10">
        <f t="shared" si="2"/>
        <v>209</v>
      </c>
      <c r="C10">
        <v>9</v>
      </c>
      <c r="D10" t="s">
        <v>32</v>
      </c>
      <c r="E10" t="s">
        <v>56</v>
      </c>
      <c r="F10" t="s">
        <v>24</v>
      </c>
      <c r="G10" t="e">
        <f>Samples!O66-Samples!O10</f>
        <v>#VALUE!</v>
      </c>
      <c r="H10">
        <f>Samples!P66-Samples!P10</f>
        <v>-6.7610492699999973</v>
      </c>
      <c r="I10">
        <f>Samples!Q66-Samples!Q10</f>
        <v>4.7366219999999988</v>
      </c>
      <c r="J10">
        <f>Samples!R66-Samples!R10</f>
        <v>17.866039273333332</v>
      </c>
      <c r="K10">
        <f>1055-79</f>
        <v>976</v>
      </c>
      <c r="L10">
        <f t="shared" si="3"/>
        <v>0.97599999999999998</v>
      </c>
      <c r="M10" s="11">
        <f>'Std curve values (OD-cell dens)'!$J$2*Flux!L10+'Std curve values (OD-cell dens)'!$J$3</f>
        <v>203156881.44</v>
      </c>
      <c r="N10">
        <v>0.16139999999999999</v>
      </c>
      <c r="O10" t="e">
        <f t="shared" si="4"/>
        <v>#VALUE!</v>
      </c>
      <c r="P10">
        <f t="shared" si="5"/>
        <v>-5.3713826696059144E-9</v>
      </c>
      <c r="Q10">
        <f t="shared" si="6"/>
        <v>3.763056340406481E-9</v>
      </c>
      <c r="R10">
        <f t="shared" si="7"/>
        <v>1.4193852151484374E-8</v>
      </c>
      <c r="V10" t="e">
        <f t="shared" si="8"/>
        <v>#VALUE!</v>
      </c>
      <c r="W10">
        <f t="shared" si="9"/>
        <v>-5.3713826696059144</v>
      </c>
      <c r="X10">
        <f t="shared" si="10"/>
        <v>3.763056340406481</v>
      </c>
      <c r="Y10">
        <f t="shared" si="11"/>
        <v>14.193852151484373</v>
      </c>
    </row>
    <row r="11" spans="1:25" x14ac:dyDescent="0.25">
      <c r="A11">
        <v>10</v>
      </c>
      <c r="B11">
        <f t="shared" si="2"/>
        <v>210</v>
      </c>
      <c r="C11">
        <v>10</v>
      </c>
      <c r="D11" t="s">
        <v>33</v>
      </c>
      <c r="E11" t="s">
        <v>56</v>
      </c>
      <c r="F11" t="s">
        <v>24</v>
      </c>
      <c r="G11" t="e">
        <f>Samples!O67-Samples!O11</f>
        <v>#VALUE!</v>
      </c>
      <c r="H11">
        <f>Samples!P67-Samples!P11</f>
        <v>-10.443065750000002</v>
      </c>
      <c r="I11">
        <f>Samples!Q67-Samples!Q11</f>
        <v>1.1495035199999992</v>
      </c>
      <c r="J11">
        <f>Samples!R67-Samples!R11</f>
        <v>21.361427893333328</v>
      </c>
      <c r="K11">
        <f>1067-1</f>
        <v>1066</v>
      </c>
      <c r="L11">
        <f t="shared" si="3"/>
        <v>1.0660000000000001</v>
      </c>
      <c r="M11" s="11">
        <f>'Std curve values (OD-cell dens)'!$J$2*Flux!L11+'Std curve values (OD-cell dens)'!$J$3</f>
        <v>223107142.29000002</v>
      </c>
      <c r="N11">
        <v>6.6400000000000001E-2</v>
      </c>
      <c r="O11" t="e">
        <f t="shared" si="4"/>
        <v>#VALUE!</v>
      </c>
      <c r="P11">
        <f t="shared" si="5"/>
        <v>-3.1080115082047743E-9</v>
      </c>
      <c r="Q11">
        <f t="shared" si="6"/>
        <v>3.4210932444640541E-10</v>
      </c>
      <c r="R11">
        <f t="shared" si="7"/>
        <v>6.3574782840150595E-9</v>
      </c>
      <c r="V11" t="e">
        <f t="shared" si="8"/>
        <v>#VALUE!</v>
      </c>
      <c r="W11">
        <f t="shared" si="9"/>
        <v>-3.1080115082047741</v>
      </c>
      <c r="X11">
        <f t="shared" si="10"/>
        <v>0.34210932444640541</v>
      </c>
      <c r="Y11">
        <f t="shared" si="11"/>
        <v>6.3574782840150599</v>
      </c>
    </row>
    <row r="12" spans="1:25" x14ac:dyDescent="0.25">
      <c r="A12">
        <v>11</v>
      </c>
      <c r="B12">
        <f t="shared" si="2"/>
        <v>211</v>
      </c>
      <c r="C12">
        <v>11</v>
      </c>
      <c r="D12" t="s">
        <v>34</v>
      </c>
      <c r="E12" t="s">
        <v>56</v>
      </c>
      <c r="F12" t="s">
        <v>24</v>
      </c>
      <c r="G12" t="e">
        <f>Samples!O68-Samples!O12</f>
        <v>#VALUE!</v>
      </c>
      <c r="H12">
        <f>Samples!P68-Samples!P12</f>
        <v>-8.9470393700000059</v>
      </c>
      <c r="I12">
        <f>Samples!Q68-Samples!Q12</f>
        <v>3.7459329599999993</v>
      </c>
      <c r="J12">
        <f>Samples!R68-Samples!R12</f>
        <v>23.653305106666661</v>
      </c>
      <c r="K12">
        <f>888-1</f>
        <v>887</v>
      </c>
      <c r="L12">
        <f t="shared" si="3"/>
        <v>0.88700000000000001</v>
      </c>
      <c r="M12" s="11">
        <f>'Std curve values (OD-cell dens)'!$J$2*Flux!L12+'Std curve values (OD-cell dens)'!$J$3</f>
        <v>183428290.155</v>
      </c>
      <c r="N12">
        <v>6.1100000000000002E-2</v>
      </c>
      <c r="O12" t="e">
        <f t="shared" si="4"/>
        <v>#VALUE!</v>
      </c>
      <c r="P12">
        <f t="shared" si="5"/>
        <v>-2.9802605969071618E-9</v>
      </c>
      <c r="Q12">
        <f t="shared" si="6"/>
        <v>1.2477710153793368E-9</v>
      </c>
      <c r="R12">
        <f t="shared" si="7"/>
        <v>7.8789206441171123E-9</v>
      </c>
      <c r="V12" t="e">
        <f t="shared" si="8"/>
        <v>#VALUE!</v>
      </c>
      <c r="W12">
        <f t="shared" si="9"/>
        <v>-2.9802605969071618</v>
      </c>
      <c r="X12">
        <f t="shared" si="10"/>
        <v>1.2477710153793367</v>
      </c>
      <c r="Y12">
        <f t="shared" si="11"/>
        <v>7.8789206441171125</v>
      </c>
    </row>
    <row r="13" spans="1:25" x14ac:dyDescent="0.25">
      <c r="A13">
        <v>12</v>
      </c>
      <c r="B13">
        <f t="shared" si="2"/>
        <v>212</v>
      </c>
      <c r="C13">
        <v>12</v>
      </c>
      <c r="D13" t="s">
        <v>35</v>
      </c>
      <c r="E13" t="s">
        <v>56</v>
      </c>
      <c r="F13" t="s">
        <v>24</v>
      </c>
      <c r="G13" t="e">
        <f>Samples!O69-Samples!O13</f>
        <v>#VALUE!</v>
      </c>
      <c r="H13">
        <f>Samples!P69-Samples!P13</f>
        <v>-9.274655359999997</v>
      </c>
      <c r="I13">
        <f>Samples!Q69-Samples!Q13</f>
        <v>2.3895959999999996</v>
      </c>
      <c r="J13">
        <f>Samples!R69-Samples!R13</f>
        <v>21.972659119999996</v>
      </c>
      <c r="K13">
        <f>1102-192</f>
        <v>910</v>
      </c>
      <c r="L13">
        <f t="shared" si="3"/>
        <v>0.91</v>
      </c>
      <c r="M13" s="11">
        <f>'Std curve values (OD-cell dens)'!$J$2*Flux!L13+'Std curve values (OD-cell dens)'!$J$3</f>
        <v>188526690.15000001</v>
      </c>
      <c r="N13">
        <v>9.3700000000000006E-2</v>
      </c>
      <c r="O13" t="e">
        <f t="shared" si="4"/>
        <v>#VALUE!</v>
      </c>
      <c r="P13">
        <f t="shared" si="5"/>
        <v>-4.6096136655269218E-9</v>
      </c>
      <c r="Q13">
        <f t="shared" si="6"/>
        <v>1.1876575408068287E-9</v>
      </c>
      <c r="R13">
        <f t="shared" si="7"/>
        <v>1.0920672069858642E-8</v>
      </c>
      <c r="V13" t="e">
        <f t="shared" si="8"/>
        <v>#VALUE!</v>
      </c>
      <c r="W13">
        <f t="shared" si="9"/>
        <v>-4.609613665526922</v>
      </c>
      <c r="X13">
        <f t="shared" si="10"/>
        <v>1.1876575408068286</v>
      </c>
      <c r="Y13">
        <f t="shared" si="11"/>
        <v>10.920672069858643</v>
      </c>
    </row>
    <row r="14" spans="1:25" x14ac:dyDescent="0.25">
      <c r="A14">
        <v>13</v>
      </c>
      <c r="B14">
        <f t="shared" si="2"/>
        <v>213</v>
      </c>
      <c r="C14">
        <v>13</v>
      </c>
      <c r="D14" t="s">
        <v>36</v>
      </c>
      <c r="E14" t="s">
        <v>56</v>
      </c>
      <c r="F14" t="s">
        <v>24</v>
      </c>
      <c r="G14">
        <f>Samples!O70-Samples!O14</f>
        <v>-1.6560918099999993</v>
      </c>
      <c r="H14">
        <f>Samples!P70-Samples!P14</f>
        <v>-9.5779365299999988</v>
      </c>
      <c r="I14">
        <f>Samples!Q70-Samples!Q14</f>
        <v>3.860134079999999</v>
      </c>
      <c r="J14">
        <f>Samples!R70-Samples!R14</f>
        <v>20.098424593333327</v>
      </c>
      <c r="K14">
        <f>1129-60</f>
        <v>1069</v>
      </c>
      <c r="L14">
        <f t="shared" si="3"/>
        <v>1.069</v>
      </c>
      <c r="M14" s="11">
        <f>'Std curve values (OD-cell dens)'!$J$2*Flux!L14+'Std curve values (OD-cell dens)'!$J$3</f>
        <v>223772150.98499998</v>
      </c>
      <c r="N14">
        <v>0.15579999999999999</v>
      </c>
      <c r="O14">
        <f t="shared" si="4"/>
        <v>-1.1530438567187726E-9</v>
      </c>
      <c r="P14">
        <f t="shared" si="5"/>
        <v>-6.6685800927660046E-9</v>
      </c>
      <c r="Q14">
        <f t="shared" si="6"/>
        <v>2.6875948906810739E-9</v>
      </c>
      <c r="R14">
        <f t="shared" si="7"/>
        <v>1.3993405961634758E-8</v>
      </c>
      <c r="V14">
        <f t="shared" si="8"/>
        <v>-1.1530438567187726</v>
      </c>
      <c r="W14">
        <f t="shared" si="9"/>
        <v>-6.6685800927660051</v>
      </c>
      <c r="X14">
        <f t="shared" si="10"/>
        <v>2.687594890681074</v>
      </c>
      <c r="Y14">
        <f t="shared" si="11"/>
        <v>13.993405961634759</v>
      </c>
    </row>
    <row r="15" spans="1:25" x14ac:dyDescent="0.25">
      <c r="A15">
        <v>14</v>
      </c>
      <c r="B15">
        <f t="shared" si="2"/>
        <v>214</v>
      </c>
      <c r="C15">
        <v>14</v>
      </c>
      <c r="D15" t="s">
        <v>37</v>
      </c>
      <c r="E15" t="s">
        <v>56</v>
      </c>
      <c r="F15" t="s">
        <v>24</v>
      </c>
      <c r="G15" t="e">
        <f>Samples!O71-Samples!O15</f>
        <v>#VALUE!</v>
      </c>
      <c r="H15">
        <f>Samples!P71-Samples!P15</f>
        <v>-6.9179824900000035</v>
      </c>
      <c r="I15">
        <f>Samples!Q71-Samples!Q15</f>
        <v>1.8573007199999998</v>
      </c>
      <c r="J15">
        <f>Samples!R71-Samples!R15</f>
        <v>16.728256813333328</v>
      </c>
      <c r="K15">
        <f>1022-37</f>
        <v>985</v>
      </c>
      <c r="L15">
        <f t="shared" si="3"/>
        <v>0.98499999999999999</v>
      </c>
      <c r="M15" s="11">
        <f>'Std curve values (OD-cell dens)'!$J$2*Flux!L15+'Std curve values (OD-cell dens)'!$J$3</f>
        <v>205151907.52500001</v>
      </c>
      <c r="N15">
        <v>0.15079999999999999</v>
      </c>
      <c r="O15" t="e">
        <f t="shared" si="4"/>
        <v>#VALUE!</v>
      </c>
      <c r="P15">
        <f t="shared" si="5"/>
        <v>-5.0851672405964405E-9</v>
      </c>
      <c r="Q15">
        <f t="shared" si="6"/>
        <v>1.3652368723009266E-9</v>
      </c>
      <c r="R15">
        <f t="shared" si="7"/>
        <v>1.2296357162281109E-8</v>
      </c>
      <c r="V15" t="e">
        <f t="shared" si="8"/>
        <v>#VALUE!</v>
      </c>
      <c r="W15">
        <f t="shared" si="9"/>
        <v>-5.0851672405964408</v>
      </c>
      <c r="X15">
        <f t="shared" si="10"/>
        <v>1.3652368723009265</v>
      </c>
      <c r="Y15">
        <f t="shared" si="11"/>
        <v>12.29635716228111</v>
      </c>
    </row>
    <row r="16" spans="1:25" x14ac:dyDescent="0.25">
      <c r="A16">
        <v>15</v>
      </c>
      <c r="B16">
        <f t="shared" si="2"/>
        <v>215</v>
      </c>
      <c r="C16">
        <v>15</v>
      </c>
      <c r="D16" t="s">
        <v>38</v>
      </c>
      <c r="E16" t="s">
        <v>56</v>
      </c>
      <c r="F16" t="s">
        <v>24</v>
      </c>
      <c r="G16">
        <f>Samples!O72-Samples!O16</f>
        <v>-1.5811301599999998</v>
      </c>
      <c r="H16">
        <f>Samples!P72-Samples!P16</f>
        <v>-13.493846039999998</v>
      </c>
      <c r="I16">
        <f>Samples!Q72-Samples!Q16</f>
        <v>11.007126239999998</v>
      </c>
      <c r="J16">
        <f>Samples!R72-Samples!R16</f>
        <v>20.557567673333327</v>
      </c>
      <c r="K16">
        <f>1256-142</f>
        <v>1114</v>
      </c>
      <c r="L16">
        <f t="shared" si="3"/>
        <v>1.1140000000000001</v>
      </c>
      <c r="M16" s="11">
        <f>'Std curve values (OD-cell dens)'!$J$2*Flux!L16+'Std curve values (OD-cell dens)'!$J$3</f>
        <v>233747281.41000003</v>
      </c>
      <c r="N16">
        <v>0.23680000000000001</v>
      </c>
      <c r="O16">
        <f t="shared" si="4"/>
        <v>-1.6017795784810447E-9</v>
      </c>
      <c r="P16">
        <f t="shared" si="5"/>
        <v>-1.3670074462458747E-8</v>
      </c>
      <c r="Q16">
        <f t="shared" si="6"/>
        <v>1.1150878324270814E-8</v>
      </c>
      <c r="R16">
        <f t="shared" si="7"/>
        <v>2.0826047668578665E-8</v>
      </c>
      <c r="V16">
        <f t="shared" si="8"/>
        <v>-1.6017795784810447</v>
      </c>
      <c r="W16">
        <f t="shared" si="9"/>
        <v>-13.670074462458746</v>
      </c>
      <c r="X16">
        <f t="shared" si="10"/>
        <v>11.150878324270813</v>
      </c>
      <c r="Y16">
        <f t="shared" si="11"/>
        <v>20.826047668578667</v>
      </c>
    </row>
    <row r="17" spans="1:25" x14ac:dyDescent="0.25">
      <c r="A17">
        <v>16</v>
      </c>
      <c r="B17">
        <f t="shared" si="2"/>
        <v>216</v>
      </c>
      <c r="C17">
        <v>16</v>
      </c>
      <c r="D17" t="s">
        <v>39</v>
      </c>
      <c r="E17" t="s">
        <v>56</v>
      </c>
      <c r="F17" t="s">
        <v>24</v>
      </c>
      <c r="G17">
        <f>Samples!O73-Samples!O17</f>
        <v>-1.4053336699999999</v>
      </c>
      <c r="H17">
        <f>Samples!P73-Samples!P17</f>
        <v>-6.487866430000004</v>
      </c>
      <c r="I17">
        <f>Samples!Q73-Samples!Q17</f>
        <v>1.2079663199999997</v>
      </c>
      <c r="J17">
        <f>Samples!R73-Samples!R17</f>
        <v>15.777106179999997</v>
      </c>
      <c r="K17">
        <f>1037-63</f>
        <v>974</v>
      </c>
      <c r="L17">
        <f t="shared" si="3"/>
        <v>0.97399999999999998</v>
      </c>
      <c r="M17" s="11">
        <f>'Std curve values (OD-cell dens)'!$J$2*Flux!L17+'Std curve values (OD-cell dens)'!$J$3</f>
        <v>202713542.31</v>
      </c>
      <c r="N17">
        <v>0.1615</v>
      </c>
      <c r="O17">
        <f t="shared" si="4"/>
        <v>-1.1196163074192594E-9</v>
      </c>
      <c r="P17">
        <f t="shared" si="5"/>
        <v>-5.1688230421363046E-9</v>
      </c>
      <c r="Q17">
        <f t="shared" si="6"/>
        <v>9.6237556927333223E-10</v>
      </c>
      <c r="R17">
        <f t="shared" si="7"/>
        <v>1.256947423953286E-8</v>
      </c>
      <c r="V17">
        <f t="shared" si="8"/>
        <v>-1.1196163074192593</v>
      </c>
      <c r="W17">
        <f t="shared" si="9"/>
        <v>-5.1688230421363048</v>
      </c>
      <c r="X17">
        <f t="shared" si="10"/>
        <v>0.96237556927333223</v>
      </c>
      <c r="Y17">
        <f t="shared" si="11"/>
        <v>12.569474239532859</v>
      </c>
    </row>
    <row r="18" spans="1:25" x14ac:dyDescent="0.25">
      <c r="A18">
        <v>17</v>
      </c>
      <c r="B18">
        <f t="shared" si="2"/>
        <v>217</v>
      </c>
      <c r="C18">
        <v>17</v>
      </c>
      <c r="D18" t="s">
        <v>40</v>
      </c>
      <c r="E18" t="s">
        <v>56</v>
      </c>
      <c r="F18" t="s">
        <v>24</v>
      </c>
      <c r="G18" t="e">
        <f>Samples!O74-Samples!O18</f>
        <v>#VALUE!</v>
      </c>
      <c r="H18">
        <f>Samples!P74-Samples!P18</f>
        <v>-4.7574573099999995</v>
      </c>
      <c r="I18">
        <f>Samples!Q74-Samples!Q18</f>
        <v>1.8904485599999994</v>
      </c>
      <c r="J18">
        <f>Samples!R74-Samples!R18</f>
        <v>13.059430133333333</v>
      </c>
      <c r="K18">
        <f>1144-161</f>
        <v>983</v>
      </c>
      <c r="L18">
        <f t="shared" si="3"/>
        <v>0.98299999999999998</v>
      </c>
      <c r="M18" s="11">
        <f>'Std curve values (OD-cell dens)'!$J$2*Flux!L18+'Std curve values (OD-cell dens)'!$J$3</f>
        <v>204708568.39500001</v>
      </c>
      <c r="N18">
        <v>0.1208</v>
      </c>
      <c r="O18" t="e">
        <f t="shared" si="4"/>
        <v>#VALUE!</v>
      </c>
      <c r="P18">
        <f t="shared" si="5"/>
        <v>-2.8074098097304509E-9</v>
      </c>
      <c r="Q18">
        <f t="shared" si="6"/>
        <v>1.1155673054551915E-9</v>
      </c>
      <c r="R18">
        <f t="shared" si="7"/>
        <v>7.706463742458564E-9</v>
      </c>
      <c r="V18" t="e">
        <f t="shared" si="8"/>
        <v>#VALUE!</v>
      </c>
      <c r="W18">
        <f t="shared" si="9"/>
        <v>-2.807409809730451</v>
      </c>
      <c r="X18">
        <f t="shared" si="10"/>
        <v>1.1155673054551916</v>
      </c>
      <c r="Y18">
        <f t="shared" si="11"/>
        <v>7.7064637424585642</v>
      </c>
    </row>
    <row r="19" spans="1:25" x14ac:dyDescent="0.25">
      <c r="A19">
        <v>18</v>
      </c>
      <c r="B19">
        <f t="shared" si="2"/>
        <v>218</v>
      </c>
      <c r="C19">
        <v>18</v>
      </c>
      <c r="D19" t="s">
        <v>41</v>
      </c>
      <c r="E19" t="s">
        <v>56</v>
      </c>
      <c r="F19" t="s">
        <v>24</v>
      </c>
      <c r="G19">
        <f>Samples!O75-Samples!O19</f>
        <v>-1.1326892200000005</v>
      </c>
      <c r="H19">
        <f>Samples!P75-Samples!P19</f>
        <v>-5.23530126</v>
      </c>
      <c r="I19">
        <f>Samples!Q75-Samples!Q19</f>
        <v>4.6238966399999999</v>
      </c>
      <c r="J19">
        <f>Samples!R75-Samples!R19</f>
        <v>10.305051426666667</v>
      </c>
      <c r="K19">
        <f>969-243</f>
        <v>726</v>
      </c>
      <c r="L19">
        <f t="shared" si="3"/>
        <v>0.72599999999999998</v>
      </c>
      <c r="M19" s="11">
        <f>'Std curve values (OD-cell dens)'!$J$2*Flux!L19+'Std curve values (OD-cell dens)'!$J$3</f>
        <v>147739490.19</v>
      </c>
      <c r="N19">
        <v>0.2278</v>
      </c>
      <c r="O19">
        <f t="shared" si="4"/>
        <v>-1.7464971889652905E-9</v>
      </c>
      <c r="P19">
        <f t="shared" si="5"/>
        <v>-8.0723280247837437E-9</v>
      </c>
      <c r="Q19">
        <f t="shared" si="6"/>
        <v>7.1296012544606445E-9</v>
      </c>
      <c r="R19">
        <f t="shared" si="7"/>
        <v>1.5889392280802391E-8</v>
      </c>
      <c r="V19">
        <f t="shared" si="8"/>
        <v>-1.7464971889652905</v>
      </c>
      <c r="W19">
        <f t="shared" si="9"/>
        <v>-8.0723280247837437</v>
      </c>
      <c r="X19">
        <f t="shared" si="10"/>
        <v>7.1296012544606446</v>
      </c>
      <c r="Y19">
        <f t="shared" si="11"/>
        <v>15.88939228080239</v>
      </c>
    </row>
    <row r="20" spans="1:25" x14ac:dyDescent="0.25">
      <c r="A20">
        <v>19</v>
      </c>
      <c r="B20">
        <f t="shared" si="2"/>
        <v>219</v>
      </c>
      <c r="C20">
        <v>19</v>
      </c>
      <c r="D20" t="s">
        <v>42</v>
      </c>
      <c r="E20" t="s">
        <v>56</v>
      </c>
      <c r="F20" t="s">
        <v>24</v>
      </c>
      <c r="G20">
        <f>Samples!O76-Samples!O20</f>
        <v>-2.12209994</v>
      </c>
      <c r="H20">
        <f>Samples!P76-Samples!P20</f>
        <v>-6.9577996799999973</v>
      </c>
      <c r="I20">
        <f>Samples!Q76-Samples!Q20</f>
        <v>3.2816361600000001</v>
      </c>
      <c r="J20">
        <f>Samples!R76-Samples!R20</f>
        <v>10.876941239999997</v>
      </c>
      <c r="K20">
        <f>949-236</f>
        <v>713</v>
      </c>
      <c r="L20">
        <f t="shared" si="3"/>
        <v>0.71299999999999997</v>
      </c>
      <c r="M20" s="11">
        <f>'Std curve values (OD-cell dens)'!$J$2*Flux!L20+'Std curve values (OD-cell dens)'!$J$3</f>
        <v>144857785.845</v>
      </c>
      <c r="N20">
        <v>0.23719999999999999</v>
      </c>
      <c r="O20">
        <f t="shared" si="4"/>
        <v>-3.474870907571409E-9</v>
      </c>
      <c r="P20">
        <f t="shared" si="5"/>
        <v>-1.1393174860907659E-8</v>
      </c>
      <c r="Q20">
        <f t="shared" si="6"/>
        <v>5.373574451737817E-9</v>
      </c>
      <c r="R20">
        <f t="shared" si="7"/>
        <v>1.7810644053945774E-8</v>
      </c>
      <c r="V20">
        <f t="shared" si="8"/>
        <v>-3.4748709075714088</v>
      </c>
      <c r="W20">
        <f t="shared" si="9"/>
        <v>-11.393174860907658</v>
      </c>
      <c r="X20">
        <f t="shared" si="10"/>
        <v>5.3735744517378166</v>
      </c>
      <c r="Y20">
        <f t="shared" si="11"/>
        <v>17.810644053945772</v>
      </c>
    </row>
    <row r="21" spans="1:25" x14ac:dyDescent="0.25">
      <c r="A21">
        <v>20</v>
      </c>
      <c r="B21">
        <f t="shared" si="2"/>
        <v>220</v>
      </c>
      <c r="C21">
        <v>20</v>
      </c>
      <c r="D21" t="s">
        <v>43</v>
      </c>
      <c r="E21" t="s">
        <v>56</v>
      </c>
      <c r="F21" t="s">
        <v>24</v>
      </c>
      <c r="G21">
        <f>Samples!O77-Samples!O21</f>
        <v>-1.0893319000000004</v>
      </c>
      <c r="H21">
        <f>Samples!P77-Samples!P21</f>
        <v>-5.1196166900000009</v>
      </c>
      <c r="I21">
        <f>Samples!Q77-Samples!Q21</f>
        <v>0.56374031999999996</v>
      </c>
      <c r="J21">
        <f>Samples!R77-Samples!R21</f>
        <v>7.4134575466666659</v>
      </c>
      <c r="K21">
        <f>816-239</f>
        <v>577</v>
      </c>
      <c r="L21">
        <f t="shared" si="3"/>
        <v>0.57699999999999996</v>
      </c>
      <c r="M21" s="11">
        <f>'Std curve values (OD-cell dens)'!$J$2*Flux!L21+'Std curve values (OD-cell dens)'!$J$3</f>
        <v>114710725.005</v>
      </c>
      <c r="N21">
        <v>0.2084</v>
      </c>
      <c r="O21">
        <f t="shared" si="4"/>
        <v>-1.9790369902213145E-9</v>
      </c>
      <c r="P21">
        <f t="shared" si="5"/>
        <v>-9.3010319492749707E-9</v>
      </c>
      <c r="Q21">
        <f t="shared" si="6"/>
        <v>1.0241717388054092E-9</v>
      </c>
      <c r="R21">
        <f t="shared" si="7"/>
        <v>1.3468353134878987E-8</v>
      </c>
      <c r="V21">
        <f t="shared" si="8"/>
        <v>-1.9790369902213145</v>
      </c>
      <c r="W21">
        <f t="shared" si="9"/>
        <v>-9.3010319492749716</v>
      </c>
      <c r="X21">
        <f t="shared" si="10"/>
        <v>1.0241717388054092</v>
      </c>
      <c r="Y21">
        <f t="shared" si="11"/>
        <v>13.468353134878987</v>
      </c>
    </row>
    <row r="22" spans="1:25" x14ac:dyDescent="0.25">
      <c r="A22">
        <v>21</v>
      </c>
      <c r="B22">
        <f t="shared" si="2"/>
        <v>221</v>
      </c>
      <c r="C22">
        <v>21</v>
      </c>
      <c r="D22" t="s">
        <v>44</v>
      </c>
      <c r="E22" t="s">
        <v>56</v>
      </c>
      <c r="F22" t="s">
        <v>24</v>
      </c>
      <c r="G22">
        <f>Samples!O78-Samples!O22</f>
        <v>-1.1750913500000002</v>
      </c>
      <c r="H22">
        <f>Samples!P78-Samples!P22</f>
        <v>-9.5367632199999974</v>
      </c>
      <c r="I22">
        <f>Samples!Q78-Samples!Q22</f>
        <v>10.503210959999997</v>
      </c>
      <c r="J22">
        <f>Samples!R78-Samples!R22</f>
        <v>18.445845346666665</v>
      </c>
      <c r="K22">
        <f>1200-90</f>
        <v>1110</v>
      </c>
      <c r="L22">
        <f t="shared" si="3"/>
        <v>1.1100000000000001</v>
      </c>
      <c r="M22" s="11">
        <f>'Std curve values (OD-cell dens)'!$J$2*Flux!L22+'Std curve values (OD-cell dens)'!$J$3</f>
        <v>232860603.15000004</v>
      </c>
      <c r="N22">
        <v>0.28189999999999998</v>
      </c>
      <c r="O22">
        <f t="shared" si="4"/>
        <v>-1.4225603089742748E-9</v>
      </c>
      <c r="P22">
        <f t="shared" si="5"/>
        <v>-1.1545162708293014E-8</v>
      </c>
      <c r="Q22">
        <f t="shared" si="6"/>
        <v>1.2715140000374934E-8</v>
      </c>
      <c r="R22">
        <f t="shared" si="7"/>
        <v>2.2330457504981051E-8</v>
      </c>
      <c r="V22">
        <f t="shared" si="8"/>
        <v>-1.4225603089742749</v>
      </c>
      <c r="W22">
        <f t="shared" si="9"/>
        <v>-11.545162708293015</v>
      </c>
      <c r="X22">
        <f t="shared" si="10"/>
        <v>12.715140000374934</v>
      </c>
      <c r="Y22">
        <f t="shared" si="11"/>
        <v>22.330457504981052</v>
      </c>
    </row>
    <row r="23" spans="1:25" x14ac:dyDescent="0.25">
      <c r="A23">
        <v>22</v>
      </c>
      <c r="B23">
        <f t="shared" si="2"/>
        <v>222</v>
      </c>
      <c r="C23">
        <v>22</v>
      </c>
      <c r="D23" t="s">
        <v>45</v>
      </c>
      <c r="E23" t="s">
        <v>56</v>
      </c>
      <c r="F23" t="s">
        <v>24</v>
      </c>
      <c r="G23" t="e">
        <f>Samples!O79-Samples!O23</f>
        <v>#VALUE!</v>
      </c>
      <c r="H23">
        <f>Samples!P79-Samples!P23</f>
        <v>-7.6870908800000066</v>
      </c>
      <c r="I23">
        <f>Samples!Q79-Samples!Q23</f>
        <v>5.1588028799999996</v>
      </c>
      <c r="J23">
        <f>Samples!R79-Samples!R23</f>
        <v>15.501476399999998</v>
      </c>
      <c r="K23">
        <f>1045-99</f>
        <v>946</v>
      </c>
      <c r="L23">
        <f t="shared" si="3"/>
        <v>0.94599999999999995</v>
      </c>
      <c r="M23" s="11">
        <f>'Std curve values (OD-cell dens)'!$J$2*Flux!L23+'Std curve values (OD-cell dens)'!$J$3</f>
        <v>196506794.48999998</v>
      </c>
      <c r="N23">
        <v>0.25109999999999999</v>
      </c>
      <c r="O23" t="e">
        <f t="shared" si="4"/>
        <v>#VALUE!</v>
      </c>
      <c r="P23">
        <f t="shared" si="5"/>
        <v>-9.8227062579570436E-9</v>
      </c>
      <c r="Q23">
        <f t="shared" si="6"/>
        <v>6.592013301778835E-9</v>
      </c>
      <c r="R23">
        <f t="shared" si="7"/>
        <v>1.9808071950601589E-8</v>
      </c>
      <c r="V23" t="e">
        <f t="shared" si="8"/>
        <v>#VALUE!</v>
      </c>
      <c r="W23">
        <f t="shared" si="9"/>
        <v>-9.8227062579570443</v>
      </c>
      <c r="X23">
        <f t="shared" si="10"/>
        <v>6.5920133017788354</v>
      </c>
      <c r="Y23">
        <f t="shared" si="11"/>
        <v>19.80807195060159</v>
      </c>
    </row>
    <row r="24" spans="1:25" x14ac:dyDescent="0.25">
      <c r="A24">
        <v>23</v>
      </c>
      <c r="B24">
        <f t="shared" si="2"/>
        <v>223</v>
      </c>
      <c r="C24">
        <v>23</v>
      </c>
      <c r="D24" t="s">
        <v>46</v>
      </c>
      <c r="E24" t="s">
        <v>56</v>
      </c>
      <c r="F24" t="s">
        <v>24</v>
      </c>
      <c r="G24">
        <f>Samples!O80-Samples!O24</f>
        <v>-1.1818607400000001</v>
      </c>
      <c r="H24">
        <f>Samples!P80-Samples!P24</f>
        <v>-9.0323995900000007</v>
      </c>
      <c r="I24">
        <f>Samples!Q80-Samples!Q24</f>
        <v>10.041071039999999</v>
      </c>
      <c r="J24">
        <f>Samples!R80-Samples!R24</f>
        <v>17.45967126</v>
      </c>
      <c r="K24">
        <f>1077-153</f>
        <v>924</v>
      </c>
      <c r="L24">
        <f t="shared" si="3"/>
        <v>0.92400000000000004</v>
      </c>
      <c r="M24" s="11">
        <f>'Std curve values (OD-cell dens)'!$J$2*Flux!L24+'Std curve values (OD-cell dens)'!$J$3</f>
        <v>191630064.06</v>
      </c>
      <c r="N24">
        <v>0.21709999999999999</v>
      </c>
      <c r="O24">
        <f t="shared" si="4"/>
        <v>-1.3389442200137414E-9</v>
      </c>
      <c r="P24">
        <f t="shared" si="5"/>
        <v>-1.0232913925108459E-8</v>
      </c>
      <c r="Q24">
        <f t="shared" si="6"/>
        <v>1.1375649919427364E-8</v>
      </c>
      <c r="R24">
        <f t="shared" si="7"/>
        <v>1.978027116538031E-8</v>
      </c>
      <c r="V24">
        <f t="shared" si="8"/>
        <v>-1.3389442200137414</v>
      </c>
      <c r="W24">
        <f t="shared" si="9"/>
        <v>-10.232913925108459</v>
      </c>
      <c r="X24">
        <f t="shared" si="10"/>
        <v>11.375649919427364</v>
      </c>
      <c r="Y24">
        <f t="shared" si="11"/>
        <v>19.780271165380309</v>
      </c>
    </row>
    <row r="25" spans="1:25" x14ac:dyDescent="0.25">
      <c r="A25">
        <v>24</v>
      </c>
      <c r="B25">
        <f t="shared" si="2"/>
        <v>224</v>
      </c>
      <c r="C25">
        <v>24</v>
      </c>
      <c r="D25" t="s">
        <v>47</v>
      </c>
      <c r="E25" t="s">
        <v>56</v>
      </c>
      <c r="F25" t="s">
        <v>24</v>
      </c>
      <c r="G25" t="e">
        <f>Samples!O81-Samples!O25</f>
        <v>#VALUE!</v>
      </c>
      <c r="H25">
        <f>Samples!P81-Samples!P25</f>
        <v>-6.196225290000001</v>
      </c>
      <c r="I25">
        <f>Samples!Q81-Samples!Q25</f>
        <v>4.0499395199999988</v>
      </c>
      <c r="J25">
        <f>Samples!R81-Samples!R25</f>
        <v>14.687301053333332</v>
      </c>
      <c r="K25">
        <f>1023-146</f>
        <v>877</v>
      </c>
      <c r="L25">
        <f t="shared" si="3"/>
        <v>0.877</v>
      </c>
      <c r="M25" s="11">
        <f>'Std curve values (OD-cell dens)'!$J$2*Flux!L25+'Std curve values (OD-cell dens)'!$J$3</f>
        <v>181211594.505</v>
      </c>
      <c r="N25">
        <v>0.30449999999999999</v>
      </c>
      <c r="O25" t="e">
        <f t="shared" si="4"/>
        <v>#VALUE!</v>
      </c>
      <c r="P25">
        <f t="shared" si="5"/>
        <v>-1.0411864682052345E-8</v>
      </c>
      <c r="Q25">
        <f t="shared" si="6"/>
        <v>6.8053403934149091E-9</v>
      </c>
      <c r="R25">
        <f t="shared" si="7"/>
        <v>2.4679895251496175E-8</v>
      </c>
      <c r="V25" t="e">
        <f t="shared" si="8"/>
        <v>#VALUE!</v>
      </c>
      <c r="W25">
        <f t="shared" si="9"/>
        <v>-10.411864682052345</v>
      </c>
      <c r="X25">
        <f t="shared" si="10"/>
        <v>6.8053403934149088</v>
      </c>
      <c r="Y25">
        <f t="shared" si="11"/>
        <v>24.679895251496173</v>
      </c>
    </row>
    <row r="26" spans="1:25" x14ac:dyDescent="0.25">
      <c r="A26">
        <v>41</v>
      </c>
      <c r="B26">
        <f t="shared" si="2"/>
        <v>241</v>
      </c>
      <c r="C26">
        <v>25</v>
      </c>
      <c r="D26" t="s">
        <v>48</v>
      </c>
      <c r="E26" t="s">
        <v>56</v>
      </c>
      <c r="F26" t="s">
        <v>24</v>
      </c>
      <c r="G26" t="e">
        <f>Samples!O82-Samples!O26</f>
        <v>#VALUE!</v>
      </c>
      <c r="H26">
        <f>Samples!P82-Samples!P26</f>
        <v>-1.5903520600000007</v>
      </c>
      <c r="I26">
        <f>Samples!Q82-Samples!Q26</f>
        <v>-0.51833232000000007</v>
      </c>
      <c r="J26">
        <f>Samples!R82-Samples!R26</f>
        <v>4.2738208533333326</v>
      </c>
      <c r="K26">
        <f>163-46</f>
        <v>117</v>
      </c>
      <c r="L26">
        <f t="shared" si="3"/>
        <v>0.11700000000000001</v>
      </c>
      <c r="M26" s="11">
        <f>'Std curve values (OD-cell dens)'!$J$2*Flux!L26+'Std curve values (OD-cell dens)'!$J$3</f>
        <v>12742725.105</v>
      </c>
      <c r="N26">
        <v>3.6089999999999997E-2</v>
      </c>
      <c r="O26" t="e">
        <f t="shared" si="4"/>
        <v>#VALUE!</v>
      </c>
      <c r="P26">
        <f t="shared" si="5"/>
        <v>-4.5042018384967756E-9</v>
      </c>
      <c r="Q26">
        <f t="shared" si="6"/>
        <v>-1.4680229915232092E-9</v>
      </c>
      <c r="R26">
        <f t="shared" si="7"/>
        <v>1.2104333517818593E-8</v>
      </c>
      <c r="V26" t="e">
        <f t="shared" si="8"/>
        <v>#VALUE!</v>
      </c>
      <c r="W26">
        <f t="shared" si="9"/>
        <v>-4.5042018384967752</v>
      </c>
      <c r="X26">
        <f t="shared" si="10"/>
        <v>-1.4680229915232093</v>
      </c>
      <c r="Y26">
        <f t="shared" si="11"/>
        <v>12.104333517818592</v>
      </c>
    </row>
    <row r="27" spans="1:25" x14ac:dyDescent="0.25">
      <c r="A27">
        <v>42</v>
      </c>
      <c r="B27">
        <f t="shared" si="2"/>
        <v>242</v>
      </c>
      <c r="C27">
        <v>26</v>
      </c>
      <c r="D27" t="s">
        <v>49</v>
      </c>
      <c r="E27" t="s">
        <v>56</v>
      </c>
      <c r="F27" t="s">
        <v>24</v>
      </c>
      <c r="G27" t="e">
        <f>Samples!O83-Samples!O27</f>
        <v>#VALUE!</v>
      </c>
      <c r="H27">
        <f>Samples!P83-Samples!P27</f>
        <v>-1.033740139999999</v>
      </c>
      <c r="I27">
        <f>Samples!Q83-Samples!Q27</f>
        <v>0.34146816000000002</v>
      </c>
      <c r="J27">
        <f>Samples!R83-Samples!R27</f>
        <v>6.9221696533333326</v>
      </c>
      <c r="K27">
        <f>145-1</f>
        <v>144</v>
      </c>
      <c r="L27">
        <f t="shared" si="3"/>
        <v>0.14399999999999999</v>
      </c>
      <c r="M27" s="11">
        <f>'Std curve values (OD-cell dens)'!$J$2*Flux!L27+'Std curve values (OD-cell dens)'!$J$3</f>
        <v>18727803.359999999</v>
      </c>
      <c r="N27">
        <v>3.1620000000000002E-2</v>
      </c>
      <c r="O27" t="e">
        <f t="shared" si="4"/>
        <v>#VALUE!</v>
      </c>
      <c r="P27">
        <f t="shared" si="5"/>
        <v>-1.7453655721639302E-9</v>
      </c>
      <c r="Q27">
        <f t="shared" si="6"/>
        <v>5.7653441846048951E-10</v>
      </c>
      <c r="R27">
        <f t="shared" si="7"/>
        <v>1.1687382670083738E-8</v>
      </c>
      <c r="V27" t="e">
        <f t="shared" si="8"/>
        <v>#VALUE!</v>
      </c>
      <c r="W27">
        <f t="shared" si="9"/>
        <v>-1.7453655721639303</v>
      </c>
      <c r="X27">
        <f t="shared" si="10"/>
        <v>0.57653441846048947</v>
      </c>
      <c r="Y27">
        <f t="shared" si="11"/>
        <v>11.687382670083737</v>
      </c>
    </row>
    <row r="28" spans="1:25" x14ac:dyDescent="0.25">
      <c r="A28">
        <v>43</v>
      </c>
      <c r="B28">
        <f t="shared" si="2"/>
        <v>243</v>
      </c>
      <c r="C28">
        <v>27</v>
      </c>
      <c r="D28" t="s">
        <v>50</v>
      </c>
      <c r="E28" t="s">
        <v>56</v>
      </c>
      <c r="F28" t="s">
        <v>24</v>
      </c>
      <c r="G28" t="e">
        <f>Samples!O84-Samples!O28</f>
        <v>#VALUE!</v>
      </c>
      <c r="H28">
        <f>Samples!P84-Samples!P28</f>
        <v>1.7587746299999978</v>
      </c>
      <c r="I28">
        <f>Samples!Q84-Samples!Q28</f>
        <v>-0.31490447999999993</v>
      </c>
      <c r="J28">
        <f>Samples!R84-Samples!R28</f>
        <v>3.823793466666666</v>
      </c>
      <c r="K28">
        <f>202-1</f>
        <v>201</v>
      </c>
      <c r="L28">
        <f t="shared" si="3"/>
        <v>0.20100000000000001</v>
      </c>
      <c r="M28" s="11">
        <f>'Std curve values (OD-cell dens)'!$J$2*Flux!L28+'Std curve values (OD-cell dens)'!$J$3</f>
        <v>31362968.565000005</v>
      </c>
      <c r="N28">
        <v>3.6799999999999999E-2</v>
      </c>
      <c r="O28" t="e">
        <f t="shared" si="4"/>
        <v>#VALUE!</v>
      </c>
      <c r="P28">
        <f t="shared" si="5"/>
        <v>2.0636728391912639E-9</v>
      </c>
      <c r="Q28">
        <f t="shared" si="6"/>
        <v>-3.6949579055256743E-10</v>
      </c>
      <c r="R28">
        <f t="shared" si="7"/>
        <v>4.4866798651951296E-9</v>
      </c>
      <c r="V28" t="e">
        <f t="shared" si="8"/>
        <v>#VALUE!</v>
      </c>
      <c r="W28">
        <f t="shared" si="9"/>
        <v>2.063672839191264</v>
      </c>
      <c r="X28">
        <f t="shared" si="10"/>
        <v>-0.36949579055256743</v>
      </c>
      <c r="Y28">
        <f t="shared" si="11"/>
        <v>4.4866798651951294</v>
      </c>
    </row>
    <row r="29" spans="1:25" x14ac:dyDescent="0.25">
      <c r="A29">
        <v>44</v>
      </c>
      <c r="B29">
        <f t="shared" si="2"/>
        <v>244</v>
      </c>
      <c r="C29">
        <v>28</v>
      </c>
      <c r="D29" t="s">
        <v>51</v>
      </c>
      <c r="E29" t="s">
        <v>56</v>
      </c>
      <c r="F29" t="s">
        <v>24</v>
      </c>
      <c r="G29">
        <f>Samples!O85-Samples!O29</f>
        <v>-2.5632731299999998</v>
      </c>
      <c r="H29">
        <f>Samples!P85-Samples!P29</f>
        <v>-5.4925120199999995</v>
      </c>
      <c r="I29">
        <f>Samples!Q85-Samples!Q29</f>
        <v>-0.42604056000000023</v>
      </c>
      <c r="J29">
        <f>Samples!R85-Samples!R29</f>
        <v>4.0121044999999995</v>
      </c>
      <c r="K29">
        <f>166-1</f>
        <v>165</v>
      </c>
      <c r="L29">
        <f t="shared" si="3"/>
        <v>0.16500000000000001</v>
      </c>
      <c r="M29" s="11">
        <f>'Std curve values (OD-cell dens)'!$J$2*Flux!L29+'Std curve values (OD-cell dens)'!$J$3</f>
        <v>23382864.225000001</v>
      </c>
      <c r="N29">
        <v>2.7910000000000001E-2</v>
      </c>
      <c r="O29">
        <f t="shared" si="4"/>
        <v>-3.0595461860404312E-9</v>
      </c>
      <c r="P29">
        <f t="shared" si="5"/>
        <v>-6.5559124409704339E-9</v>
      </c>
      <c r="Q29">
        <f t="shared" si="6"/>
        <v>-5.0852589807568821E-10</v>
      </c>
      <c r="R29">
        <f t="shared" si="7"/>
        <v>4.7888845231918964E-9</v>
      </c>
      <c r="V29">
        <f t="shared" si="8"/>
        <v>-3.0595461860404312</v>
      </c>
      <c r="W29">
        <f t="shared" si="9"/>
        <v>-6.5559124409704337</v>
      </c>
      <c r="X29">
        <f t="shared" si="10"/>
        <v>-0.50852589807568827</v>
      </c>
      <c r="Y29">
        <f t="shared" si="11"/>
        <v>4.7888845231918964</v>
      </c>
    </row>
    <row r="30" spans="1:25" x14ac:dyDescent="0.25">
      <c r="A30">
        <v>101</v>
      </c>
      <c r="B30">
        <f t="shared" si="2"/>
        <v>301</v>
      </c>
      <c r="C30">
        <v>1</v>
      </c>
      <c r="D30" t="s">
        <v>23</v>
      </c>
      <c r="E30" t="s">
        <v>56</v>
      </c>
      <c r="F30" t="s">
        <v>52</v>
      </c>
      <c r="G30">
        <f>Samples!O86-Samples!O30</f>
        <v>-8.7241655700000003</v>
      </c>
      <c r="H30">
        <f>Samples!P86-Samples!P30</f>
        <v>-1.5856433100000018</v>
      </c>
      <c r="I30">
        <f>Samples!Q86-Samples!Q30</f>
        <v>7.4403278399999984</v>
      </c>
      <c r="J30">
        <f>Samples!R86-Samples!R30</f>
        <v>12.726947213333334</v>
      </c>
      <c r="K30">
        <f>1044-227</f>
        <v>817</v>
      </c>
      <c r="L30">
        <f t="shared" si="3"/>
        <v>0.81699999999999995</v>
      </c>
      <c r="M30" s="11">
        <f>'Std curve values (OD-cell dens)'!$J$2*Flux!L30+'Std curve values (OD-cell dens)'!$J$3</f>
        <v>167911420.60499999</v>
      </c>
      <c r="N30">
        <v>0.30470000000000003</v>
      </c>
      <c r="O30">
        <f t="shared" si="4"/>
        <v>-1.5831283182532042E-8</v>
      </c>
      <c r="P30">
        <f t="shared" si="5"/>
        <v>-2.8773832942165799E-9</v>
      </c>
      <c r="Q30">
        <f t="shared" si="6"/>
        <v>1.3501570558330991E-8</v>
      </c>
      <c r="R30">
        <f t="shared" si="7"/>
        <v>2.3094919940110331E-8</v>
      </c>
      <c r="V30">
        <f t="shared" si="8"/>
        <v>-15.831283182532042</v>
      </c>
      <c r="W30">
        <f t="shared" si="9"/>
        <v>-2.87738329421658</v>
      </c>
      <c r="X30">
        <f t="shared" si="10"/>
        <v>13.501570558330991</v>
      </c>
      <c r="Y30">
        <f t="shared" si="11"/>
        <v>23.09491994011033</v>
      </c>
    </row>
    <row r="31" spans="1:25" x14ac:dyDescent="0.25">
      <c r="A31">
        <v>102</v>
      </c>
      <c r="B31">
        <f t="shared" si="2"/>
        <v>302</v>
      </c>
      <c r="C31">
        <v>2</v>
      </c>
      <c r="D31" t="s">
        <v>25</v>
      </c>
      <c r="E31" t="s">
        <v>56</v>
      </c>
      <c r="F31" t="s">
        <v>52</v>
      </c>
      <c r="G31">
        <f>Samples!O87-Samples!O31</f>
        <v>-5.4981567000000027</v>
      </c>
      <c r="H31">
        <f>Samples!P87-Samples!P31</f>
        <v>-9.5041410000007431E-2</v>
      </c>
      <c r="I31">
        <f>Samples!Q87-Samples!Q31</f>
        <v>4.4519138399999987</v>
      </c>
      <c r="J31">
        <f>Samples!R87-Samples!R31</f>
        <v>7.6048871066666646</v>
      </c>
      <c r="K31">
        <f>893-209</f>
        <v>684</v>
      </c>
      <c r="L31">
        <f t="shared" si="3"/>
        <v>0.68400000000000005</v>
      </c>
      <c r="M31" s="11">
        <f>'Std curve values (OD-cell dens)'!$J$2*Flux!L31+'Std curve values (OD-cell dens)'!$J$3</f>
        <v>138429368.46000001</v>
      </c>
      <c r="N31">
        <v>0.29210000000000003</v>
      </c>
      <c r="O31">
        <f t="shared" si="4"/>
        <v>-1.160166798372751E-8</v>
      </c>
      <c r="P31">
        <f t="shared" si="5"/>
        <v>-2.0054700942325004E-10</v>
      </c>
      <c r="Q31">
        <f t="shared" si="6"/>
        <v>9.3939894917584567E-9</v>
      </c>
      <c r="R31">
        <f t="shared" si="7"/>
        <v>1.6047082700512471E-8</v>
      </c>
      <c r="V31">
        <f t="shared" si="8"/>
        <v>-11.601667983727509</v>
      </c>
      <c r="W31">
        <f t="shared" si="9"/>
        <v>-0.20054700942325004</v>
      </c>
      <c r="X31">
        <f t="shared" si="10"/>
        <v>9.3939894917584574</v>
      </c>
      <c r="Y31">
        <f t="shared" si="11"/>
        <v>16.047082700512473</v>
      </c>
    </row>
    <row r="32" spans="1:25" x14ac:dyDescent="0.25">
      <c r="A32">
        <v>103</v>
      </c>
      <c r="B32">
        <f t="shared" si="2"/>
        <v>303</v>
      </c>
      <c r="C32">
        <v>3</v>
      </c>
      <c r="D32" t="s">
        <v>26</v>
      </c>
      <c r="E32" t="s">
        <v>56</v>
      </c>
      <c r="F32" t="s">
        <v>52</v>
      </c>
      <c r="G32">
        <f>Samples!O88-Samples!O32</f>
        <v>-14.6468004</v>
      </c>
      <c r="H32">
        <f>Samples!P88-Samples!P32</f>
        <v>-1.2052893199999986</v>
      </c>
      <c r="I32">
        <f>Samples!Q88-Samples!Q32</f>
        <v>11.993842079999999</v>
      </c>
      <c r="J32">
        <f>Samples!R88-Samples!R32</f>
        <v>21.740688713333331</v>
      </c>
      <c r="K32">
        <f>1385-9</f>
        <v>1376</v>
      </c>
      <c r="L32">
        <f t="shared" si="3"/>
        <v>1.3759999999999999</v>
      </c>
      <c r="M32" s="11">
        <f>'Std curve values (OD-cell dens)'!$J$2*Flux!L32+'Std curve values (OD-cell dens)'!$J$3</f>
        <v>291824707.44</v>
      </c>
      <c r="N32">
        <v>0.3679</v>
      </c>
      <c r="O32">
        <f t="shared" si="4"/>
        <v>-1.8465050181770176E-8</v>
      </c>
      <c r="P32">
        <f t="shared" si="5"/>
        <v>-1.5194941672961981E-9</v>
      </c>
      <c r="Q32">
        <f t="shared" si="6"/>
        <v>1.5120496615726853E-8</v>
      </c>
      <c r="R32">
        <f t="shared" si="7"/>
        <v>2.7408232317956922E-8</v>
      </c>
      <c r="V32">
        <f t="shared" si="8"/>
        <v>-18.465050181770177</v>
      </c>
      <c r="W32">
        <f t="shared" si="9"/>
        <v>-1.5194941672961981</v>
      </c>
      <c r="X32">
        <f t="shared" si="10"/>
        <v>15.120496615726852</v>
      </c>
      <c r="Y32">
        <f t="shared" si="11"/>
        <v>27.408232317956923</v>
      </c>
    </row>
    <row r="33" spans="1:25" x14ac:dyDescent="0.25">
      <c r="A33">
        <v>104</v>
      </c>
      <c r="B33">
        <f t="shared" si="2"/>
        <v>304</v>
      </c>
      <c r="C33">
        <v>4</v>
      </c>
      <c r="D33" t="s">
        <v>27</v>
      </c>
      <c r="E33" t="s">
        <v>56</v>
      </c>
      <c r="F33" t="s">
        <v>52</v>
      </c>
      <c r="G33">
        <f>Samples!O89-Samples!O33</f>
        <v>-10.448864940000007</v>
      </c>
      <c r="H33">
        <f>Samples!P89-Samples!P33</f>
        <v>-7.7694751699999998</v>
      </c>
      <c r="I33">
        <f>Samples!Q89-Samples!Q33</f>
        <v>13.689490319999997</v>
      </c>
      <c r="J33">
        <f>Samples!R89-Samples!R33</f>
        <v>21.288022573333329</v>
      </c>
      <c r="K33">
        <f>1286-72</f>
        <v>1214</v>
      </c>
      <c r="L33">
        <f t="shared" si="3"/>
        <v>1.214</v>
      </c>
      <c r="M33" s="11">
        <f>'Std curve values (OD-cell dens)'!$J$2*Flux!L33+'Std curve values (OD-cell dens)'!$J$3</f>
        <v>255914237.90999997</v>
      </c>
      <c r="N33">
        <v>0.34089999999999998</v>
      </c>
      <c r="O33">
        <f t="shared" si="4"/>
        <v>-1.3918795949519207E-8</v>
      </c>
      <c r="P33">
        <f t="shared" si="5"/>
        <v>-1.0349615977148037E-8</v>
      </c>
      <c r="Q33">
        <f t="shared" si="6"/>
        <v>1.8235590517356061E-8</v>
      </c>
      <c r="R33">
        <f t="shared" si="7"/>
        <v>2.8357495677131912E-8</v>
      </c>
      <c r="V33">
        <f t="shared" si="8"/>
        <v>-13.918795949519208</v>
      </c>
      <c r="W33">
        <f t="shared" si="9"/>
        <v>-10.349615977148037</v>
      </c>
      <c r="X33">
        <f t="shared" si="10"/>
        <v>18.235590517356062</v>
      </c>
      <c r="Y33">
        <f t="shared" si="11"/>
        <v>28.357495677131912</v>
      </c>
    </row>
    <row r="34" spans="1:25" x14ac:dyDescent="0.25">
      <c r="A34">
        <v>105</v>
      </c>
      <c r="B34">
        <f t="shared" si="2"/>
        <v>305</v>
      </c>
      <c r="C34">
        <v>5</v>
      </c>
      <c r="D34" t="s">
        <v>28</v>
      </c>
      <c r="E34" t="s">
        <v>56</v>
      </c>
      <c r="F34" t="s">
        <v>52</v>
      </c>
      <c r="G34">
        <f>Samples!O90-Samples!O34</f>
        <v>-10.002791209999994</v>
      </c>
      <c r="H34">
        <f>Samples!P90-Samples!P34</f>
        <v>-4.5682408999999993</v>
      </c>
      <c r="I34">
        <f>Samples!Q90-Samples!Q34</f>
        <v>12.476302079999998</v>
      </c>
      <c r="J34">
        <f>Samples!R90-Samples!R34</f>
        <v>18.08337659333333</v>
      </c>
      <c r="K34">
        <f>1196-31</f>
        <v>1165</v>
      </c>
      <c r="L34">
        <f t="shared" si="3"/>
        <v>1.165</v>
      </c>
      <c r="M34" s="11">
        <f>'Std curve values (OD-cell dens)'!$J$2*Flux!L34+'Std curve values (OD-cell dens)'!$J$3</f>
        <v>245052429.22499999</v>
      </c>
      <c r="N34">
        <v>0.37980000000000003</v>
      </c>
      <c r="O34">
        <f t="shared" si="4"/>
        <v>-1.5503050157767717E-8</v>
      </c>
      <c r="P34">
        <f t="shared" si="5"/>
        <v>-7.0801905506798993E-9</v>
      </c>
      <c r="Q34">
        <f t="shared" si="6"/>
        <v>1.9336676420511008E-8</v>
      </c>
      <c r="R34">
        <f t="shared" si="7"/>
        <v>2.802692653106467E-8</v>
      </c>
      <c r="V34">
        <f t="shared" si="8"/>
        <v>-15.503050157767717</v>
      </c>
      <c r="W34">
        <f t="shared" si="9"/>
        <v>-7.080190550679899</v>
      </c>
      <c r="X34">
        <f t="shared" si="10"/>
        <v>19.336676420511008</v>
      </c>
      <c r="Y34">
        <f t="shared" si="11"/>
        <v>28.026926531064671</v>
      </c>
    </row>
    <row r="35" spans="1:25" x14ac:dyDescent="0.25">
      <c r="A35">
        <v>106</v>
      </c>
      <c r="B35">
        <f t="shared" si="2"/>
        <v>306</v>
      </c>
      <c r="C35">
        <v>6</v>
      </c>
      <c r="D35" t="s">
        <v>29</v>
      </c>
      <c r="E35" t="s">
        <v>56</v>
      </c>
      <c r="F35" t="s">
        <v>52</v>
      </c>
      <c r="G35">
        <f>Samples!O91-Samples!O35</f>
        <v>-15.550700849999998</v>
      </c>
      <c r="H35">
        <f>Samples!P91-Samples!P35</f>
        <v>-5.1845221000000024</v>
      </c>
      <c r="I35">
        <f>Samples!Q91-Samples!Q35</f>
        <v>19.012556639999996</v>
      </c>
      <c r="J35">
        <f>Samples!R91-Samples!R35</f>
        <v>30.210367253333324</v>
      </c>
      <c r="K35">
        <f>1486-33</f>
        <v>1453</v>
      </c>
      <c r="L35">
        <f t="shared" si="3"/>
        <v>1.4530000000000001</v>
      </c>
      <c r="M35" s="11">
        <f>'Std curve values (OD-cell dens)'!$J$2*Flux!L35+'Std curve values (OD-cell dens)'!$J$3</f>
        <v>308893263.94499999</v>
      </c>
      <c r="N35">
        <v>0.28139999999999998</v>
      </c>
      <c r="O35">
        <f t="shared" si="4"/>
        <v>-1.4166599696292381E-8</v>
      </c>
      <c r="P35">
        <f t="shared" si="5"/>
        <v>-4.7230700349612331E-9</v>
      </c>
      <c r="Q35">
        <f t="shared" si="6"/>
        <v>1.7320330557446592E-8</v>
      </c>
      <c r="R35">
        <f t="shared" si="7"/>
        <v>2.7521472098535882E-8</v>
      </c>
      <c r="V35">
        <f t="shared" si="8"/>
        <v>-14.166599696292382</v>
      </c>
      <c r="W35">
        <f t="shared" si="9"/>
        <v>-4.7230700349612329</v>
      </c>
      <c r="X35">
        <f t="shared" si="10"/>
        <v>17.320330557446592</v>
      </c>
      <c r="Y35">
        <f t="shared" si="11"/>
        <v>27.521472098535881</v>
      </c>
    </row>
    <row r="36" spans="1:25" x14ac:dyDescent="0.25">
      <c r="A36">
        <v>107</v>
      </c>
      <c r="B36">
        <f t="shared" si="2"/>
        <v>307</v>
      </c>
      <c r="C36">
        <v>7</v>
      </c>
      <c r="D36" t="s">
        <v>30</v>
      </c>
      <c r="E36" t="s">
        <v>56</v>
      </c>
      <c r="F36" t="s">
        <v>52</v>
      </c>
      <c r="G36">
        <f>Samples!O92-Samples!O36</f>
        <v>-14.612039790000004</v>
      </c>
      <c r="H36">
        <f>Samples!P92-Samples!P36</f>
        <v>-1.3438019099999963</v>
      </c>
      <c r="I36">
        <f>Samples!Q92-Samples!Q36</f>
        <v>10.284684959999998</v>
      </c>
      <c r="J36">
        <f>Samples!R92-Samples!R36</f>
        <v>18.105686053333333</v>
      </c>
      <c r="K36">
        <f>1401-78</f>
        <v>1323</v>
      </c>
      <c r="L36">
        <f t="shared" si="3"/>
        <v>1.323</v>
      </c>
      <c r="M36" s="11">
        <f>'Std curve values (OD-cell dens)'!$J$2*Flux!L36+'Std curve values (OD-cell dens)'!$J$3</f>
        <v>280076220.495</v>
      </c>
      <c r="N36">
        <v>0.35039999999999999</v>
      </c>
      <c r="O36">
        <f t="shared" si="4"/>
        <v>-1.8280947712615274E-8</v>
      </c>
      <c r="P36">
        <f t="shared" si="5"/>
        <v>-1.6812144509512358E-9</v>
      </c>
      <c r="Q36">
        <f t="shared" si="6"/>
        <v>1.2867045990605028E-8</v>
      </c>
      <c r="R36">
        <f t="shared" si="7"/>
        <v>2.2651806647045422E-8</v>
      </c>
      <c r="V36">
        <f t="shared" si="8"/>
        <v>-18.280947712615273</v>
      </c>
      <c r="W36">
        <f t="shared" si="9"/>
        <v>-1.6812144509512359</v>
      </c>
      <c r="X36">
        <f t="shared" si="10"/>
        <v>12.867045990605028</v>
      </c>
      <c r="Y36">
        <f t="shared" si="11"/>
        <v>22.651806647045422</v>
      </c>
    </row>
    <row r="37" spans="1:25" x14ac:dyDescent="0.25">
      <c r="A37">
        <v>108</v>
      </c>
      <c r="B37">
        <f t="shared" si="2"/>
        <v>308</v>
      </c>
      <c r="C37">
        <v>8</v>
      </c>
      <c r="D37" t="s">
        <v>31</v>
      </c>
      <c r="E37" t="s">
        <v>56</v>
      </c>
      <c r="F37" t="s">
        <v>52</v>
      </c>
      <c r="G37">
        <f>Samples!O93-Samples!O37</f>
        <v>-9.0243444100000012</v>
      </c>
      <c r="H37">
        <f>Samples!P93-Samples!P37</f>
        <v>-4.0276763999999972</v>
      </c>
      <c r="I37">
        <f>Samples!Q93-Samples!Q37</f>
        <v>16.884397199999999</v>
      </c>
      <c r="J37">
        <f>Samples!R93-Samples!R37</f>
        <v>27.63854229999999</v>
      </c>
      <c r="K37">
        <f>1374-43</f>
        <v>1331</v>
      </c>
      <c r="L37">
        <f t="shared" si="3"/>
        <v>1.331</v>
      </c>
      <c r="M37" s="11">
        <f>'Std curve values (OD-cell dens)'!$J$2*Flux!L37+'Std curve values (OD-cell dens)'!$J$3</f>
        <v>281849577.01499999</v>
      </c>
      <c r="N37">
        <v>0.40489999999999998</v>
      </c>
      <c r="O37">
        <f t="shared" si="4"/>
        <v>-1.2964209811159436E-8</v>
      </c>
      <c r="P37">
        <f t="shared" si="5"/>
        <v>-5.7860870029732479E-9</v>
      </c>
      <c r="Q37">
        <f t="shared" si="6"/>
        <v>2.4255819358267697E-8</v>
      </c>
      <c r="R37">
        <f t="shared" si="7"/>
        <v>3.9705029525995777E-8</v>
      </c>
      <c r="V37">
        <f t="shared" si="8"/>
        <v>-12.964209811159435</v>
      </c>
      <c r="W37">
        <f t="shared" si="9"/>
        <v>-5.7860870029732476</v>
      </c>
      <c r="X37">
        <f t="shared" si="10"/>
        <v>24.255819358267697</v>
      </c>
      <c r="Y37">
        <f t="shared" si="11"/>
        <v>39.705029525995776</v>
      </c>
    </row>
    <row r="38" spans="1:25" x14ac:dyDescent="0.25">
      <c r="A38">
        <v>109</v>
      </c>
      <c r="B38">
        <f t="shared" si="2"/>
        <v>309</v>
      </c>
      <c r="C38">
        <v>9</v>
      </c>
      <c r="D38" t="s">
        <v>32</v>
      </c>
      <c r="E38" t="s">
        <v>56</v>
      </c>
      <c r="F38" t="s">
        <v>52</v>
      </c>
      <c r="G38">
        <f>Samples!O94-Samples!O38</f>
        <v>-9.2881014400000019</v>
      </c>
      <c r="H38">
        <f>Samples!P94-Samples!P38</f>
        <v>-0.15158407999999923</v>
      </c>
      <c r="I38">
        <f>Samples!Q94-Samples!Q38</f>
        <v>9.4981048799999979</v>
      </c>
      <c r="J38">
        <f>Samples!R94-Samples!R38</f>
        <v>15.499317419999995</v>
      </c>
      <c r="K38">
        <f>1147-15</f>
        <v>1132</v>
      </c>
      <c r="L38">
        <f t="shared" si="3"/>
        <v>1.1319999999999999</v>
      </c>
      <c r="M38" s="11">
        <f>'Std curve values (OD-cell dens)'!$J$2*Flux!L38+'Std curve values (OD-cell dens)'!$J$3</f>
        <v>237737333.57999998</v>
      </c>
      <c r="N38">
        <v>0.35170000000000001</v>
      </c>
      <c r="O38">
        <f t="shared" si="4"/>
        <v>-1.3740480837641609E-8</v>
      </c>
      <c r="P38">
        <f t="shared" si="5"/>
        <v>-2.242479972884019E-10</v>
      </c>
      <c r="Q38">
        <f t="shared" si="6"/>
        <v>1.4051152320053709E-8</v>
      </c>
      <c r="R38">
        <f t="shared" si="7"/>
        <v>2.2929128776400902E-8</v>
      </c>
      <c r="V38">
        <f t="shared" si="8"/>
        <v>-13.740480837641609</v>
      </c>
      <c r="W38">
        <f t="shared" si="9"/>
        <v>-0.22424799728840189</v>
      </c>
      <c r="X38">
        <f t="shared" si="10"/>
        <v>14.051152320053708</v>
      </c>
      <c r="Y38">
        <f t="shared" si="11"/>
        <v>22.929128776400901</v>
      </c>
    </row>
    <row r="39" spans="1:25" x14ac:dyDescent="0.25">
      <c r="A39">
        <v>110</v>
      </c>
      <c r="B39">
        <f t="shared" si="2"/>
        <v>310</v>
      </c>
      <c r="C39">
        <v>10</v>
      </c>
      <c r="D39" t="s">
        <v>33</v>
      </c>
      <c r="E39" t="s">
        <v>56</v>
      </c>
      <c r="F39" t="s">
        <v>52</v>
      </c>
      <c r="G39">
        <f>Samples!O95-Samples!O39</f>
        <v>-17.52370809</v>
      </c>
      <c r="H39">
        <f>Samples!P95-Samples!P39</f>
        <v>0.87556380999999561</v>
      </c>
      <c r="I39">
        <f>Samples!Q95-Samples!Q39</f>
        <v>13.338259439999998</v>
      </c>
      <c r="J39">
        <f>Samples!R95-Samples!R39</f>
        <v>25.78925598666666</v>
      </c>
      <c r="K39">
        <f>1419-21</f>
        <v>1398</v>
      </c>
      <c r="L39">
        <f t="shared" si="3"/>
        <v>1.3979999999999999</v>
      </c>
      <c r="M39" s="11">
        <f>'Std curve values (OD-cell dens)'!$J$2*Flux!L39+'Std curve values (OD-cell dens)'!$J$3</f>
        <v>296701437.87</v>
      </c>
      <c r="N39">
        <v>0.2387</v>
      </c>
      <c r="O39">
        <f t="shared" si="4"/>
        <v>-1.409804128726786E-8</v>
      </c>
      <c r="P39">
        <f t="shared" si="5"/>
        <v>7.0440198385075302E-10</v>
      </c>
      <c r="Q39">
        <f t="shared" si="6"/>
        <v>1.0730795749372146E-8</v>
      </c>
      <c r="R39">
        <f t="shared" si="7"/>
        <v>2.0747777456725849E-8</v>
      </c>
      <c r="V39">
        <f t="shared" si="8"/>
        <v>-14.098041287267861</v>
      </c>
      <c r="W39">
        <f t="shared" si="9"/>
        <v>0.70440198385075303</v>
      </c>
      <c r="X39">
        <f t="shared" si="10"/>
        <v>10.730795749372145</v>
      </c>
      <c r="Y39">
        <f t="shared" si="11"/>
        <v>20.747777456725849</v>
      </c>
    </row>
    <row r="40" spans="1:25" x14ac:dyDescent="0.25">
      <c r="A40">
        <v>111</v>
      </c>
      <c r="B40">
        <f t="shared" si="2"/>
        <v>311</v>
      </c>
      <c r="C40">
        <v>11</v>
      </c>
      <c r="D40" t="s">
        <v>34</v>
      </c>
      <c r="E40" t="s">
        <v>56</v>
      </c>
      <c r="F40" t="s">
        <v>52</v>
      </c>
      <c r="G40">
        <f>Samples!O96-Samples!O40</f>
        <v>-10.740654719999998</v>
      </c>
      <c r="H40">
        <f>Samples!P96-Samples!P40</f>
        <v>0.23038971999999802</v>
      </c>
      <c r="I40">
        <f>Samples!Q96-Samples!Q40</f>
        <v>4.1704977599999991</v>
      </c>
      <c r="J40">
        <f>Samples!R96-Samples!R40</f>
        <v>16.579527079999998</v>
      </c>
      <c r="K40">
        <f>1110-224</f>
        <v>886</v>
      </c>
      <c r="L40">
        <f t="shared" si="3"/>
        <v>0.88600000000000001</v>
      </c>
      <c r="M40" s="11">
        <f>'Std curve values (OD-cell dens)'!$J$2*Flux!L40+'Std curve values (OD-cell dens)'!$J$3</f>
        <v>183206620.59</v>
      </c>
      <c r="N40">
        <v>0.14699999999999999</v>
      </c>
      <c r="O40">
        <f t="shared" si="4"/>
        <v>-8.6180086656004825E-9</v>
      </c>
      <c r="P40">
        <f t="shared" si="5"/>
        <v>1.8485843323201547E-10</v>
      </c>
      <c r="Q40">
        <f t="shared" si="6"/>
        <v>3.346293756992441E-9</v>
      </c>
      <c r="R40">
        <f t="shared" si="7"/>
        <v>1.3302960738598053E-8</v>
      </c>
      <c r="V40">
        <f t="shared" si="8"/>
        <v>-8.6180086656004828</v>
      </c>
      <c r="W40">
        <f t="shared" si="9"/>
        <v>0.18485843323201548</v>
      </c>
      <c r="X40">
        <f t="shared" si="10"/>
        <v>3.3462937569924409</v>
      </c>
      <c r="Y40">
        <f t="shared" si="11"/>
        <v>13.302960738598053</v>
      </c>
    </row>
    <row r="41" spans="1:25" x14ac:dyDescent="0.25">
      <c r="A41">
        <v>112</v>
      </c>
      <c r="B41">
        <f t="shared" si="2"/>
        <v>312</v>
      </c>
      <c r="C41">
        <v>12</v>
      </c>
      <c r="D41" t="s">
        <v>35</v>
      </c>
      <c r="E41" t="s">
        <v>56</v>
      </c>
      <c r="F41" t="s">
        <v>52</v>
      </c>
      <c r="G41">
        <f>Samples!O97-Samples!O41</f>
        <v>-12.400235050000003</v>
      </c>
      <c r="H41">
        <f>Samples!P97-Samples!P41</f>
        <v>-1.2402470800000032</v>
      </c>
      <c r="I41">
        <f>Samples!Q97-Samples!Q41</f>
        <v>10.174343519999999</v>
      </c>
      <c r="J41">
        <f>Samples!R97-Samples!R41</f>
        <v>24.22495503333333</v>
      </c>
      <c r="K41">
        <f>1364-127</f>
        <v>1237</v>
      </c>
      <c r="L41">
        <f t="shared" si="3"/>
        <v>1.2370000000000001</v>
      </c>
      <c r="M41" s="11">
        <f>'Std curve values (OD-cell dens)'!$J$2*Flux!L41+'Std curve values (OD-cell dens)'!$J$3</f>
        <v>261012637.90500003</v>
      </c>
      <c r="N41">
        <v>0.188</v>
      </c>
      <c r="O41">
        <f t="shared" si="4"/>
        <v>-8.9315375995261049E-9</v>
      </c>
      <c r="P41">
        <f t="shared" si="5"/>
        <v>-8.9331479468387064E-10</v>
      </c>
      <c r="Q41">
        <f t="shared" si="6"/>
        <v>7.3282910632709951E-9</v>
      </c>
      <c r="R41">
        <f t="shared" si="7"/>
        <v>1.74485480198253E-8</v>
      </c>
      <c r="V41">
        <f t="shared" si="8"/>
        <v>-8.9315375995261057</v>
      </c>
      <c r="W41">
        <f t="shared" si="9"/>
        <v>-0.89331479468387065</v>
      </c>
      <c r="X41">
        <f t="shared" si="10"/>
        <v>7.3282910632709948</v>
      </c>
      <c r="Y41">
        <f t="shared" si="11"/>
        <v>17.448548019825299</v>
      </c>
    </row>
    <row r="42" spans="1:25" x14ac:dyDescent="0.25">
      <c r="A42">
        <v>113</v>
      </c>
      <c r="B42">
        <f t="shared" si="2"/>
        <v>313</v>
      </c>
      <c r="C42">
        <v>13</v>
      </c>
      <c r="D42" t="s">
        <v>36</v>
      </c>
      <c r="E42" t="s">
        <v>56</v>
      </c>
      <c r="F42" t="s">
        <v>52</v>
      </c>
      <c r="G42">
        <f>Samples!O98-Samples!O42</f>
        <v>-6.3835762999999979</v>
      </c>
      <c r="H42">
        <f>Samples!P98-Samples!P42</f>
        <v>0.29081240000000719</v>
      </c>
      <c r="I42">
        <f>Samples!Q98-Samples!Q42</f>
        <v>5.0858095199999998</v>
      </c>
      <c r="J42">
        <f>Samples!R98-Samples!R42</f>
        <v>16.55194011333333</v>
      </c>
      <c r="K42">
        <f>1094-98</f>
        <v>996</v>
      </c>
      <c r="L42">
        <f t="shared" si="3"/>
        <v>0.996</v>
      </c>
      <c r="M42" s="11">
        <f>'Std curve values (OD-cell dens)'!$J$2*Flux!L42+'Std curve values (OD-cell dens)'!$J$3</f>
        <v>207590272.74000001</v>
      </c>
      <c r="N42">
        <v>0.21679999999999999</v>
      </c>
      <c r="O42">
        <f t="shared" si="4"/>
        <v>-6.6667831954407763E-9</v>
      </c>
      <c r="P42">
        <f t="shared" si="5"/>
        <v>3.0371427084624177E-10</v>
      </c>
      <c r="Q42">
        <f t="shared" si="6"/>
        <v>5.3114410872082362E-9</v>
      </c>
      <c r="R42">
        <f t="shared" si="7"/>
        <v>1.7286265725297711E-8</v>
      </c>
      <c r="V42">
        <f t="shared" si="8"/>
        <v>-6.6667831954407761</v>
      </c>
      <c r="W42">
        <f t="shared" si="9"/>
        <v>0.30371427084624175</v>
      </c>
      <c r="X42">
        <f t="shared" si="10"/>
        <v>5.3114410872082365</v>
      </c>
      <c r="Y42">
        <f t="shared" si="11"/>
        <v>17.28626572529771</v>
      </c>
    </row>
    <row r="43" spans="1:25" x14ac:dyDescent="0.25">
      <c r="A43">
        <v>114</v>
      </c>
      <c r="B43">
        <f t="shared" si="2"/>
        <v>314</v>
      </c>
      <c r="C43">
        <v>14</v>
      </c>
      <c r="D43" t="s">
        <v>37</v>
      </c>
      <c r="E43" t="s">
        <v>56</v>
      </c>
      <c r="F43" t="s">
        <v>52</v>
      </c>
      <c r="G43">
        <f>Samples!O99-Samples!O43</f>
        <v>-10.023597739999996</v>
      </c>
      <c r="H43">
        <f>Samples!P99-Samples!P43</f>
        <v>0.69904219000000012</v>
      </c>
      <c r="I43">
        <f>Samples!Q99-Samples!Q43</f>
        <v>6.6469365599999994</v>
      </c>
      <c r="J43">
        <f>Samples!R99-Samples!R43</f>
        <v>17.335170079999997</v>
      </c>
      <c r="K43">
        <f>1171-51</f>
        <v>1120</v>
      </c>
      <c r="L43">
        <f t="shared" si="3"/>
        <v>1.1200000000000001</v>
      </c>
      <c r="M43" s="11">
        <f>'Std curve values (OD-cell dens)'!$J$2*Flux!L43+'Std curve values (OD-cell dens)'!$J$3</f>
        <v>235077298.80000001</v>
      </c>
      <c r="N43">
        <v>0.24479999999999999</v>
      </c>
      <c r="O43">
        <f t="shared" si="4"/>
        <v>-1.0438169654312868E-8</v>
      </c>
      <c r="P43">
        <f t="shared" si="5"/>
        <v>7.2795428986782288E-10</v>
      </c>
      <c r="Q43">
        <f t="shared" si="6"/>
        <v>6.9218511451093794E-9</v>
      </c>
      <c r="R43">
        <f t="shared" si="7"/>
        <v>1.805214564420543E-8</v>
      </c>
      <c r="V43">
        <f t="shared" si="8"/>
        <v>-10.438169654312867</v>
      </c>
      <c r="W43">
        <f t="shared" si="9"/>
        <v>0.72795428986782285</v>
      </c>
      <c r="X43">
        <f t="shared" si="10"/>
        <v>6.9218511451093798</v>
      </c>
      <c r="Y43">
        <f t="shared" si="11"/>
        <v>18.052145644205432</v>
      </c>
    </row>
    <row r="44" spans="1:25" x14ac:dyDescent="0.25">
      <c r="A44">
        <v>115</v>
      </c>
      <c r="B44">
        <f t="shared" si="2"/>
        <v>315</v>
      </c>
      <c r="C44">
        <v>15</v>
      </c>
      <c r="D44" t="s">
        <v>38</v>
      </c>
      <c r="E44" t="s">
        <v>56</v>
      </c>
      <c r="F44" t="s">
        <v>52</v>
      </c>
      <c r="G44">
        <f>Samples!O100-Samples!O44</f>
        <v>-13.091709550000001</v>
      </c>
      <c r="H44">
        <f>Samples!P100-Samples!P44</f>
        <v>0.87899177999999978</v>
      </c>
      <c r="I44">
        <f>Samples!Q100-Samples!Q44</f>
        <v>7.6060670399999992</v>
      </c>
      <c r="J44">
        <f>Samples!R100-Samples!R44</f>
        <v>21.500322273333332</v>
      </c>
      <c r="K44">
        <f>1275-54</f>
        <v>1221</v>
      </c>
      <c r="L44">
        <f t="shared" si="3"/>
        <v>1.2210000000000001</v>
      </c>
      <c r="M44" s="11">
        <f>'Std curve values (OD-cell dens)'!$J$2*Flux!L44+'Std curve values (OD-cell dens)'!$J$3</f>
        <v>257465924.86500001</v>
      </c>
      <c r="N44">
        <v>0.20760000000000001</v>
      </c>
      <c r="O44">
        <f t="shared" si="4"/>
        <v>-1.0556111081515254E-8</v>
      </c>
      <c r="P44">
        <f t="shared" si="5"/>
        <v>7.0874890968069294E-10</v>
      </c>
      <c r="Q44">
        <f t="shared" si="6"/>
        <v>6.1329262050189546E-9</v>
      </c>
      <c r="R44">
        <f t="shared" si="7"/>
        <v>1.7336146157144405E-8</v>
      </c>
      <c r="V44">
        <f t="shared" si="8"/>
        <v>-10.556111081515255</v>
      </c>
      <c r="W44">
        <f t="shared" si="9"/>
        <v>0.70874890968069293</v>
      </c>
      <c r="X44">
        <f t="shared" si="10"/>
        <v>6.132926205018955</v>
      </c>
      <c r="Y44">
        <f t="shared" si="11"/>
        <v>17.336146157144405</v>
      </c>
    </row>
    <row r="45" spans="1:25" x14ac:dyDescent="0.25">
      <c r="A45">
        <v>116</v>
      </c>
      <c r="B45">
        <f t="shared" si="2"/>
        <v>316</v>
      </c>
      <c r="C45">
        <v>16</v>
      </c>
      <c r="D45" t="s">
        <v>39</v>
      </c>
      <c r="E45" t="s">
        <v>56</v>
      </c>
      <c r="F45" t="s">
        <v>52</v>
      </c>
      <c r="G45">
        <f>Samples!O101-Samples!O45</f>
        <v>-8.5946750299999977</v>
      </c>
      <c r="H45">
        <f>Samples!P101-Samples!P45</f>
        <v>-2.2970789299999979</v>
      </c>
      <c r="I45">
        <f>Samples!Q101-Samples!Q45</f>
        <v>7.7812283999999998</v>
      </c>
      <c r="J45">
        <f>Samples!R101-Samples!R45</f>
        <v>20.415794653333329</v>
      </c>
      <c r="K45">
        <f>1293-72</f>
        <v>1221</v>
      </c>
      <c r="L45">
        <f t="shared" si="3"/>
        <v>1.2210000000000001</v>
      </c>
      <c r="M45" s="11">
        <f>'Std curve values (OD-cell dens)'!$J$2*Flux!L45+'Std curve values (OD-cell dens)'!$J$3</f>
        <v>257465924.86500001</v>
      </c>
      <c r="N45">
        <v>0.24249999999999999</v>
      </c>
      <c r="O45">
        <f t="shared" si="4"/>
        <v>-8.0950855763450464E-9</v>
      </c>
      <c r="P45">
        <f t="shared" si="5"/>
        <v>-2.1635548114457448E-9</v>
      </c>
      <c r="Q45">
        <f t="shared" si="6"/>
        <v>7.3289228001313348E-9</v>
      </c>
      <c r="R45">
        <f t="shared" si="7"/>
        <v>1.9229069656612839E-8</v>
      </c>
      <c r="V45">
        <f t="shared" si="8"/>
        <v>-8.0950855763450456</v>
      </c>
      <c r="W45">
        <f t="shared" si="9"/>
        <v>-2.1635548114457448</v>
      </c>
      <c r="X45">
        <f t="shared" si="10"/>
        <v>7.3289228001313349</v>
      </c>
      <c r="Y45">
        <f t="shared" si="11"/>
        <v>19.22906965661284</v>
      </c>
    </row>
    <row r="46" spans="1:25" x14ac:dyDescent="0.25">
      <c r="A46">
        <v>117</v>
      </c>
      <c r="B46">
        <f t="shared" si="2"/>
        <v>317</v>
      </c>
      <c r="C46">
        <v>17</v>
      </c>
      <c r="D46" t="s">
        <v>40</v>
      </c>
      <c r="E46" t="s">
        <v>56</v>
      </c>
      <c r="F46" t="s">
        <v>52</v>
      </c>
      <c r="G46">
        <f>Samples!O102-Samples!O46</f>
        <v>-11.922889230000003</v>
      </c>
      <c r="H46">
        <f>Samples!P102-Samples!P46</f>
        <v>0.22959864999999979</v>
      </c>
      <c r="I46">
        <f>Samples!Q102-Samples!Q46</f>
        <v>8.7001727999999989</v>
      </c>
      <c r="J46">
        <f>Samples!R102-Samples!R46</f>
        <v>14.673627513333333</v>
      </c>
      <c r="K46">
        <f>1185-53</f>
        <v>1132</v>
      </c>
      <c r="L46">
        <f t="shared" si="3"/>
        <v>1.1319999999999999</v>
      </c>
      <c r="M46" s="11">
        <f>'Std curve values (OD-cell dens)'!$J$2*Flux!L46+'Std curve values (OD-cell dens)'!$J$3</f>
        <v>237737333.57999998</v>
      </c>
      <c r="N46">
        <v>0.26150000000000001</v>
      </c>
      <c r="O46">
        <f t="shared" si="4"/>
        <v>-1.3114623129210084E-8</v>
      </c>
      <c r="P46">
        <f t="shared" si="5"/>
        <v>2.5254782692679662E-10</v>
      </c>
      <c r="Q46">
        <f t="shared" si="6"/>
        <v>9.5697850772538302E-9</v>
      </c>
      <c r="R46">
        <f t="shared" si="7"/>
        <v>1.6140307190942067E-8</v>
      </c>
      <c r="V46">
        <f t="shared" si="8"/>
        <v>-13.114623129210084</v>
      </c>
      <c r="W46">
        <f t="shared" si="9"/>
        <v>0.25254782692679661</v>
      </c>
      <c r="X46">
        <f t="shared" si="10"/>
        <v>9.5697850772538295</v>
      </c>
      <c r="Y46">
        <f t="shared" si="11"/>
        <v>16.140307190942067</v>
      </c>
    </row>
    <row r="47" spans="1:25" x14ac:dyDescent="0.25">
      <c r="A47">
        <v>118</v>
      </c>
      <c r="B47">
        <f t="shared" si="2"/>
        <v>318</v>
      </c>
      <c r="C47">
        <v>18</v>
      </c>
      <c r="D47" t="s">
        <v>41</v>
      </c>
      <c r="E47" t="s">
        <v>56</v>
      </c>
      <c r="F47" t="s">
        <v>52</v>
      </c>
      <c r="G47">
        <f>Samples!O103-Samples!O47</f>
        <v>-15.850505920000003</v>
      </c>
      <c r="H47">
        <f>Samples!P103-Samples!P47</f>
        <v>-5.1358524599999953</v>
      </c>
      <c r="I47">
        <f>Samples!Q103-Samples!Q47</f>
        <v>15.875772</v>
      </c>
      <c r="J47">
        <f>Samples!R103-Samples!R47</f>
        <v>23.403583086666664</v>
      </c>
      <c r="K47">
        <f>1392-30</f>
        <v>1362</v>
      </c>
      <c r="L47">
        <f t="shared" si="3"/>
        <v>1.3620000000000001</v>
      </c>
      <c r="M47" s="11">
        <f>'Std curve values (OD-cell dens)'!$J$2*Flux!L47+'Std curve values (OD-cell dens)'!$J$3</f>
        <v>288721333.53000003</v>
      </c>
      <c r="N47">
        <v>0.36009999999999998</v>
      </c>
      <c r="O47">
        <f t="shared" si="4"/>
        <v>-1.9769121706411511E-8</v>
      </c>
      <c r="P47">
        <f t="shared" si="5"/>
        <v>-6.4055553091085706E-9</v>
      </c>
      <c r="Q47">
        <f t="shared" si="6"/>
        <v>1.9800634152328684E-8</v>
      </c>
      <c r="R47">
        <f t="shared" si="7"/>
        <v>2.9189496205457847E-8</v>
      </c>
      <c r="V47">
        <f t="shared" si="8"/>
        <v>-19.769121706411511</v>
      </c>
      <c r="W47">
        <f t="shared" si="9"/>
        <v>-6.4055553091085704</v>
      </c>
      <c r="X47">
        <f t="shared" si="10"/>
        <v>19.800634152328684</v>
      </c>
      <c r="Y47">
        <f t="shared" si="11"/>
        <v>29.189496205457846</v>
      </c>
    </row>
    <row r="48" spans="1:25" x14ac:dyDescent="0.25">
      <c r="A48">
        <v>119</v>
      </c>
      <c r="B48">
        <f t="shared" si="2"/>
        <v>319</v>
      </c>
      <c r="C48">
        <v>19</v>
      </c>
      <c r="D48" t="s">
        <v>42</v>
      </c>
      <c r="E48" t="s">
        <v>56</v>
      </c>
      <c r="F48" t="s">
        <v>52</v>
      </c>
      <c r="G48">
        <f>Samples!O104-Samples!O48</f>
        <v>-8.9872581199999928</v>
      </c>
      <c r="H48">
        <f>Samples!P104-Samples!P48</f>
        <v>-3.2676088099999987</v>
      </c>
      <c r="I48">
        <f>Samples!Q104-Samples!Q48</f>
        <v>13.654072079999997</v>
      </c>
      <c r="J48">
        <f>Samples!R104-Samples!R48</f>
        <v>20.082592073333331</v>
      </c>
      <c r="K48">
        <f>1284-88</f>
        <v>1196</v>
      </c>
      <c r="L48">
        <f t="shared" si="3"/>
        <v>1.196</v>
      </c>
      <c r="M48" s="11">
        <f>'Std curve values (OD-cell dens)'!$J$2*Flux!L48+'Std curve values (OD-cell dens)'!$J$3</f>
        <v>251924185.73999998</v>
      </c>
      <c r="N48">
        <v>0.27939999999999998</v>
      </c>
      <c r="O48">
        <f t="shared" si="4"/>
        <v>-9.9674428294849519E-9</v>
      </c>
      <c r="P48">
        <f t="shared" si="5"/>
        <v>-3.6239867118444759E-9</v>
      </c>
      <c r="Q48">
        <f t="shared" si="6"/>
        <v>1.5143237351134045E-8</v>
      </c>
      <c r="R48">
        <f t="shared" si="7"/>
        <v>2.2272876297317006E-8</v>
      </c>
      <c r="V48">
        <f t="shared" si="8"/>
        <v>-9.967442829484952</v>
      </c>
      <c r="W48">
        <f t="shared" si="9"/>
        <v>-3.6239867118444757</v>
      </c>
      <c r="X48">
        <f t="shared" si="10"/>
        <v>15.143237351134045</v>
      </c>
      <c r="Y48">
        <f t="shared" si="11"/>
        <v>22.272876297317005</v>
      </c>
    </row>
    <row r="49" spans="1:25" x14ac:dyDescent="0.25">
      <c r="A49">
        <v>120</v>
      </c>
      <c r="B49">
        <f t="shared" si="2"/>
        <v>320</v>
      </c>
      <c r="C49">
        <v>20</v>
      </c>
      <c r="D49" t="s">
        <v>43</v>
      </c>
      <c r="E49" t="s">
        <v>56</v>
      </c>
      <c r="F49" t="s">
        <v>52</v>
      </c>
      <c r="G49">
        <f>Samples!O105-Samples!O49</f>
        <v>-8.8024080900000001</v>
      </c>
      <c r="H49">
        <f>Samples!P105-Samples!P49</f>
        <v>-4.4336083199999976</v>
      </c>
      <c r="I49">
        <f>Samples!Q105-Samples!Q49</f>
        <v>8.5355687999999983</v>
      </c>
      <c r="J49">
        <f>Samples!R105-Samples!R49</f>
        <v>15.801574619999997</v>
      </c>
      <c r="K49">
        <f>1153-30</f>
        <v>1123</v>
      </c>
      <c r="L49">
        <f t="shared" si="3"/>
        <v>1.123</v>
      </c>
      <c r="M49" s="11">
        <f>'Std curve values (OD-cell dens)'!$J$2*Flux!L49+'Std curve values (OD-cell dens)'!$J$3</f>
        <v>235742307.495</v>
      </c>
      <c r="N49">
        <v>0.38379999999999997</v>
      </c>
      <c r="O49">
        <f t="shared" si="4"/>
        <v>-1.4330750643957507E-8</v>
      </c>
      <c r="P49">
        <f t="shared" si="5"/>
        <v>-7.2181310656428929E-9</v>
      </c>
      <c r="Q49">
        <f t="shared" si="6"/>
        <v>1.3896323236377419E-8</v>
      </c>
      <c r="R49">
        <f t="shared" si="7"/>
        <v>2.5725735883384557E-8</v>
      </c>
      <c r="V49">
        <f t="shared" si="8"/>
        <v>-14.330750643957508</v>
      </c>
      <c r="W49">
        <f t="shared" si="9"/>
        <v>-7.2181310656428925</v>
      </c>
      <c r="X49">
        <f t="shared" si="10"/>
        <v>13.89632323637742</v>
      </c>
      <c r="Y49">
        <f t="shared" si="11"/>
        <v>25.725735883384559</v>
      </c>
    </row>
    <row r="50" spans="1:25" x14ac:dyDescent="0.25">
      <c r="A50">
        <v>121</v>
      </c>
      <c r="B50">
        <f t="shared" si="2"/>
        <v>321</v>
      </c>
      <c r="C50">
        <v>21</v>
      </c>
      <c r="D50" t="s">
        <v>44</v>
      </c>
      <c r="E50" t="s">
        <v>56</v>
      </c>
      <c r="F50" t="s">
        <v>52</v>
      </c>
      <c r="G50">
        <f>Samples!O106-Samples!O50</f>
        <v>-7.7261166099999983</v>
      </c>
      <c r="H50">
        <f>Samples!P106-Samples!P50</f>
        <v>-3.8071185499999913</v>
      </c>
      <c r="I50">
        <f>Samples!Q106-Samples!Q50</f>
        <v>11.491402559999997</v>
      </c>
      <c r="J50">
        <f>Samples!R106-Samples!R50</f>
        <v>18.468634579999996</v>
      </c>
      <c r="K50">
        <f>1195-61</f>
        <v>1134</v>
      </c>
      <c r="L50">
        <f t="shared" si="3"/>
        <v>1.1339999999999999</v>
      </c>
      <c r="M50" s="11">
        <f>'Std curve values (OD-cell dens)'!$J$2*Flux!L50+'Std curve values (OD-cell dens)'!$J$3</f>
        <v>238180672.70999998</v>
      </c>
      <c r="N50">
        <v>0.29649999999999999</v>
      </c>
      <c r="O50">
        <f t="shared" si="4"/>
        <v>-9.6178818742954246E-9</v>
      </c>
      <c r="P50">
        <f t="shared" si="5"/>
        <v>-4.7393041476937787E-9</v>
      </c>
      <c r="Q50">
        <f t="shared" si="6"/>
        <v>1.4305110571202733E-8</v>
      </c>
      <c r="R50">
        <f t="shared" si="7"/>
        <v>2.2990740981059004E-8</v>
      </c>
      <c r="V50">
        <f t="shared" si="8"/>
        <v>-9.6178818742954242</v>
      </c>
      <c r="W50">
        <f t="shared" si="9"/>
        <v>-4.7393041476937787</v>
      </c>
      <c r="X50">
        <f t="shared" si="10"/>
        <v>14.305110571202732</v>
      </c>
      <c r="Y50">
        <f t="shared" si="11"/>
        <v>22.990740981059005</v>
      </c>
    </row>
    <row r="51" spans="1:25" x14ac:dyDescent="0.25">
      <c r="A51">
        <v>122</v>
      </c>
      <c r="B51">
        <f t="shared" si="2"/>
        <v>322</v>
      </c>
      <c r="C51">
        <v>22</v>
      </c>
      <c r="D51" t="s">
        <v>45</v>
      </c>
      <c r="E51" t="s">
        <v>56</v>
      </c>
      <c r="F51" t="s">
        <v>52</v>
      </c>
      <c r="G51">
        <f>Samples!O107-Samples!O51</f>
        <v>-10.544425470000007</v>
      </c>
      <c r="H51">
        <f>Samples!P107-Samples!P51</f>
        <v>-0.39802121999999684</v>
      </c>
      <c r="I51">
        <f>Samples!Q107-Samples!Q51</f>
        <v>11.377201439999997</v>
      </c>
      <c r="J51">
        <f>Samples!R107-Samples!R51</f>
        <v>17.796232253333329</v>
      </c>
      <c r="K51">
        <f>1109-71</f>
        <v>1038</v>
      </c>
      <c r="L51">
        <f t="shared" si="3"/>
        <v>1.038</v>
      </c>
      <c r="M51" s="11">
        <f>'Std curve values (OD-cell dens)'!$J$2*Flux!L51+'Std curve values (OD-cell dens)'!$J$3</f>
        <v>216900394.47</v>
      </c>
      <c r="N51">
        <v>0.2777</v>
      </c>
      <c r="O51">
        <f t="shared" si="4"/>
        <v>-1.3500145816581291E-8</v>
      </c>
      <c r="P51">
        <f t="shared" si="5"/>
        <v>-5.0959101786828172E-10</v>
      </c>
      <c r="Q51">
        <f t="shared" si="6"/>
        <v>1.4566358201460026E-8</v>
      </c>
      <c r="R51">
        <f t="shared" si="7"/>
        <v>2.2784715116939112E-8</v>
      </c>
      <c r="V51">
        <f t="shared" si="8"/>
        <v>-13.500145816581291</v>
      </c>
      <c r="W51">
        <f t="shared" si="9"/>
        <v>-0.50959101786828176</v>
      </c>
      <c r="X51">
        <f t="shared" si="10"/>
        <v>14.566358201460027</v>
      </c>
      <c r="Y51">
        <f t="shared" si="11"/>
        <v>22.784715116939111</v>
      </c>
    </row>
    <row r="52" spans="1:25" x14ac:dyDescent="0.25">
      <c r="A52">
        <v>123</v>
      </c>
      <c r="B52">
        <f t="shared" si="2"/>
        <v>323</v>
      </c>
      <c r="C52">
        <v>23</v>
      </c>
      <c r="D52" t="s">
        <v>46</v>
      </c>
      <c r="E52" t="s">
        <v>56</v>
      </c>
      <c r="F52" t="s">
        <v>52</v>
      </c>
      <c r="G52">
        <f>Samples!O108-Samples!O52</f>
        <v>-13.029165370000001</v>
      </c>
      <c r="H52">
        <f>Samples!P108-Samples!P52</f>
        <v>-2.7991823599999961</v>
      </c>
      <c r="I52">
        <f>Samples!Q108-Samples!Q52</f>
        <v>10.695627359999998</v>
      </c>
      <c r="J52">
        <f>Samples!R108-Samples!R52</f>
        <v>24.198807386666658</v>
      </c>
      <c r="K52">
        <f>1239-5</f>
        <v>1234</v>
      </c>
      <c r="L52">
        <f t="shared" si="3"/>
        <v>1.234</v>
      </c>
      <c r="M52" s="11">
        <f>'Std curve values (OD-cell dens)'!$J$2*Flux!L52+'Std curve values (OD-cell dens)'!$J$3</f>
        <v>260347629.20999998</v>
      </c>
      <c r="N52">
        <v>0.25309999999999999</v>
      </c>
      <c r="O52">
        <f t="shared" si="4"/>
        <v>-1.2666455865772623E-8</v>
      </c>
      <c r="P52">
        <f t="shared" si="5"/>
        <v>-2.7212579483277526E-9</v>
      </c>
      <c r="Q52">
        <f t="shared" si="6"/>
        <v>1.0397879531418528E-8</v>
      </c>
      <c r="R52">
        <f t="shared" si="7"/>
        <v>2.352515430292261E-8</v>
      </c>
      <c r="V52">
        <f t="shared" si="8"/>
        <v>-12.666455865772623</v>
      </c>
      <c r="W52">
        <f t="shared" si="9"/>
        <v>-2.7212579483277524</v>
      </c>
      <c r="X52">
        <f t="shared" si="10"/>
        <v>10.397879531418528</v>
      </c>
      <c r="Y52">
        <f t="shared" si="11"/>
        <v>23.525154302922608</v>
      </c>
    </row>
    <row r="53" spans="1:25" x14ac:dyDescent="0.25">
      <c r="A53">
        <v>124</v>
      </c>
      <c r="B53">
        <f t="shared" si="2"/>
        <v>324</v>
      </c>
      <c r="C53">
        <v>24</v>
      </c>
      <c r="D53" t="s">
        <v>47</v>
      </c>
      <c r="E53" t="s">
        <v>56</v>
      </c>
      <c r="F53" t="s">
        <v>52</v>
      </c>
      <c r="G53">
        <f>Samples!O109-Samples!O53</f>
        <v>-15.583135779999999</v>
      </c>
      <c r="H53">
        <f>Samples!P109-Samples!P53</f>
        <v>-2.1400703700000037</v>
      </c>
      <c r="I53">
        <f>Samples!Q109-Samples!Q53</f>
        <v>12.197496959999999</v>
      </c>
      <c r="J53">
        <f>Samples!R109-Samples!R53</f>
        <v>20.92963189333333</v>
      </c>
      <c r="K53">
        <f>1301-53</f>
        <v>1248</v>
      </c>
      <c r="L53">
        <f t="shared" si="3"/>
        <v>1.248</v>
      </c>
      <c r="M53" s="11">
        <f>'Std curve values (OD-cell dens)'!$J$2*Flux!L53+'Std curve values (OD-cell dens)'!$J$3</f>
        <v>263451003.12</v>
      </c>
      <c r="N53">
        <v>0.26229999999999998</v>
      </c>
      <c r="O53">
        <f t="shared" si="4"/>
        <v>-1.5515053906369803E-8</v>
      </c>
      <c r="P53">
        <f t="shared" si="5"/>
        <v>-2.1307205188181215E-9</v>
      </c>
      <c r="Q53">
        <f t="shared" si="6"/>
        <v>1.214420675844113E-8</v>
      </c>
      <c r="R53">
        <f t="shared" si="7"/>
        <v>2.0838191468645687E-8</v>
      </c>
      <c r="V53">
        <f t="shared" si="8"/>
        <v>-15.515053906369802</v>
      </c>
      <c r="W53">
        <f t="shared" si="9"/>
        <v>-2.1307205188181215</v>
      </c>
      <c r="X53">
        <f t="shared" si="10"/>
        <v>12.144206758441131</v>
      </c>
      <c r="Y53">
        <f t="shared" si="11"/>
        <v>20.838191468645686</v>
      </c>
    </row>
    <row r="54" spans="1:25" x14ac:dyDescent="0.25">
      <c r="A54">
        <v>141</v>
      </c>
      <c r="B54">
        <f t="shared" si="2"/>
        <v>341</v>
      </c>
      <c r="C54">
        <v>25</v>
      </c>
      <c r="D54" t="s">
        <v>48</v>
      </c>
      <c r="E54" t="s">
        <v>56</v>
      </c>
      <c r="F54" t="s">
        <v>52</v>
      </c>
      <c r="G54">
        <f>Samples!O110-Samples!O54</f>
        <v>-19.635923889999997</v>
      </c>
      <c r="H54">
        <f>Samples!P110-Samples!P54</f>
        <v>-3.7184433700000028</v>
      </c>
      <c r="I54">
        <f>Samples!Q110-Samples!Q54</f>
        <v>5.7186835200000008</v>
      </c>
      <c r="J54">
        <f>Samples!R110-Samples!R54</f>
        <v>23.604128339999995</v>
      </c>
      <c r="K54">
        <f>1032-127</f>
        <v>905</v>
      </c>
      <c r="L54">
        <f t="shared" si="3"/>
        <v>0.90500000000000003</v>
      </c>
      <c r="M54" s="11">
        <f>'Std curve values (OD-cell dens)'!$J$2*Flux!L54+'Std curve values (OD-cell dens)'!$J$3</f>
        <v>187418342.32500002</v>
      </c>
      <c r="N54">
        <v>5.5710000000000003E-2</v>
      </c>
      <c r="O54">
        <f t="shared" si="4"/>
        <v>-5.8367676628734143E-9</v>
      </c>
      <c r="P54">
        <f t="shared" si="5"/>
        <v>-1.1053052629367298E-9</v>
      </c>
      <c r="Q54">
        <f t="shared" si="6"/>
        <v>1.6998755561861736E-9</v>
      </c>
      <c r="R54">
        <f t="shared" si="7"/>
        <v>7.0163142705696201E-9</v>
      </c>
      <c r="V54">
        <f t="shared" si="8"/>
        <v>-5.836767662873414</v>
      </c>
      <c r="W54">
        <f t="shared" si="9"/>
        <v>-1.1053052629367297</v>
      </c>
      <c r="X54">
        <f t="shared" si="10"/>
        <v>1.6998755561861736</v>
      </c>
      <c r="Y54">
        <f t="shared" si="11"/>
        <v>7.0163142705696204</v>
      </c>
    </row>
    <row r="55" spans="1:25" x14ac:dyDescent="0.25">
      <c r="A55">
        <v>142</v>
      </c>
      <c r="B55">
        <f t="shared" si="2"/>
        <v>342</v>
      </c>
      <c r="C55">
        <v>26</v>
      </c>
      <c r="D55" t="s">
        <v>49</v>
      </c>
      <c r="E55" t="s">
        <v>56</v>
      </c>
      <c r="F55" t="s">
        <v>52</v>
      </c>
      <c r="G55">
        <f>Samples!O111-Samples!O55</f>
        <v>-18.394218420000001</v>
      </c>
      <c r="H55">
        <f>Samples!P111-Samples!P55</f>
        <v>-3.4014126500000046</v>
      </c>
      <c r="I55">
        <f>Samples!Q111-Samples!Q55</f>
        <v>5.6511391199999981</v>
      </c>
      <c r="J55">
        <f>Samples!R111-Samples!R55</f>
        <v>23.760054673333329</v>
      </c>
      <c r="K55">
        <f>1000-60</f>
        <v>940</v>
      </c>
      <c r="L55">
        <f t="shared" si="3"/>
        <v>0.94</v>
      </c>
      <c r="M55" s="11">
        <f>'Std curve values (OD-cell dens)'!$J$2*Flux!L55+'Std curve values (OD-cell dens)'!$J$3</f>
        <v>195176777.09999999</v>
      </c>
      <c r="N55">
        <v>6.2480000000000001E-2</v>
      </c>
      <c r="O55">
        <f t="shared" si="4"/>
        <v>-5.8883581538635832E-9</v>
      </c>
      <c r="P55">
        <f t="shared" si="5"/>
        <v>-1.0888603937911848E-9</v>
      </c>
      <c r="Q55">
        <f t="shared" si="6"/>
        <v>1.8090429479563319E-9</v>
      </c>
      <c r="R55">
        <f t="shared" si="7"/>
        <v>7.6060699333571827E-9</v>
      </c>
      <c r="V55">
        <f t="shared" si="8"/>
        <v>-5.8883581538635834</v>
      </c>
      <c r="W55">
        <f t="shared" si="9"/>
        <v>-1.0888603937911849</v>
      </c>
      <c r="X55">
        <f t="shared" si="10"/>
        <v>1.8090429479563319</v>
      </c>
      <c r="Y55">
        <f t="shared" si="11"/>
        <v>7.6060699333571824</v>
      </c>
    </row>
    <row r="56" spans="1:25" x14ac:dyDescent="0.25">
      <c r="A56">
        <v>143</v>
      </c>
      <c r="B56">
        <f t="shared" si="2"/>
        <v>343</v>
      </c>
      <c r="C56">
        <v>27</v>
      </c>
      <c r="D56" t="s">
        <v>50</v>
      </c>
      <c r="E56" t="s">
        <v>56</v>
      </c>
      <c r="F56" t="s">
        <v>52</v>
      </c>
      <c r="G56">
        <f>Samples!O112-Samples!O56</f>
        <v>-21.75848066</v>
      </c>
      <c r="H56">
        <f>Samples!P112-Samples!P56</f>
        <v>-6.4233000500000017</v>
      </c>
      <c r="I56">
        <f>Samples!Q112-Samples!Q56</f>
        <v>5.6052770399999989</v>
      </c>
      <c r="J56">
        <f>Samples!R112-Samples!R56</f>
        <v>18.483267666666666</v>
      </c>
      <c r="K56">
        <f>1037-40</f>
        <v>997</v>
      </c>
      <c r="L56">
        <f t="shared" si="3"/>
        <v>0.997</v>
      </c>
      <c r="M56" s="11">
        <f>'Std curve values (OD-cell dens)'!$J$2*Flux!L56+'Std curve values (OD-cell dens)'!$J$3</f>
        <v>207811942.30500001</v>
      </c>
      <c r="N56">
        <v>8.5639999999999994E-2</v>
      </c>
      <c r="O56">
        <f t="shared" si="4"/>
        <v>-8.9667430228217751E-9</v>
      </c>
      <c r="P56">
        <f t="shared" si="5"/>
        <v>-2.6470635430308702E-9</v>
      </c>
      <c r="Q56">
        <f t="shared" si="6"/>
        <v>2.3099535107614946E-9</v>
      </c>
      <c r="R56">
        <f t="shared" si="7"/>
        <v>7.6170167383842807E-9</v>
      </c>
      <c r="V56">
        <f t="shared" si="8"/>
        <v>-8.9667430228217757</v>
      </c>
      <c r="W56">
        <f t="shared" si="9"/>
        <v>-2.6470635430308702</v>
      </c>
      <c r="X56">
        <f t="shared" si="10"/>
        <v>2.3099535107614946</v>
      </c>
      <c r="Y56">
        <f t="shared" si="11"/>
        <v>7.6170167383842804</v>
      </c>
    </row>
    <row r="57" spans="1:25" x14ac:dyDescent="0.25">
      <c r="A57">
        <v>144</v>
      </c>
      <c r="B57">
        <f t="shared" si="2"/>
        <v>344</v>
      </c>
      <c r="C57">
        <v>28</v>
      </c>
      <c r="D57" t="s">
        <v>51</v>
      </c>
      <c r="E57" t="s">
        <v>56</v>
      </c>
      <c r="F57" t="s">
        <v>52</v>
      </c>
      <c r="G57">
        <f>Samples!O113-Samples!O57</f>
        <v>-20.701500630000005</v>
      </c>
      <c r="H57">
        <f>Samples!P113-Samples!P57</f>
        <v>-4.0787569200000036</v>
      </c>
      <c r="I57">
        <f>Samples!Q113-Samples!Q57</f>
        <v>5.8732977599999989</v>
      </c>
      <c r="J57">
        <f>Samples!R113-Samples!R57</f>
        <v>24.47347761999999</v>
      </c>
      <c r="K57">
        <f>1121-65</f>
        <v>1056</v>
      </c>
      <c r="L57">
        <f t="shared" si="3"/>
        <v>1.056</v>
      </c>
      <c r="M57" s="11">
        <f>'Std curve values (OD-cell dens)'!$J$2*Flux!L57+'Std curve values (OD-cell dens)'!$J$3</f>
        <v>220890446.64000002</v>
      </c>
      <c r="N57">
        <v>7.3179999999999995E-2</v>
      </c>
      <c r="O57">
        <f t="shared" si="4"/>
        <v>-6.858312974360511E-9</v>
      </c>
      <c r="P57">
        <f t="shared" si="5"/>
        <v>-1.3512736107236848E-9</v>
      </c>
      <c r="Q57">
        <f t="shared" si="6"/>
        <v>1.9457968265023551E-9</v>
      </c>
      <c r="R57">
        <f t="shared" si="7"/>
        <v>8.1079517900131805E-9</v>
      </c>
      <c r="V57">
        <f t="shared" si="8"/>
        <v>-6.8583129743605111</v>
      </c>
      <c r="W57">
        <f t="shared" si="9"/>
        <v>-1.3512736107236847</v>
      </c>
      <c r="X57">
        <f t="shared" si="10"/>
        <v>1.9457968265023551</v>
      </c>
      <c r="Y57">
        <f t="shared" si="11"/>
        <v>8.1079517900131801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1769-64DB-4E59-B72A-58B08EAAF0BF}">
  <dimension ref="A1:D12"/>
  <sheetViews>
    <sheetView workbookViewId="0">
      <selection sqref="A1:A3"/>
    </sheetView>
  </sheetViews>
  <sheetFormatPr defaultRowHeight="15" x14ac:dyDescent="0.25"/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2">
        <v>4.1530000000000001E-4</v>
      </c>
      <c r="B2" s="2">
        <v>3.7669999999999999E-4</v>
      </c>
      <c r="C2" s="2">
        <f>AVERAGE(C6:C7)</f>
        <v>1.1351999999999998E-3</v>
      </c>
      <c r="D2" s="2">
        <f>AVERAGE(D6:D8)</f>
        <v>2.3988666666666662E-3</v>
      </c>
    </row>
    <row r="3" spans="1:4" x14ac:dyDescent="0.25">
      <c r="A3" s="2">
        <v>4.3319999999999999</v>
      </c>
      <c r="B3" s="2">
        <v>6.0209999999999999</v>
      </c>
      <c r="C3" s="2">
        <f>AVERAGE(C10:C11)</f>
        <v>1.5132907</v>
      </c>
      <c r="D3" s="2">
        <f>AVERAGE(D10:D12)</f>
        <v>8.89474666666666E-2</v>
      </c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 t="s">
        <v>12</v>
      </c>
      <c r="D5" s="2" t="s">
        <v>12</v>
      </c>
    </row>
    <row r="6" spans="1:4" x14ac:dyDescent="0.25">
      <c r="A6" s="2"/>
      <c r="B6" s="2"/>
      <c r="C6" s="2">
        <v>1.1278E-3</v>
      </c>
      <c r="D6" s="2">
        <v>2.3181999999999999E-3</v>
      </c>
    </row>
    <row r="7" spans="1:4" x14ac:dyDescent="0.25">
      <c r="A7" s="2"/>
      <c r="B7" s="2"/>
      <c r="C7" s="2">
        <v>1.1425999999999999E-3</v>
      </c>
      <c r="D7" s="2">
        <v>2.3327000000000001E-3</v>
      </c>
    </row>
    <row r="8" spans="1:4" x14ac:dyDescent="0.25">
      <c r="A8" s="2"/>
      <c r="B8" s="2"/>
      <c r="C8" s="2"/>
      <c r="D8" s="2">
        <v>2.5457000000000001E-3</v>
      </c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>
        <v>-8.3845600000000006E-2</v>
      </c>
      <c r="D10" s="2">
        <v>7.223147</v>
      </c>
    </row>
    <row r="11" spans="1:4" x14ac:dyDescent="0.25">
      <c r="A11" s="2"/>
      <c r="B11" s="2"/>
      <c r="C11" s="2">
        <v>3.1104270000000001</v>
      </c>
      <c r="D11" s="2">
        <v>3.2798015</v>
      </c>
    </row>
    <row r="12" spans="1:4" x14ac:dyDescent="0.25">
      <c r="A12" s="2"/>
      <c r="B12" s="2"/>
      <c r="C12" s="2"/>
      <c r="D12" s="2">
        <v>-10.236106100000001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F5BB-FBBC-48E2-9FE0-C0BF4542784E}">
  <dimension ref="A1:J9"/>
  <sheetViews>
    <sheetView workbookViewId="0">
      <selection activeCell="AD26" sqref="AD26"/>
    </sheetView>
  </sheetViews>
  <sheetFormatPr defaultRowHeight="15" x14ac:dyDescent="0.25"/>
  <cols>
    <col min="8" max="8" width="9.5703125" style="10" bestFit="1" customWidth="1"/>
    <col min="10" max="10" width="10" bestFit="1" customWidth="1"/>
    <col min="12" max="12" width="10" bestFit="1" customWidth="1"/>
  </cols>
  <sheetData>
    <row r="1" spans="1:10" s="8" customFormat="1" x14ac:dyDescent="0.25">
      <c r="A1" s="8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  <c r="H1" s="9" t="s">
        <v>72</v>
      </c>
      <c r="J1" s="2" t="s">
        <v>73</v>
      </c>
    </row>
    <row r="2" spans="1:10" s="8" customFormat="1" x14ac:dyDescent="0.25">
      <c r="A2" s="8">
        <v>1</v>
      </c>
      <c r="B2" s="8">
        <v>1100</v>
      </c>
      <c r="C2" s="8">
        <f t="shared" ref="C2:C9" si="0">B2/1000</f>
        <v>1.1000000000000001</v>
      </c>
      <c r="D2" s="8">
        <v>0.01</v>
      </c>
      <c r="E2" s="8">
        <v>24685</v>
      </c>
      <c r="F2" s="8">
        <v>165</v>
      </c>
      <c r="G2" s="8">
        <v>10</v>
      </c>
      <c r="H2" s="9">
        <f t="shared" ref="H2:H9" si="1">(E2-F2)/(G2/1000)/D2</f>
        <v>245200000</v>
      </c>
      <c r="J2" s="2">
        <v>221669565</v>
      </c>
    </row>
    <row r="3" spans="1:10" s="8" customFormat="1" x14ac:dyDescent="0.25">
      <c r="A3" s="8">
        <v>1</v>
      </c>
      <c r="B3" s="8">
        <v>996</v>
      </c>
      <c r="C3" s="8">
        <f t="shared" si="0"/>
        <v>0.996</v>
      </c>
      <c r="D3" s="8">
        <v>0.01</v>
      </c>
      <c r="E3" s="8">
        <v>20584</v>
      </c>
      <c r="F3" s="8">
        <v>165</v>
      </c>
      <c r="G3" s="8">
        <v>10</v>
      </c>
      <c r="H3" s="9">
        <f t="shared" si="1"/>
        <v>204190000</v>
      </c>
      <c r="J3" s="2">
        <v>-13192614</v>
      </c>
    </row>
    <row r="4" spans="1:10" s="8" customFormat="1" x14ac:dyDescent="0.25">
      <c r="A4" s="8">
        <v>1</v>
      </c>
      <c r="B4" s="8">
        <v>745</v>
      </c>
      <c r="C4" s="8">
        <f t="shared" si="0"/>
        <v>0.745</v>
      </c>
      <c r="D4" s="8">
        <v>0.01</v>
      </c>
      <c r="E4" s="8">
        <v>14919</v>
      </c>
      <c r="F4" s="8">
        <v>165</v>
      </c>
      <c r="G4" s="8">
        <v>10</v>
      </c>
      <c r="H4" s="9">
        <f t="shared" si="1"/>
        <v>147540000</v>
      </c>
    </row>
    <row r="5" spans="1:10" s="8" customFormat="1" x14ac:dyDescent="0.25">
      <c r="A5" s="8">
        <v>1</v>
      </c>
      <c r="B5" s="8">
        <v>664</v>
      </c>
      <c r="C5" s="8">
        <f t="shared" si="0"/>
        <v>0.66400000000000003</v>
      </c>
      <c r="D5" s="8">
        <v>0.01</v>
      </c>
      <c r="E5" s="8">
        <v>12680</v>
      </c>
      <c r="F5" s="8">
        <v>165</v>
      </c>
      <c r="G5" s="8">
        <v>10</v>
      </c>
      <c r="H5" s="9">
        <f t="shared" si="1"/>
        <v>125150000</v>
      </c>
    </row>
    <row r="6" spans="1:10" s="8" customFormat="1" x14ac:dyDescent="0.25">
      <c r="A6" s="8">
        <v>1</v>
      </c>
      <c r="B6" s="8">
        <v>573</v>
      </c>
      <c r="C6" s="8">
        <f t="shared" si="0"/>
        <v>0.57299999999999995</v>
      </c>
      <c r="D6" s="8">
        <v>0.01</v>
      </c>
      <c r="E6" s="8">
        <v>10733</v>
      </c>
      <c r="F6" s="8">
        <v>165</v>
      </c>
      <c r="G6" s="8">
        <v>10</v>
      </c>
      <c r="H6" s="9">
        <f t="shared" si="1"/>
        <v>105680000</v>
      </c>
    </row>
    <row r="7" spans="1:10" s="8" customFormat="1" x14ac:dyDescent="0.25">
      <c r="A7" s="8">
        <v>1</v>
      </c>
      <c r="B7" s="8">
        <v>380</v>
      </c>
      <c r="C7" s="8">
        <f t="shared" si="0"/>
        <v>0.38</v>
      </c>
      <c r="D7" s="8">
        <v>0.01</v>
      </c>
      <c r="E7" s="8">
        <v>6770</v>
      </c>
      <c r="F7" s="8">
        <v>165</v>
      </c>
      <c r="G7" s="8">
        <v>10</v>
      </c>
      <c r="H7" s="9">
        <f t="shared" si="1"/>
        <v>66050000</v>
      </c>
    </row>
    <row r="8" spans="1:10" s="8" customFormat="1" x14ac:dyDescent="0.25">
      <c r="A8" s="8">
        <v>1</v>
      </c>
      <c r="B8" s="8">
        <v>308</v>
      </c>
      <c r="C8" s="8">
        <f t="shared" si="0"/>
        <v>0.308</v>
      </c>
      <c r="D8" s="8">
        <v>0.01</v>
      </c>
      <c r="E8" s="8">
        <v>6194</v>
      </c>
      <c r="F8" s="8">
        <v>165</v>
      </c>
      <c r="G8" s="8">
        <v>10</v>
      </c>
      <c r="H8" s="9">
        <f t="shared" si="1"/>
        <v>60290000</v>
      </c>
    </row>
    <row r="9" spans="1:10" s="8" customFormat="1" x14ac:dyDescent="0.25">
      <c r="A9" s="8">
        <v>1</v>
      </c>
      <c r="B9" s="8">
        <v>149</v>
      </c>
      <c r="C9" s="8">
        <f t="shared" si="0"/>
        <v>0.14899999999999999</v>
      </c>
      <c r="D9" s="8">
        <v>0.1</v>
      </c>
      <c r="E9" s="8">
        <v>30411</v>
      </c>
      <c r="F9" s="8">
        <v>546</v>
      </c>
      <c r="G9" s="8">
        <v>10</v>
      </c>
      <c r="H9" s="9">
        <f t="shared" si="1"/>
        <v>29865000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1991-6763-4236-8152-C559AFD27562}">
  <dimension ref="A1:AG55"/>
  <sheetViews>
    <sheetView zoomScale="145" zoomScaleNormal="145" workbookViewId="0">
      <selection activeCell="AF22" sqref="AF22"/>
    </sheetView>
  </sheetViews>
  <sheetFormatPr defaultRowHeight="15" x14ac:dyDescent="0.25"/>
  <cols>
    <col min="2" max="2" width="8.28515625" customWidth="1"/>
    <col min="3" max="4" width="8.28515625" style="6" customWidth="1"/>
    <col min="5" max="5" width="13.140625" customWidth="1"/>
  </cols>
  <sheetData>
    <row r="1" spans="1:33" s="8" customFormat="1" x14ac:dyDescent="0.25">
      <c r="A1" s="8" t="s">
        <v>118</v>
      </c>
      <c r="B1" s="8" t="s">
        <v>117</v>
      </c>
      <c r="C1" s="8" t="s">
        <v>116</v>
      </c>
      <c r="D1" s="8" t="s">
        <v>94</v>
      </c>
      <c r="E1" s="8" t="s">
        <v>115</v>
      </c>
      <c r="F1" s="8" t="s">
        <v>114</v>
      </c>
      <c r="G1" s="8" t="s">
        <v>113</v>
      </c>
      <c r="H1" s="8" t="s">
        <v>112</v>
      </c>
      <c r="I1" s="8" t="s">
        <v>111</v>
      </c>
      <c r="J1" s="8" t="s">
        <v>110</v>
      </c>
      <c r="K1" s="8" t="s">
        <v>109</v>
      </c>
      <c r="L1" s="8" t="s">
        <v>108</v>
      </c>
      <c r="M1" s="8" t="s">
        <v>107</v>
      </c>
      <c r="N1" s="8" t="s">
        <v>106</v>
      </c>
      <c r="O1" s="8" t="s">
        <v>105</v>
      </c>
      <c r="P1" s="8" t="s">
        <v>104</v>
      </c>
      <c r="Q1" s="8" t="s">
        <v>103</v>
      </c>
      <c r="R1" s="8" t="s">
        <v>102</v>
      </c>
      <c r="S1" s="8" t="s">
        <v>101</v>
      </c>
      <c r="T1" s="8" t="s">
        <v>100</v>
      </c>
      <c r="U1" s="8" t="s">
        <v>99</v>
      </c>
      <c r="V1" s="8" t="s">
        <v>98</v>
      </c>
      <c r="W1" s="8" t="s">
        <v>97</v>
      </c>
      <c r="X1" s="8" t="s">
        <v>96</v>
      </c>
      <c r="Y1" s="8" t="s">
        <v>95</v>
      </c>
      <c r="Z1" s="5" t="s">
        <v>94</v>
      </c>
      <c r="AA1" s="8" t="s">
        <v>93</v>
      </c>
      <c r="AB1" s="8" t="s">
        <v>92</v>
      </c>
      <c r="AC1" s="8" t="s">
        <v>91</v>
      </c>
      <c r="AD1" s="8" t="s">
        <v>90</v>
      </c>
      <c r="AE1" s="8" t="s">
        <v>89</v>
      </c>
      <c r="AF1" s="8" t="s">
        <v>88</v>
      </c>
      <c r="AG1" s="8" t="s">
        <v>87</v>
      </c>
    </row>
    <row r="2" spans="1:33" x14ac:dyDescent="0.25">
      <c r="A2" s="13">
        <v>0.41388888888888892</v>
      </c>
      <c r="C2" s="6">
        <v>0</v>
      </c>
      <c r="D2" s="6">
        <f>0</f>
        <v>0</v>
      </c>
      <c r="E2">
        <v>227</v>
      </c>
      <c r="F2">
        <v>209</v>
      </c>
      <c r="G2">
        <v>9</v>
      </c>
      <c r="H2">
        <v>72</v>
      </c>
      <c r="I2">
        <v>31</v>
      </c>
      <c r="J2">
        <v>33</v>
      </c>
      <c r="K2">
        <v>78</v>
      </c>
      <c r="L2">
        <v>43</v>
      </c>
      <c r="M2">
        <v>15</v>
      </c>
      <c r="N2">
        <v>21</v>
      </c>
      <c r="O2">
        <v>224</v>
      </c>
      <c r="P2">
        <v>127</v>
      </c>
      <c r="Q2">
        <v>98</v>
      </c>
      <c r="R2">
        <v>51</v>
      </c>
      <c r="S2">
        <v>54</v>
      </c>
      <c r="T2">
        <v>72</v>
      </c>
      <c r="U2">
        <v>53</v>
      </c>
      <c r="V2">
        <v>30</v>
      </c>
      <c r="W2">
        <v>88</v>
      </c>
      <c r="X2">
        <v>30</v>
      </c>
      <c r="Y2">
        <v>61</v>
      </c>
      <c r="Z2" s="6">
        <v>0</v>
      </c>
      <c r="AA2">
        <v>71</v>
      </c>
      <c r="AB2">
        <v>5</v>
      </c>
      <c r="AC2">
        <v>53</v>
      </c>
      <c r="AD2">
        <v>127</v>
      </c>
      <c r="AE2">
        <v>60</v>
      </c>
      <c r="AF2">
        <v>40</v>
      </c>
      <c r="AG2">
        <v>65</v>
      </c>
    </row>
    <row r="3" spans="1:33" x14ac:dyDescent="0.25">
      <c r="A3" s="13">
        <v>0.52152777777777781</v>
      </c>
      <c r="B3" s="13">
        <f>A3-A2</f>
        <v>0.1076388888888889</v>
      </c>
      <c r="C3" s="6">
        <f>B3/1*24</f>
        <v>2.5833333333333335</v>
      </c>
      <c r="D3" s="6">
        <f>D2+C3</f>
        <v>2.5833333333333335</v>
      </c>
      <c r="E3">
        <v>486</v>
      </c>
      <c r="F3">
        <v>383</v>
      </c>
      <c r="G3">
        <v>11</v>
      </c>
      <c r="H3">
        <v>63</v>
      </c>
      <c r="I3">
        <v>42</v>
      </c>
      <c r="J3">
        <v>38</v>
      </c>
      <c r="K3">
        <v>151</v>
      </c>
      <c r="L3">
        <v>41</v>
      </c>
      <c r="M3">
        <v>15</v>
      </c>
      <c r="N3">
        <v>37</v>
      </c>
      <c r="O3">
        <v>414</v>
      </c>
      <c r="P3">
        <v>156</v>
      </c>
      <c r="Q3">
        <v>99</v>
      </c>
      <c r="R3">
        <v>54</v>
      </c>
      <c r="S3">
        <v>130</v>
      </c>
      <c r="T3">
        <v>94</v>
      </c>
      <c r="U3">
        <v>66</v>
      </c>
      <c r="V3">
        <v>51</v>
      </c>
      <c r="W3">
        <v>166</v>
      </c>
      <c r="X3">
        <v>43</v>
      </c>
      <c r="Y3">
        <v>67</v>
      </c>
      <c r="Z3" s="6">
        <v>2.5833333333333335</v>
      </c>
      <c r="AA3">
        <v>127</v>
      </c>
      <c r="AB3">
        <v>17</v>
      </c>
      <c r="AC3">
        <v>54</v>
      </c>
      <c r="AD3">
        <v>198</v>
      </c>
      <c r="AE3">
        <v>97</v>
      </c>
      <c r="AF3">
        <v>54</v>
      </c>
      <c r="AG3">
        <v>87</v>
      </c>
    </row>
    <row r="4" spans="1:33" x14ac:dyDescent="0.25">
      <c r="A4" s="13">
        <v>0.58194444444444449</v>
      </c>
      <c r="B4" s="13">
        <f>A4-A3</f>
        <v>6.0416666666666674E-2</v>
      </c>
      <c r="C4" s="6">
        <f>B4/1*24</f>
        <v>1.4500000000000002</v>
      </c>
      <c r="D4" s="6">
        <f>D3+C4</f>
        <v>4.0333333333333332</v>
      </c>
      <c r="E4">
        <v>805</v>
      </c>
      <c r="F4">
        <v>691</v>
      </c>
      <c r="G4">
        <v>21</v>
      </c>
      <c r="H4">
        <v>57</v>
      </c>
      <c r="I4">
        <v>32</v>
      </c>
      <c r="J4">
        <v>17</v>
      </c>
      <c r="K4">
        <v>279</v>
      </c>
      <c r="L4">
        <v>58</v>
      </c>
      <c r="M4">
        <v>99</v>
      </c>
      <c r="N4">
        <v>35</v>
      </c>
      <c r="O4">
        <v>476</v>
      </c>
      <c r="P4">
        <v>179</v>
      </c>
      <c r="Q4">
        <v>99</v>
      </c>
      <c r="R4">
        <v>102</v>
      </c>
      <c r="S4">
        <v>166</v>
      </c>
      <c r="T4">
        <v>122</v>
      </c>
      <c r="U4">
        <v>69</v>
      </c>
      <c r="V4">
        <v>33</v>
      </c>
      <c r="W4">
        <v>208</v>
      </c>
      <c r="X4">
        <v>43</v>
      </c>
      <c r="Y4">
        <v>88</v>
      </c>
      <c r="Z4" s="6">
        <v>4.0333333333333332</v>
      </c>
      <c r="AA4">
        <v>215</v>
      </c>
      <c r="AB4">
        <v>34</v>
      </c>
      <c r="AC4">
        <v>53</v>
      </c>
      <c r="AD4">
        <v>216</v>
      </c>
      <c r="AE4">
        <v>134</v>
      </c>
      <c r="AF4">
        <v>78</v>
      </c>
      <c r="AG4">
        <v>124</v>
      </c>
    </row>
    <row r="5" spans="1:33" x14ac:dyDescent="0.25">
      <c r="A5" s="13">
        <v>0.62569444444444444</v>
      </c>
      <c r="B5" s="13">
        <f>A5-A4</f>
        <v>4.3749999999999956E-2</v>
      </c>
      <c r="C5" s="6">
        <f>B5/1*24</f>
        <v>1.0499999999999989</v>
      </c>
      <c r="D5" s="6">
        <f>D4+C5</f>
        <v>5.0833333333333321</v>
      </c>
      <c r="E5" s="1">
        <v>1044</v>
      </c>
      <c r="F5" s="1">
        <v>893</v>
      </c>
      <c r="G5">
        <v>29</v>
      </c>
      <c r="H5">
        <v>67</v>
      </c>
      <c r="I5">
        <v>20</v>
      </c>
      <c r="J5">
        <v>72</v>
      </c>
      <c r="K5">
        <v>444</v>
      </c>
      <c r="L5">
        <v>46</v>
      </c>
      <c r="M5">
        <v>72</v>
      </c>
      <c r="N5">
        <v>48</v>
      </c>
      <c r="O5">
        <v>592</v>
      </c>
      <c r="P5">
        <v>179</v>
      </c>
      <c r="Q5">
        <v>125</v>
      </c>
      <c r="R5">
        <v>73</v>
      </c>
      <c r="S5">
        <v>233</v>
      </c>
      <c r="T5">
        <v>159</v>
      </c>
      <c r="U5">
        <v>100</v>
      </c>
      <c r="V5">
        <v>61</v>
      </c>
      <c r="W5">
        <v>300</v>
      </c>
      <c r="X5">
        <v>28</v>
      </c>
      <c r="Y5">
        <v>78</v>
      </c>
      <c r="Z5" s="6">
        <v>5.0833333333333321</v>
      </c>
      <c r="AA5">
        <v>310</v>
      </c>
      <c r="AB5">
        <v>38</v>
      </c>
      <c r="AC5">
        <v>72</v>
      </c>
      <c r="AD5">
        <v>250</v>
      </c>
      <c r="AE5">
        <v>141</v>
      </c>
      <c r="AF5">
        <v>116</v>
      </c>
      <c r="AG5">
        <v>138</v>
      </c>
    </row>
    <row r="6" spans="1:33" x14ac:dyDescent="0.25">
      <c r="A6" s="13">
        <v>0.69097222222222221</v>
      </c>
      <c r="B6" s="13">
        <f>A6-A5</f>
        <v>6.5277777777777768E-2</v>
      </c>
      <c r="C6" s="6">
        <f>B6/1*24</f>
        <v>1.5666666666666664</v>
      </c>
      <c r="D6" s="6">
        <f>D5+C6</f>
        <v>6.6499999999999986</v>
      </c>
      <c r="E6">
        <v>1306</v>
      </c>
      <c r="F6">
        <v>1200</v>
      </c>
      <c r="K6">
        <v>771</v>
      </c>
      <c r="O6">
        <v>703</v>
      </c>
      <c r="P6">
        <v>256</v>
      </c>
      <c r="Q6">
        <v>119</v>
      </c>
      <c r="R6">
        <v>144</v>
      </c>
      <c r="S6">
        <v>354</v>
      </c>
      <c r="T6">
        <v>222</v>
      </c>
      <c r="U6">
        <v>118</v>
      </c>
      <c r="W6">
        <v>548</v>
      </c>
      <c r="Z6" s="6">
        <v>6.6499999999999986</v>
      </c>
      <c r="AA6">
        <v>549</v>
      </c>
      <c r="AD6">
        <v>285</v>
      </c>
      <c r="AE6">
        <v>208</v>
      </c>
      <c r="AF6">
        <v>119</v>
      </c>
      <c r="AG6">
        <v>185</v>
      </c>
    </row>
    <row r="7" spans="1:33" x14ac:dyDescent="0.25">
      <c r="A7" s="13">
        <v>0.73333333333333339</v>
      </c>
      <c r="B7" s="13">
        <f>A7-A6</f>
        <v>4.2361111111111183E-2</v>
      </c>
      <c r="C7" s="6">
        <f>B7/1*24</f>
        <v>1.0166666666666684</v>
      </c>
      <c r="D7" s="6">
        <f>D6+C7</f>
        <v>7.666666666666667</v>
      </c>
      <c r="E7">
        <v>1419</v>
      </c>
      <c r="F7">
        <v>1374</v>
      </c>
      <c r="G7">
        <v>138</v>
      </c>
      <c r="K7">
        <v>1071</v>
      </c>
      <c r="O7">
        <v>888</v>
      </c>
      <c r="P7">
        <v>351</v>
      </c>
      <c r="Q7">
        <v>142</v>
      </c>
      <c r="R7">
        <v>178</v>
      </c>
      <c r="S7">
        <v>467</v>
      </c>
      <c r="T7">
        <v>302</v>
      </c>
      <c r="U7">
        <v>116</v>
      </c>
      <c r="W7">
        <v>763</v>
      </c>
      <c r="Z7" s="6">
        <v>7.666666666666667</v>
      </c>
      <c r="AA7">
        <v>751</v>
      </c>
      <c r="AB7">
        <v>156</v>
      </c>
      <c r="AC7">
        <v>151</v>
      </c>
      <c r="AD7">
        <v>337</v>
      </c>
      <c r="AE7">
        <v>235</v>
      </c>
      <c r="AF7">
        <v>156</v>
      </c>
      <c r="AG7">
        <v>208</v>
      </c>
    </row>
    <row r="8" spans="1:33" x14ac:dyDescent="0.25">
      <c r="A8" s="13">
        <v>0.79166666666666663</v>
      </c>
      <c r="B8" s="13">
        <f>A8-A7</f>
        <v>5.8333333333333237E-2</v>
      </c>
      <c r="C8" s="6">
        <f>B8/1*24</f>
        <v>1.3999999999999977</v>
      </c>
      <c r="D8" s="6">
        <f>D7+C8</f>
        <v>9.0666666666666647</v>
      </c>
      <c r="E8">
        <v>1614</v>
      </c>
      <c r="F8">
        <v>1537</v>
      </c>
      <c r="G8">
        <v>264</v>
      </c>
      <c r="K8" s="1">
        <v>1401</v>
      </c>
      <c r="O8">
        <v>953</v>
      </c>
      <c r="P8">
        <v>376</v>
      </c>
      <c r="Q8">
        <v>181</v>
      </c>
      <c r="R8">
        <v>227</v>
      </c>
      <c r="S8">
        <v>626</v>
      </c>
      <c r="T8">
        <v>446</v>
      </c>
      <c r="W8">
        <v>1007</v>
      </c>
      <c r="Y8">
        <v>282</v>
      </c>
      <c r="Z8" s="6">
        <v>9.0666666666666647</v>
      </c>
      <c r="AA8">
        <v>951</v>
      </c>
      <c r="AB8">
        <v>268</v>
      </c>
      <c r="AC8">
        <v>245</v>
      </c>
      <c r="AD8">
        <v>375</v>
      </c>
      <c r="AE8">
        <v>268</v>
      </c>
      <c r="AF8">
        <v>181</v>
      </c>
      <c r="AG8">
        <v>257</v>
      </c>
    </row>
    <row r="9" spans="1:33" x14ac:dyDescent="0.25">
      <c r="A9" s="13">
        <v>0.86041666666666661</v>
      </c>
      <c r="B9" s="13">
        <f>A9-A8</f>
        <v>6.8749999999999978E-2</v>
      </c>
      <c r="C9" s="6">
        <f>B9/1*24</f>
        <v>1.6499999999999995</v>
      </c>
      <c r="D9" s="6">
        <f>D8+C9</f>
        <v>10.716666666666665</v>
      </c>
      <c r="E9">
        <v>1618</v>
      </c>
      <c r="F9">
        <v>1659</v>
      </c>
      <c r="G9">
        <v>543</v>
      </c>
      <c r="L9">
        <v>110</v>
      </c>
      <c r="N9">
        <v>200</v>
      </c>
      <c r="O9" s="1">
        <v>1110</v>
      </c>
      <c r="P9">
        <v>528</v>
      </c>
      <c r="Q9">
        <v>196</v>
      </c>
      <c r="R9">
        <v>290</v>
      </c>
      <c r="S9">
        <v>857</v>
      </c>
      <c r="T9">
        <v>663</v>
      </c>
      <c r="U9">
        <v>294</v>
      </c>
      <c r="W9" s="1">
        <v>1284</v>
      </c>
      <c r="Y9">
        <v>495</v>
      </c>
      <c r="Z9" s="6">
        <v>10.716666666666665</v>
      </c>
      <c r="AA9" s="1">
        <v>1109</v>
      </c>
      <c r="AB9">
        <v>456</v>
      </c>
      <c r="AC9">
        <v>403</v>
      </c>
      <c r="AD9">
        <v>410</v>
      </c>
      <c r="AE9">
        <v>320</v>
      </c>
      <c r="AF9">
        <v>239</v>
      </c>
      <c r="AG9">
        <v>315</v>
      </c>
    </row>
    <row r="10" spans="1:33" x14ac:dyDescent="0.25">
      <c r="A10" s="13">
        <v>0.94027777777777777</v>
      </c>
      <c r="B10" s="13">
        <f>A10-A9</f>
        <v>7.986111111111116E-2</v>
      </c>
      <c r="C10" s="6">
        <f>B10/1*24</f>
        <v>1.9166666666666679</v>
      </c>
      <c r="D10" s="6">
        <f>D9+C10</f>
        <v>12.633333333333333</v>
      </c>
      <c r="E10">
        <v>1572</v>
      </c>
      <c r="F10">
        <v>1750</v>
      </c>
      <c r="G10">
        <v>1070</v>
      </c>
      <c r="H10">
        <v>166</v>
      </c>
      <c r="I10">
        <v>322</v>
      </c>
      <c r="L10">
        <v>172</v>
      </c>
      <c r="M10">
        <v>141</v>
      </c>
      <c r="N10">
        <v>421</v>
      </c>
      <c r="O10">
        <v>1258</v>
      </c>
      <c r="P10">
        <v>789</v>
      </c>
      <c r="Q10">
        <v>281</v>
      </c>
      <c r="R10">
        <v>517</v>
      </c>
      <c r="S10">
        <v>1070</v>
      </c>
      <c r="T10">
        <v>1029</v>
      </c>
      <c r="U10">
        <v>522</v>
      </c>
      <c r="W10">
        <v>1453</v>
      </c>
      <c r="Y10">
        <v>939</v>
      </c>
      <c r="Z10" s="6">
        <v>12.633333333333333</v>
      </c>
      <c r="AA10">
        <v>1265</v>
      </c>
      <c r="AB10">
        <v>787</v>
      </c>
      <c r="AC10">
        <v>701</v>
      </c>
      <c r="AD10">
        <v>470</v>
      </c>
      <c r="AE10">
        <v>390</v>
      </c>
      <c r="AF10">
        <f>348</f>
        <v>348</v>
      </c>
      <c r="AG10">
        <v>352</v>
      </c>
    </row>
    <row r="11" spans="1:33" x14ac:dyDescent="0.25">
      <c r="A11" s="13">
        <v>0.99930555555555556</v>
      </c>
      <c r="B11" s="13">
        <f>A11-A10</f>
        <v>5.902777777777779E-2</v>
      </c>
      <c r="C11" s="6">
        <f>B11/1*24</f>
        <v>1.416666666666667</v>
      </c>
      <c r="D11" s="6">
        <f>D10+C11</f>
        <v>14.05</v>
      </c>
      <c r="E11">
        <v>1595</v>
      </c>
      <c r="F11">
        <v>1751</v>
      </c>
      <c r="G11" s="1">
        <v>1385</v>
      </c>
      <c r="H11">
        <v>252</v>
      </c>
      <c r="I11">
        <v>594</v>
      </c>
      <c r="L11">
        <v>315</v>
      </c>
      <c r="M11">
        <v>187</v>
      </c>
      <c r="N11">
        <v>610</v>
      </c>
      <c r="O11">
        <v>1292</v>
      </c>
      <c r="P11">
        <v>1008</v>
      </c>
      <c r="Q11">
        <v>386</v>
      </c>
      <c r="R11">
        <v>760</v>
      </c>
      <c r="S11" s="1">
        <v>1275</v>
      </c>
      <c r="T11" s="1">
        <v>1293</v>
      </c>
      <c r="U11">
        <v>775</v>
      </c>
      <c r="V11">
        <v>111</v>
      </c>
      <c r="W11">
        <v>1426</v>
      </c>
      <c r="X11">
        <v>107</v>
      </c>
      <c r="Y11" s="1">
        <v>1195</v>
      </c>
      <c r="Z11" s="14">
        <v>14.05</v>
      </c>
      <c r="AA11">
        <v>1330</v>
      </c>
      <c r="AB11">
        <v>1050</v>
      </c>
      <c r="AC11">
        <v>991</v>
      </c>
      <c r="AD11">
        <v>530</v>
      </c>
      <c r="AE11">
        <v>427</v>
      </c>
      <c r="AF11">
        <v>349</v>
      </c>
      <c r="AG11">
        <v>395</v>
      </c>
    </row>
    <row r="12" spans="1:33" x14ac:dyDescent="0.25">
      <c r="A12" s="13">
        <v>8.3333333333333329E-2</v>
      </c>
      <c r="B12" s="13">
        <v>8.4027777777777771E-2</v>
      </c>
      <c r="C12" s="6">
        <f>B12/1*24</f>
        <v>2.0166666666666666</v>
      </c>
      <c r="D12" s="6">
        <f>D11+C12</f>
        <v>16.066666666666666</v>
      </c>
      <c r="E12">
        <v>1550</v>
      </c>
      <c r="F12">
        <v>1737</v>
      </c>
      <c r="H12">
        <v>659</v>
      </c>
      <c r="I12" s="1">
        <v>1196</v>
      </c>
      <c r="J12">
        <v>164</v>
      </c>
      <c r="L12">
        <v>782</v>
      </c>
      <c r="M12">
        <v>472</v>
      </c>
      <c r="N12">
        <v>1016</v>
      </c>
      <c r="O12">
        <v>1379</v>
      </c>
      <c r="P12" s="1">
        <v>1364</v>
      </c>
      <c r="Q12">
        <v>647</v>
      </c>
      <c r="R12" s="1">
        <v>1171</v>
      </c>
      <c r="U12" s="1">
        <v>1185</v>
      </c>
      <c r="V12">
        <v>293</v>
      </c>
      <c r="W12">
        <v>1439</v>
      </c>
      <c r="X12">
        <v>165</v>
      </c>
      <c r="Z12" s="6">
        <v>16.066666666666666</v>
      </c>
      <c r="AA12">
        <v>1392</v>
      </c>
      <c r="AB12" s="1">
        <v>1239</v>
      </c>
      <c r="AC12" s="1">
        <v>1301</v>
      </c>
      <c r="AD12">
        <v>567</v>
      </c>
      <c r="AE12">
        <v>507</v>
      </c>
      <c r="AF12">
        <v>431</v>
      </c>
      <c r="AG12">
        <v>454</v>
      </c>
    </row>
    <row r="13" spans="1:33" x14ac:dyDescent="0.25">
      <c r="A13" s="13">
        <v>0.1986111111111111</v>
      </c>
      <c r="B13" s="13">
        <f>A13-A12</f>
        <v>0.11527777777777777</v>
      </c>
      <c r="C13" s="6">
        <f>B13/1*24</f>
        <v>2.7666666666666666</v>
      </c>
      <c r="D13" s="6">
        <f>D12+C13</f>
        <v>18.833333333333332</v>
      </c>
      <c r="H13" s="1">
        <v>1286</v>
      </c>
      <c r="J13">
        <v>215</v>
      </c>
      <c r="L13" s="1">
        <v>1374</v>
      </c>
      <c r="M13" s="1">
        <v>1147</v>
      </c>
      <c r="N13" s="1">
        <v>1419</v>
      </c>
      <c r="Q13" s="1">
        <v>1094</v>
      </c>
      <c r="V13">
        <v>898</v>
      </c>
      <c r="X13">
        <v>597</v>
      </c>
      <c r="Z13" s="6">
        <v>18.833333333333332</v>
      </c>
      <c r="AD13">
        <v>605</v>
      </c>
      <c r="AE13">
        <v>568</v>
      </c>
      <c r="AF13">
        <v>531</v>
      </c>
      <c r="AG13">
        <v>526</v>
      </c>
    </row>
    <row r="14" spans="1:33" x14ac:dyDescent="0.25">
      <c r="A14" s="13">
        <v>0.29583333333333334</v>
      </c>
      <c r="B14" s="13">
        <f>A14-A13</f>
        <v>9.7222222222222238E-2</v>
      </c>
      <c r="C14" s="6">
        <f>B14/1*24</f>
        <v>2.3333333333333339</v>
      </c>
      <c r="D14" s="6">
        <f>D13+C14</f>
        <v>21.166666666666664</v>
      </c>
      <c r="J14">
        <v>726</v>
      </c>
      <c r="V14" s="1">
        <v>1392</v>
      </c>
      <c r="X14" s="1">
        <v>1153</v>
      </c>
      <c r="Z14" s="6">
        <v>21.166666666666664</v>
      </c>
      <c r="AD14">
        <v>649</v>
      </c>
      <c r="AE14">
        <v>597</v>
      </c>
      <c r="AF14">
        <v>616</v>
      </c>
      <c r="AG14">
        <v>624</v>
      </c>
    </row>
    <row r="15" spans="1:33" x14ac:dyDescent="0.25">
      <c r="A15" s="13">
        <v>0.43402777777777773</v>
      </c>
      <c r="B15" s="13">
        <f>A15-A14</f>
        <v>0.1381944444444444</v>
      </c>
      <c r="C15" s="6">
        <f>B15/1*24</f>
        <v>3.3166666666666655</v>
      </c>
      <c r="D15" s="6">
        <f>D14+C15</f>
        <v>24.483333333333331</v>
      </c>
      <c r="J15">
        <v>1486</v>
      </c>
      <c r="Z15" s="6">
        <v>24.483333333333331</v>
      </c>
      <c r="AD15">
        <v>751</v>
      </c>
      <c r="AE15">
        <v>730</v>
      </c>
      <c r="AF15">
        <v>731</v>
      </c>
      <c r="AG15">
        <v>790</v>
      </c>
    </row>
    <row r="16" spans="1:33" x14ac:dyDescent="0.25">
      <c r="A16" s="13">
        <v>0.5625</v>
      </c>
      <c r="B16" s="13">
        <f>A16-A15</f>
        <v>0.12847222222222227</v>
      </c>
      <c r="C16" s="6">
        <f>B16/1*24</f>
        <v>3.0833333333333344</v>
      </c>
      <c r="D16" s="6">
        <f>D15+C16</f>
        <v>27.566666666666666</v>
      </c>
      <c r="Z16" s="6">
        <v>27.566666666666666</v>
      </c>
      <c r="AD16">
        <v>855</v>
      </c>
      <c r="AE16">
        <v>831</v>
      </c>
      <c r="AF16">
        <v>881</v>
      </c>
      <c r="AG16">
        <v>986</v>
      </c>
    </row>
    <row r="17" spans="1:33" x14ac:dyDescent="0.25">
      <c r="A17" s="13">
        <v>0.68958333333333333</v>
      </c>
      <c r="B17" s="13">
        <f>A17-A16</f>
        <v>0.12708333333333333</v>
      </c>
      <c r="C17" s="6">
        <f>B17/1*24</f>
        <v>3.05</v>
      </c>
      <c r="D17" s="6">
        <f>D16+C17</f>
        <v>30.616666666666667</v>
      </c>
      <c r="Z17" s="6">
        <v>30.616666666666667</v>
      </c>
      <c r="AD17" s="1">
        <v>1032</v>
      </c>
      <c r="AE17" s="1">
        <v>1000</v>
      </c>
      <c r="AF17" s="1">
        <v>1037</v>
      </c>
      <c r="AG17" s="1">
        <v>1121</v>
      </c>
    </row>
    <row r="18" spans="1:33" x14ac:dyDescent="0.25">
      <c r="B18" s="13">
        <f>A18-A17</f>
        <v>-0.68958333333333333</v>
      </c>
      <c r="C18" s="6">
        <f>B18/1*24</f>
        <v>-16.55</v>
      </c>
      <c r="E18">
        <v>0.30470000000000003</v>
      </c>
      <c r="F18">
        <v>0.29210000000000003</v>
      </c>
      <c r="G18">
        <v>0.3679</v>
      </c>
      <c r="H18">
        <v>0.34089999999999998</v>
      </c>
      <c r="I18">
        <v>0.37980000000000003</v>
      </c>
      <c r="J18">
        <v>0.28139999999999998</v>
      </c>
      <c r="K18">
        <v>0.35039999999999999</v>
      </c>
      <c r="L18">
        <v>0.40489999999999998</v>
      </c>
      <c r="M18">
        <v>0.35170000000000001</v>
      </c>
      <c r="N18">
        <v>0.2387</v>
      </c>
      <c r="O18">
        <v>0.14699999999999999</v>
      </c>
      <c r="P18">
        <v>0.188</v>
      </c>
      <c r="Q18">
        <v>0.21679999999999999</v>
      </c>
      <c r="R18">
        <v>0.24479999999999999</v>
      </c>
      <c r="S18">
        <v>0.20760000000000001</v>
      </c>
      <c r="T18">
        <v>0.24249999999999999</v>
      </c>
      <c r="U18">
        <v>0.26150000000000001</v>
      </c>
      <c r="V18">
        <v>0.36009999999999998</v>
      </c>
      <c r="W18">
        <v>0.27939999999999998</v>
      </c>
      <c r="X18">
        <v>0.38379999999999997</v>
      </c>
      <c r="Y18">
        <v>0.29649999999999999</v>
      </c>
      <c r="AA18">
        <v>0.2777</v>
      </c>
      <c r="AB18">
        <v>0.25309999999999999</v>
      </c>
      <c r="AC18">
        <v>0.26229999999999998</v>
      </c>
      <c r="AD18">
        <v>5.5710000000000003E-2</v>
      </c>
      <c r="AE18">
        <v>6.2480000000000001E-2</v>
      </c>
      <c r="AF18">
        <v>8.5639999999999994E-2</v>
      </c>
      <c r="AG18">
        <v>7.3179999999999995E-2</v>
      </c>
    </row>
    <row r="19" spans="1:33" x14ac:dyDescent="0.25">
      <c r="B19" s="13">
        <f>A19-A18</f>
        <v>0</v>
      </c>
      <c r="C19" s="6">
        <f>B19/1*24</f>
        <v>0</v>
      </c>
    </row>
    <row r="20" spans="1:33" x14ac:dyDescent="0.25">
      <c r="B20" s="13">
        <f>A20-A19</f>
        <v>0</v>
      </c>
      <c r="C20" s="6">
        <f>B20/1*24</f>
        <v>0</v>
      </c>
    </row>
    <row r="21" spans="1:33" x14ac:dyDescent="0.25">
      <c r="B21" s="13">
        <f>A21-A20</f>
        <v>0</v>
      </c>
      <c r="C21" s="6">
        <f>B21/1*24</f>
        <v>0</v>
      </c>
    </row>
    <row r="22" spans="1:33" x14ac:dyDescent="0.25">
      <c r="B22" s="13">
        <f>A22-A21</f>
        <v>0</v>
      </c>
      <c r="C22" s="6">
        <f>B22/1*24</f>
        <v>0</v>
      </c>
    </row>
    <row r="23" spans="1:33" x14ac:dyDescent="0.25">
      <c r="B23" s="13">
        <f>A23-A22</f>
        <v>0</v>
      </c>
      <c r="C23" s="6">
        <f>B23/1*24</f>
        <v>0</v>
      </c>
    </row>
    <row r="24" spans="1:33" x14ac:dyDescent="0.25">
      <c r="B24" s="13">
        <f>A24-A23</f>
        <v>0</v>
      </c>
      <c r="C24" s="6">
        <f>B24/1*24</f>
        <v>0</v>
      </c>
    </row>
    <row r="25" spans="1:33" x14ac:dyDescent="0.25">
      <c r="B25" s="13">
        <f>A25-A24</f>
        <v>0</v>
      </c>
      <c r="C25" s="6">
        <f>B25/1*24</f>
        <v>0</v>
      </c>
    </row>
    <row r="26" spans="1:33" x14ac:dyDescent="0.25">
      <c r="B26" s="13">
        <f>A26-A25</f>
        <v>0</v>
      </c>
      <c r="C26" s="6">
        <f>B26/1*24</f>
        <v>0</v>
      </c>
    </row>
    <row r="27" spans="1:33" x14ac:dyDescent="0.25">
      <c r="B27" s="13">
        <f>A27-A26</f>
        <v>0</v>
      </c>
      <c r="C27" s="6">
        <f>B27/1*24</f>
        <v>0</v>
      </c>
    </row>
    <row r="28" spans="1:33" x14ac:dyDescent="0.25">
      <c r="B28" s="13">
        <f>A28-A27</f>
        <v>0</v>
      </c>
      <c r="C28" s="6">
        <f>B28/1*24</f>
        <v>0</v>
      </c>
    </row>
    <row r="29" spans="1:33" x14ac:dyDescent="0.25">
      <c r="B29" s="13">
        <f>A29-A28</f>
        <v>0</v>
      </c>
      <c r="C29" s="6">
        <f>B29/1*24</f>
        <v>0</v>
      </c>
    </row>
    <row r="30" spans="1:33" x14ac:dyDescent="0.25">
      <c r="B30" s="13">
        <f>A30-A29</f>
        <v>0</v>
      </c>
      <c r="C30" s="6">
        <f>B30/1*24</f>
        <v>0</v>
      </c>
    </row>
    <row r="31" spans="1:33" x14ac:dyDescent="0.25">
      <c r="B31" s="13">
        <f>A31-A30</f>
        <v>0</v>
      </c>
      <c r="C31" s="6">
        <f>B31/1*24</f>
        <v>0</v>
      </c>
    </row>
    <row r="32" spans="1:33" x14ac:dyDescent="0.25">
      <c r="B32" s="13">
        <f>A32-A31</f>
        <v>0</v>
      </c>
      <c r="C32" s="6">
        <f>B32/1*24</f>
        <v>0</v>
      </c>
    </row>
    <row r="33" spans="2:3" s="6" customFormat="1" x14ac:dyDescent="0.25">
      <c r="B33" s="13">
        <f>A33-A32</f>
        <v>0</v>
      </c>
      <c r="C33" s="6">
        <f>B33/1*24</f>
        <v>0</v>
      </c>
    </row>
    <row r="34" spans="2:3" s="6" customFormat="1" x14ac:dyDescent="0.25">
      <c r="B34" s="13">
        <f>A34-A33</f>
        <v>0</v>
      </c>
      <c r="C34" s="6">
        <f>B34/1*24</f>
        <v>0</v>
      </c>
    </row>
    <row r="35" spans="2:3" s="6" customFormat="1" x14ac:dyDescent="0.25">
      <c r="B35" s="13">
        <f>A35-A34</f>
        <v>0</v>
      </c>
      <c r="C35" s="6">
        <f>B35/1*24</f>
        <v>0</v>
      </c>
    </row>
    <row r="36" spans="2:3" s="6" customFormat="1" x14ac:dyDescent="0.25">
      <c r="B36" s="13">
        <f>A36-A35</f>
        <v>0</v>
      </c>
      <c r="C36" s="6">
        <f>B36/1*24</f>
        <v>0</v>
      </c>
    </row>
    <row r="37" spans="2:3" s="6" customFormat="1" x14ac:dyDescent="0.25">
      <c r="B37" s="13">
        <f>A37-A36</f>
        <v>0</v>
      </c>
      <c r="C37" s="6">
        <f>B37/1*24</f>
        <v>0</v>
      </c>
    </row>
    <row r="38" spans="2:3" s="6" customFormat="1" x14ac:dyDescent="0.25">
      <c r="B38" s="13">
        <f>A38-A37</f>
        <v>0</v>
      </c>
      <c r="C38" s="6">
        <f>B38/1*24</f>
        <v>0</v>
      </c>
    </row>
    <row r="39" spans="2:3" s="6" customFormat="1" x14ac:dyDescent="0.25">
      <c r="B39" s="13">
        <f>A39-A38</f>
        <v>0</v>
      </c>
      <c r="C39" s="6">
        <f>B39/1*24</f>
        <v>0</v>
      </c>
    </row>
    <row r="40" spans="2:3" s="6" customFormat="1" x14ac:dyDescent="0.25">
      <c r="B40" s="13">
        <f>A40-A39</f>
        <v>0</v>
      </c>
      <c r="C40" s="6">
        <f>B40/1*24</f>
        <v>0</v>
      </c>
    </row>
    <row r="41" spans="2:3" s="6" customFormat="1" x14ac:dyDescent="0.25">
      <c r="B41" s="13">
        <f>A41-A40</f>
        <v>0</v>
      </c>
      <c r="C41" s="6">
        <f>B41/1*24</f>
        <v>0</v>
      </c>
    </row>
    <row r="42" spans="2:3" s="6" customFormat="1" x14ac:dyDescent="0.25">
      <c r="B42" s="13">
        <f>A42-A41</f>
        <v>0</v>
      </c>
      <c r="C42" s="6">
        <f>B42/1*24</f>
        <v>0</v>
      </c>
    </row>
    <row r="43" spans="2:3" s="6" customFormat="1" x14ac:dyDescent="0.25">
      <c r="B43" s="13">
        <f>A43-A42</f>
        <v>0</v>
      </c>
      <c r="C43" s="6">
        <f>B43/1*24</f>
        <v>0</v>
      </c>
    </row>
    <row r="44" spans="2:3" s="6" customFormat="1" x14ac:dyDescent="0.25">
      <c r="B44" s="13">
        <f>A44-A43</f>
        <v>0</v>
      </c>
      <c r="C44" s="6">
        <f>B44/1*24</f>
        <v>0</v>
      </c>
    </row>
    <row r="45" spans="2:3" s="6" customFormat="1" x14ac:dyDescent="0.25">
      <c r="B45" s="13">
        <f>A45-A44</f>
        <v>0</v>
      </c>
      <c r="C45" s="6">
        <f>B45/1*24</f>
        <v>0</v>
      </c>
    </row>
    <row r="46" spans="2:3" s="6" customFormat="1" x14ac:dyDescent="0.25">
      <c r="B46" s="13">
        <f>A46-A45</f>
        <v>0</v>
      </c>
      <c r="C46" s="6">
        <f>B46/1*24</f>
        <v>0</v>
      </c>
    </row>
    <row r="47" spans="2:3" s="6" customFormat="1" x14ac:dyDescent="0.25">
      <c r="B47" s="13">
        <f>A47-A46</f>
        <v>0</v>
      </c>
      <c r="C47" s="6">
        <f>B47/1*24</f>
        <v>0</v>
      </c>
    </row>
    <row r="48" spans="2:3" s="6" customFormat="1" x14ac:dyDescent="0.25">
      <c r="B48" s="13">
        <f>A48-A47</f>
        <v>0</v>
      </c>
      <c r="C48" s="6">
        <f>B48/1*24</f>
        <v>0</v>
      </c>
    </row>
    <row r="49" spans="2:3" s="6" customFormat="1" x14ac:dyDescent="0.25">
      <c r="B49" s="13">
        <f>A49-A48</f>
        <v>0</v>
      </c>
      <c r="C49" s="6">
        <f>B49/1*24</f>
        <v>0</v>
      </c>
    </row>
    <row r="50" spans="2:3" s="6" customFormat="1" x14ac:dyDescent="0.25">
      <c r="B50" s="13">
        <f>A50-A49</f>
        <v>0</v>
      </c>
      <c r="C50" s="6">
        <f>B50/1*24</f>
        <v>0</v>
      </c>
    </row>
    <row r="51" spans="2:3" s="6" customFormat="1" x14ac:dyDescent="0.25">
      <c r="B51" s="13">
        <f>A51-A50</f>
        <v>0</v>
      </c>
      <c r="C51" s="6">
        <f>B51/1*24</f>
        <v>0</v>
      </c>
    </row>
    <row r="52" spans="2:3" s="6" customFormat="1" x14ac:dyDescent="0.25">
      <c r="B52" s="13">
        <f>A52-A51</f>
        <v>0</v>
      </c>
      <c r="C52" s="6">
        <f>B52/1*24</f>
        <v>0</v>
      </c>
    </row>
    <row r="53" spans="2:3" s="6" customFormat="1" x14ac:dyDescent="0.25">
      <c r="B53" s="13">
        <f>A53-A52</f>
        <v>0</v>
      </c>
      <c r="C53" s="6">
        <f>B53/1*24</f>
        <v>0</v>
      </c>
    </row>
    <row r="54" spans="2:3" s="6" customFormat="1" x14ac:dyDescent="0.25">
      <c r="B54" s="13">
        <f>A54-A53</f>
        <v>0</v>
      </c>
      <c r="C54" s="6">
        <f>B54/1*24</f>
        <v>0</v>
      </c>
    </row>
    <row r="55" spans="2:3" s="6" customFormat="1" x14ac:dyDescent="0.25">
      <c r="B55" s="13">
        <f>A55-A54</f>
        <v>0</v>
      </c>
      <c r="C55" s="6">
        <f>B55/1*24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141F-6182-4A2F-A23F-540478E0F4B8}">
  <dimension ref="A1:AG55"/>
  <sheetViews>
    <sheetView zoomScale="130" zoomScaleNormal="130" workbookViewId="0">
      <selection activeCell="AF22" sqref="AF22"/>
    </sheetView>
  </sheetViews>
  <sheetFormatPr defaultRowHeight="15" x14ac:dyDescent="0.25"/>
  <cols>
    <col min="1" max="1" width="9.140625" style="15"/>
    <col min="2" max="2" width="8.28515625" customWidth="1"/>
    <col min="3" max="4" width="8.28515625" style="6" customWidth="1"/>
    <col min="5" max="5" width="13.140625" customWidth="1"/>
    <col min="29" max="29" width="8.28515625" style="6" customWidth="1"/>
  </cols>
  <sheetData>
    <row r="1" spans="1:33" s="8" customFormat="1" x14ac:dyDescent="0.25">
      <c r="A1" s="16" t="s">
        <v>118</v>
      </c>
      <c r="B1" s="8" t="s">
        <v>117</v>
      </c>
      <c r="C1" s="8" t="s">
        <v>116</v>
      </c>
      <c r="D1" s="8" t="s">
        <v>94</v>
      </c>
      <c r="E1" s="8" t="s">
        <v>115</v>
      </c>
      <c r="F1" s="8" t="s">
        <v>114</v>
      </c>
      <c r="G1" s="8" t="s">
        <v>113</v>
      </c>
      <c r="H1" s="8" t="s">
        <v>112</v>
      </c>
      <c r="I1" s="8" t="s">
        <v>111</v>
      </c>
      <c r="J1" s="8" t="s">
        <v>110</v>
      </c>
      <c r="K1" s="8" t="s">
        <v>109</v>
      </c>
      <c r="L1" s="8" t="s">
        <v>108</v>
      </c>
      <c r="M1" s="8" t="s">
        <v>107</v>
      </c>
      <c r="N1" s="8" t="s">
        <v>106</v>
      </c>
      <c r="O1" s="8" t="s">
        <v>105</v>
      </c>
      <c r="P1" s="8" t="s">
        <v>104</v>
      </c>
      <c r="Q1" s="8" t="s">
        <v>103</v>
      </c>
      <c r="R1" s="8" t="s">
        <v>102</v>
      </c>
      <c r="S1" s="8" t="s">
        <v>101</v>
      </c>
      <c r="T1" s="8" t="s">
        <v>100</v>
      </c>
      <c r="U1" s="8" t="s">
        <v>99</v>
      </c>
      <c r="V1" s="8" t="s">
        <v>98</v>
      </c>
      <c r="W1" s="8" t="s">
        <v>97</v>
      </c>
      <c r="X1" s="8" t="s">
        <v>96</v>
      </c>
      <c r="Y1" s="8" t="s">
        <v>95</v>
      </c>
      <c r="Z1" s="8" t="s">
        <v>93</v>
      </c>
      <c r="AA1" s="8" t="s">
        <v>92</v>
      </c>
      <c r="AB1" s="8" t="s">
        <v>91</v>
      </c>
      <c r="AC1" s="8" t="s">
        <v>94</v>
      </c>
      <c r="AD1" s="8" t="s">
        <v>90</v>
      </c>
      <c r="AE1" s="8" t="s">
        <v>89</v>
      </c>
      <c r="AF1" s="8" t="s">
        <v>88</v>
      </c>
      <c r="AG1" s="8" t="s">
        <v>87</v>
      </c>
    </row>
    <row r="2" spans="1:33" x14ac:dyDescent="0.25">
      <c r="A2" s="15">
        <v>0.40833333333333338</v>
      </c>
      <c r="C2" s="6">
        <f>5+(41/60)</f>
        <v>5.6833333333333336</v>
      </c>
      <c r="D2" s="6">
        <v>0</v>
      </c>
      <c r="E2">
        <v>80</v>
      </c>
      <c r="F2">
        <v>115</v>
      </c>
      <c r="G2">
        <v>181</v>
      </c>
      <c r="H2">
        <v>70</v>
      </c>
      <c r="I2">
        <v>36</v>
      </c>
      <c r="J2">
        <v>117</v>
      </c>
      <c r="K2">
        <v>256</v>
      </c>
      <c r="L2">
        <v>71</v>
      </c>
      <c r="M2">
        <v>79</v>
      </c>
      <c r="N2">
        <v>1</v>
      </c>
      <c r="O2">
        <v>1</v>
      </c>
      <c r="P2">
        <v>192</v>
      </c>
      <c r="Q2">
        <v>60</v>
      </c>
      <c r="R2">
        <v>37</v>
      </c>
      <c r="S2">
        <v>142</v>
      </c>
      <c r="T2">
        <v>63</v>
      </c>
      <c r="U2">
        <v>161</v>
      </c>
      <c r="V2">
        <v>243</v>
      </c>
      <c r="W2">
        <v>236</v>
      </c>
      <c r="X2">
        <v>239</v>
      </c>
      <c r="Y2">
        <v>90</v>
      </c>
      <c r="Z2">
        <v>99</v>
      </c>
      <c r="AA2">
        <v>153</v>
      </c>
      <c r="AB2">
        <v>146</v>
      </c>
      <c r="AC2" s="6">
        <v>0</v>
      </c>
      <c r="AD2">
        <v>46</v>
      </c>
      <c r="AE2">
        <v>1</v>
      </c>
      <c r="AF2">
        <v>1</v>
      </c>
      <c r="AG2">
        <v>1</v>
      </c>
    </row>
    <row r="3" spans="1:33" x14ac:dyDescent="0.25">
      <c r="A3" s="15">
        <v>0.52708333333333335</v>
      </c>
      <c r="B3" s="13">
        <f>A3-A2</f>
        <v>0.11874999999999997</v>
      </c>
      <c r="C3" s="6">
        <f>B3/1*24</f>
        <v>2.8499999999999992</v>
      </c>
      <c r="D3" s="6">
        <f>C3+D2</f>
        <v>2.8499999999999992</v>
      </c>
      <c r="E3">
        <v>238</v>
      </c>
      <c r="F3">
        <v>293</v>
      </c>
      <c r="G3">
        <v>319</v>
      </c>
      <c r="H3">
        <v>114</v>
      </c>
      <c r="I3">
        <v>88</v>
      </c>
      <c r="J3">
        <v>139</v>
      </c>
      <c r="K3">
        <v>448</v>
      </c>
      <c r="L3">
        <v>137</v>
      </c>
      <c r="M3">
        <v>143</v>
      </c>
      <c r="N3">
        <v>33</v>
      </c>
      <c r="O3">
        <v>8</v>
      </c>
      <c r="P3">
        <v>167</v>
      </c>
      <c r="Q3">
        <v>133</v>
      </c>
      <c r="R3">
        <v>104</v>
      </c>
      <c r="S3">
        <v>332</v>
      </c>
      <c r="T3">
        <v>144</v>
      </c>
      <c r="U3">
        <v>301</v>
      </c>
      <c r="V3">
        <v>598</v>
      </c>
      <c r="W3">
        <v>532</v>
      </c>
      <c r="X3">
        <v>475</v>
      </c>
      <c r="Y3">
        <v>250</v>
      </c>
      <c r="Z3">
        <v>283</v>
      </c>
      <c r="AA3">
        <v>275</v>
      </c>
      <c r="AB3">
        <v>92</v>
      </c>
      <c r="AC3" s="6">
        <v>2.8499999999999992</v>
      </c>
      <c r="AD3">
        <v>71</v>
      </c>
      <c r="AE3">
        <v>13</v>
      </c>
      <c r="AF3">
        <v>27</v>
      </c>
      <c r="AG3">
        <v>15</v>
      </c>
    </row>
    <row r="4" spans="1:33" x14ac:dyDescent="0.25">
      <c r="A4" s="15">
        <v>0.5756944444444444</v>
      </c>
      <c r="B4" s="13">
        <f>A4-A3</f>
        <v>4.8611111111111049E-2</v>
      </c>
      <c r="C4" s="6">
        <f>B4/1*24</f>
        <v>1.1666666666666652</v>
      </c>
      <c r="D4" s="6">
        <f>C4+D3</f>
        <v>4.0166666666666639</v>
      </c>
      <c r="E4">
        <v>294</v>
      </c>
      <c r="F4">
        <v>400</v>
      </c>
      <c r="G4">
        <v>405</v>
      </c>
      <c r="H4">
        <v>140</v>
      </c>
      <c r="I4">
        <v>125</v>
      </c>
      <c r="J4">
        <v>207</v>
      </c>
      <c r="K4">
        <v>560</v>
      </c>
      <c r="L4">
        <v>180</v>
      </c>
      <c r="M4">
        <v>177</v>
      </c>
      <c r="N4">
        <v>33</v>
      </c>
      <c r="O4">
        <v>29</v>
      </c>
      <c r="P4">
        <v>204</v>
      </c>
      <c r="Q4">
        <v>177</v>
      </c>
      <c r="R4">
        <v>93</v>
      </c>
      <c r="S4">
        <v>462</v>
      </c>
      <c r="T4">
        <v>247</v>
      </c>
      <c r="U4">
        <v>403</v>
      </c>
      <c r="V4">
        <v>716</v>
      </c>
      <c r="W4">
        <v>729</v>
      </c>
      <c r="X4">
        <v>629</v>
      </c>
      <c r="Y4">
        <v>389</v>
      </c>
      <c r="Z4">
        <v>266</v>
      </c>
      <c r="AA4">
        <v>416</v>
      </c>
      <c r="AB4">
        <v>142</v>
      </c>
      <c r="AC4" s="6">
        <v>4.0166666666666639</v>
      </c>
      <c r="AD4">
        <v>119</v>
      </c>
      <c r="AE4">
        <v>9</v>
      </c>
      <c r="AF4">
        <v>27</v>
      </c>
      <c r="AG4">
        <v>27</v>
      </c>
    </row>
    <row r="5" spans="1:33" x14ac:dyDescent="0.25">
      <c r="A5" s="15">
        <v>0.61944444444444446</v>
      </c>
      <c r="B5" s="13">
        <f>A5-A4</f>
        <v>4.3750000000000067E-2</v>
      </c>
      <c r="C5" s="6">
        <f>B5/1*24</f>
        <v>1.0500000000000016</v>
      </c>
      <c r="D5" s="6">
        <f>C5+D4</f>
        <v>5.0666666666666655</v>
      </c>
      <c r="E5">
        <v>437</v>
      </c>
      <c r="F5">
        <v>510</v>
      </c>
      <c r="G5">
        <v>496</v>
      </c>
      <c r="H5">
        <v>160</v>
      </c>
      <c r="I5">
        <v>138</v>
      </c>
      <c r="J5">
        <v>215</v>
      </c>
      <c r="K5">
        <v>658</v>
      </c>
      <c r="L5">
        <v>228</v>
      </c>
      <c r="M5">
        <v>212</v>
      </c>
      <c r="N5">
        <v>48</v>
      </c>
      <c r="O5">
        <v>40</v>
      </c>
      <c r="P5">
        <v>167</v>
      </c>
      <c r="Q5">
        <v>200</v>
      </c>
      <c r="R5">
        <v>111</v>
      </c>
      <c r="S5">
        <v>605</v>
      </c>
      <c r="T5">
        <v>174</v>
      </c>
      <c r="U5">
        <v>448</v>
      </c>
      <c r="V5">
        <v>834</v>
      </c>
      <c r="W5">
        <v>867</v>
      </c>
      <c r="X5">
        <v>738</v>
      </c>
      <c r="Y5">
        <v>535</v>
      </c>
      <c r="Z5">
        <v>552</v>
      </c>
      <c r="AA5">
        <v>484</v>
      </c>
      <c r="AB5">
        <v>188</v>
      </c>
      <c r="AC5" s="6">
        <v>5.0666666666666655</v>
      </c>
      <c r="AD5">
        <v>52</v>
      </c>
      <c r="AE5">
        <v>7</v>
      </c>
      <c r="AF5">
        <v>15</v>
      </c>
      <c r="AG5">
        <v>16</v>
      </c>
    </row>
    <row r="6" spans="1:33" x14ac:dyDescent="0.25">
      <c r="A6" s="15">
        <v>0.66111111111111109</v>
      </c>
      <c r="B6" s="13">
        <f>A6-A5</f>
        <v>4.166666666666663E-2</v>
      </c>
      <c r="C6" s="6">
        <f>B6/1*24</f>
        <v>0.99999999999999911</v>
      </c>
      <c r="D6" s="6">
        <f>C6+D5</f>
        <v>6.0666666666666647</v>
      </c>
      <c r="V6" s="1">
        <v>969</v>
      </c>
      <c r="W6" s="1">
        <v>949</v>
      </c>
      <c r="X6" s="1">
        <v>816</v>
      </c>
      <c r="AC6" s="6">
        <v>6.0666666666666647</v>
      </c>
    </row>
    <row r="7" spans="1:33" x14ac:dyDescent="0.25">
      <c r="A7" s="15">
        <v>0.6875</v>
      </c>
      <c r="B7" s="13">
        <f>A7-A6</f>
        <v>2.6388888888888906E-2</v>
      </c>
      <c r="C7" s="6">
        <f>B7/1*24</f>
        <v>0.63333333333333375</v>
      </c>
      <c r="D7" s="6">
        <f>C7+D6</f>
        <v>6.6999999999999984</v>
      </c>
      <c r="E7">
        <v>528</v>
      </c>
      <c r="F7">
        <v>707</v>
      </c>
      <c r="G7">
        <v>662</v>
      </c>
      <c r="H7">
        <v>238</v>
      </c>
      <c r="I7">
        <v>239</v>
      </c>
      <c r="J7">
        <v>340</v>
      </c>
      <c r="K7">
        <v>814</v>
      </c>
      <c r="L7">
        <v>436</v>
      </c>
      <c r="M7">
        <v>276</v>
      </c>
      <c r="N7">
        <v>55</v>
      </c>
      <c r="O7">
        <v>113</v>
      </c>
      <c r="P7">
        <v>221</v>
      </c>
      <c r="Q7">
        <v>278</v>
      </c>
      <c r="R7">
        <v>103</v>
      </c>
      <c r="S7">
        <v>868</v>
      </c>
      <c r="T7">
        <v>213</v>
      </c>
      <c r="U7">
        <v>542</v>
      </c>
      <c r="Y7">
        <v>843</v>
      </c>
      <c r="Z7">
        <v>759</v>
      </c>
      <c r="AA7">
        <v>737</v>
      </c>
      <c r="AB7">
        <v>350</v>
      </c>
      <c r="AC7" s="6">
        <v>6.6999999999999984</v>
      </c>
    </row>
    <row r="8" spans="1:33" x14ac:dyDescent="0.25">
      <c r="A8" s="15">
        <v>0.74236111111111114</v>
      </c>
      <c r="B8" s="13">
        <f>A8-A7</f>
        <v>5.4861111111111138E-2</v>
      </c>
      <c r="C8" s="6">
        <f>B8/1*24</f>
        <v>1.3166666666666673</v>
      </c>
      <c r="D8" s="6">
        <f>C8+D7</f>
        <v>8.0166666666666657</v>
      </c>
      <c r="E8">
        <v>728</v>
      </c>
      <c r="F8">
        <v>897</v>
      </c>
      <c r="G8">
        <v>784</v>
      </c>
      <c r="H8">
        <v>357</v>
      </c>
      <c r="I8">
        <v>394</v>
      </c>
      <c r="J8">
        <v>478</v>
      </c>
      <c r="K8">
        <v>927</v>
      </c>
      <c r="L8">
        <v>707</v>
      </c>
      <c r="M8">
        <v>369</v>
      </c>
      <c r="N8">
        <v>65</v>
      </c>
      <c r="O8">
        <v>99</v>
      </c>
      <c r="P8">
        <v>218</v>
      </c>
      <c r="Q8">
        <v>378</v>
      </c>
      <c r="R8">
        <v>133</v>
      </c>
      <c r="S8">
        <v>1117</v>
      </c>
      <c r="T8">
        <v>265</v>
      </c>
      <c r="U8">
        <v>614</v>
      </c>
      <c r="V8">
        <v>1058</v>
      </c>
      <c r="W8">
        <v>1140</v>
      </c>
      <c r="X8">
        <v>990</v>
      </c>
      <c r="Y8">
        <v>1045</v>
      </c>
      <c r="Z8">
        <v>850</v>
      </c>
      <c r="AA8">
        <v>941</v>
      </c>
      <c r="AB8">
        <v>566</v>
      </c>
      <c r="AC8" s="6">
        <v>8.0166666666666657</v>
      </c>
    </row>
    <row r="9" spans="1:33" x14ac:dyDescent="0.25">
      <c r="A9" s="15">
        <v>0.79791666666666661</v>
      </c>
      <c r="B9" s="13">
        <f>A9-A8</f>
        <v>5.5555555555555469E-2</v>
      </c>
      <c r="C9" s="6">
        <f>B9/1*24</f>
        <v>1.3333333333333313</v>
      </c>
      <c r="D9" s="6">
        <f>C9+D8</f>
        <v>9.3499999999999979</v>
      </c>
      <c r="E9">
        <v>837</v>
      </c>
      <c r="F9" s="1">
        <v>1056</v>
      </c>
      <c r="G9">
        <v>956</v>
      </c>
      <c r="H9">
        <v>551</v>
      </c>
      <c r="I9">
        <v>587</v>
      </c>
      <c r="J9">
        <v>708</v>
      </c>
      <c r="K9" s="1">
        <v>1069</v>
      </c>
      <c r="L9">
        <v>1026</v>
      </c>
      <c r="M9">
        <v>464</v>
      </c>
      <c r="N9">
        <v>99</v>
      </c>
      <c r="O9">
        <v>135</v>
      </c>
      <c r="P9">
        <v>271</v>
      </c>
      <c r="Q9">
        <v>522</v>
      </c>
      <c r="R9">
        <v>162</v>
      </c>
      <c r="S9" s="1">
        <v>1256</v>
      </c>
      <c r="T9">
        <v>345</v>
      </c>
      <c r="U9">
        <v>700</v>
      </c>
      <c r="V9">
        <v>1105</v>
      </c>
      <c r="W9">
        <v>1212</v>
      </c>
      <c r="X9">
        <v>1003</v>
      </c>
      <c r="Y9" s="1">
        <v>1200</v>
      </c>
      <c r="Z9">
        <v>996</v>
      </c>
      <c r="AA9" s="1">
        <v>1077</v>
      </c>
      <c r="AB9">
        <v>822</v>
      </c>
      <c r="AC9" s="6">
        <v>9.3499999999999979</v>
      </c>
    </row>
    <row r="10" spans="1:33" x14ac:dyDescent="0.25">
      <c r="A10" s="15">
        <v>0.8666666666666667</v>
      </c>
      <c r="B10" s="13">
        <f>A10-A9</f>
        <v>6.8750000000000089E-2</v>
      </c>
      <c r="C10" s="6">
        <f>B10/1*24</f>
        <v>1.6500000000000021</v>
      </c>
      <c r="D10" s="6">
        <f>C10+D9</f>
        <v>11</v>
      </c>
      <c r="E10" s="1">
        <v>1024</v>
      </c>
      <c r="F10">
        <v>1195</v>
      </c>
      <c r="G10" s="1">
        <v>1103</v>
      </c>
      <c r="H10">
        <v>814</v>
      </c>
      <c r="I10">
        <v>935</v>
      </c>
      <c r="J10">
        <v>950</v>
      </c>
      <c r="K10">
        <v>1166</v>
      </c>
      <c r="L10" s="1">
        <v>1121</v>
      </c>
      <c r="M10">
        <v>595</v>
      </c>
      <c r="N10">
        <v>85</v>
      </c>
      <c r="O10">
        <v>179</v>
      </c>
      <c r="P10">
        <v>334</v>
      </c>
      <c r="Q10">
        <v>677</v>
      </c>
      <c r="R10">
        <v>180</v>
      </c>
      <c r="S10">
        <v>1379</v>
      </c>
      <c r="T10">
        <v>541</v>
      </c>
      <c r="U10">
        <v>785</v>
      </c>
      <c r="V10">
        <v>1127</v>
      </c>
      <c r="W10">
        <v>1254</v>
      </c>
      <c r="X10">
        <v>1254</v>
      </c>
      <c r="Z10" s="1">
        <v>1045</v>
      </c>
      <c r="AB10" s="1">
        <v>1023</v>
      </c>
      <c r="AC10" s="6">
        <v>11</v>
      </c>
    </row>
    <row r="11" spans="1:33" x14ac:dyDescent="0.25">
      <c r="A11" s="15">
        <v>0.94513888888888886</v>
      </c>
      <c r="B11" s="13">
        <f>A11-A10</f>
        <v>7.8472222222222165E-2</v>
      </c>
      <c r="C11" s="6">
        <f>B11/1*24</f>
        <v>1.883333333333332</v>
      </c>
      <c r="D11" s="6">
        <f>C11+D10</f>
        <v>12.883333333333333</v>
      </c>
      <c r="F11">
        <v>1320</v>
      </c>
      <c r="H11">
        <v>1081</v>
      </c>
      <c r="I11">
        <v>1254</v>
      </c>
      <c r="J11">
        <v>1214</v>
      </c>
      <c r="K11">
        <v>1282</v>
      </c>
      <c r="M11">
        <v>777</v>
      </c>
      <c r="N11">
        <v>108</v>
      </c>
      <c r="O11">
        <v>258</v>
      </c>
      <c r="P11">
        <v>419</v>
      </c>
      <c r="Q11">
        <v>867</v>
      </c>
      <c r="R11">
        <v>192</v>
      </c>
      <c r="S11">
        <v>1475</v>
      </c>
      <c r="T11">
        <v>627</v>
      </c>
      <c r="U11">
        <v>860</v>
      </c>
      <c r="V11">
        <v>1187</v>
      </c>
      <c r="W11">
        <v>1315</v>
      </c>
      <c r="X11">
        <v>1152</v>
      </c>
      <c r="AC11" s="6">
        <v>12.883333333333333</v>
      </c>
    </row>
    <row r="12" spans="1:33" x14ac:dyDescent="0.25">
      <c r="A12" s="15">
        <v>6.2499999999999995E-3</v>
      </c>
      <c r="B12" s="13">
        <v>6.1111111111111116E-2</v>
      </c>
      <c r="C12" s="6">
        <f>(B12/1)*24</f>
        <v>1.4666666666666668</v>
      </c>
      <c r="D12" s="6">
        <f>C12+D11</f>
        <v>14.35</v>
      </c>
      <c r="M12">
        <v>901</v>
      </c>
      <c r="N12">
        <v>112</v>
      </c>
      <c r="O12">
        <v>276</v>
      </c>
      <c r="P12">
        <v>502</v>
      </c>
      <c r="Q12">
        <v>956</v>
      </c>
      <c r="R12">
        <v>225</v>
      </c>
      <c r="S12">
        <v>1465</v>
      </c>
      <c r="T12">
        <v>810</v>
      </c>
      <c r="U12">
        <v>1144</v>
      </c>
      <c r="V12">
        <v>1162</v>
      </c>
      <c r="W12">
        <v>1282</v>
      </c>
      <c r="X12">
        <v>1189</v>
      </c>
      <c r="AC12" s="6">
        <v>14.35</v>
      </c>
    </row>
    <row r="13" spans="1:33" x14ac:dyDescent="0.25">
      <c r="A13" s="15">
        <v>9.0277777777777776E-2</v>
      </c>
      <c r="B13" s="13">
        <f>A13-A12</f>
        <v>8.4027777777777771E-2</v>
      </c>
      <c r="C13" s="6">
        <f>B13/1*24</f>
        <v>2.0166666666666666</v>
      </c>
      <c r="D13" s="6">
        <f>C13+D12</f>
        <v>16.366666666666667</v>
      </c>
      <c r="M13" s="1">
        <v>1055</v>
      </c>
      <c r="N13">
        <v>131</v>
      </c>
      <c r="O13">
        <v>341</v>
      </c>
      <c r="P13">
        <v>613</v>
      </c>
      <c r="Q13" s="1">
        <v>1129</v>
      </c>
      <c r="R13">
        <v>309</v>
      </c>
      <c r="S13">
        <v>1454</v>
      </c>
      <c r="T13" s="1">
        <v>1037</v>
      </c>
      <c r="AC13" s="6">
        <v>16.366666666666667</v>
      </c>
      <c r="AD13">
        <v>72</v>
      </c>
      <c r="AE13">
        <v>51</v>
      </c>
      <c r="AF13">
        <v>61</v>
      </c>
      <c r="AG13">
        <v>74</v>
      </c>
    </row>
    <row r="14" spans="1:33" x14ac:dyDescent="0.25">
      <c r="A14" s="15">
        <v>0.20416666666666669</v>
      </c>
      <c r="B14" s="13">
        <f>A14-A13</f>
        <v>0.11388888888888891</v>
      </c>
      <c r="C14" s="6">
        <f>B14/1*24</f>
        <v>2.7333333333333338</v>
      </c>
      <c r="D14" s="6">
        <f>C14+D13</f>
        <v>19.100000000000001</v>
      </c>
      <c r="N14">
        <v>169</v>
      </c>
      <c r="O14">
        <v>412</v>
      </c>
      <c r="P14">
        <v>794</v>
      </c>
      <c r="R14">
        <v>477</v>
      </c>
      <c r="S14">
        <v>1425</v>
      </c>
      <c r="AC14" s="6">
        <v>19.100000000000001</v>
      </c>
      <c r="AD14">
        <v>69</v>
      </c>
      <c r="AE14">
        <v>64</v>
      </c>
      <c r="AF14">
        <v>82</v>
      </c>
      <c r="AG14">
        <v>71</v>
      </c>
    </row>
    <row r="15" spans="1:33" x14ac:dyDescent="0.25">
      <c r="A15" s="15">
        <v>0.29375000000000001</v>
      </c>
      <c r="B15" s="13">
        <f>A15-A14</f>
        <v>8.958333333333332E-2</v>
      </c>
      <c r="C15" s="6">
        <f>B15/1*24</f>
        <v>2.1499999999999995</v>
      </c>
      <c r="D15" s="6">
        <f>C15+D14</f>
        <v>21.25</v>
      </c>
      <c r="N15">
        <v>152</v>
      </c>
      <c r="O15">
        <v>452</v>
      </c>
      <c r="P15">
        <v>917</v>
      </c>
      <c r="R15">
        <v>691</v>
      </c>
      <c r="AC15" s="6">
        <v>21.25</v>
      </c>
      <c r="AD15">
        <v>74</v>
      </c>
      <c r="AE15">
        <v>82</v>
      </c>
      <c r="AF15">
        <v>90</v>
      </c>
      <c r="AG15">
        <v>82</v>
      </c>
    </row>
    <row r="16" spans="1:33" x14ac:dyDescent="0.25">
      <c r="A16" s="15">
        <v>0.43124999999999997</v>
      </c>
      <c r="B16" s="13">
        <f>A16-A15</f>
        <v>0.13749999999999996</v>
      </c>
      <c r="C16" s="6">
        <f>B16/1*24</f>
        <v>3.2999999999999989</v>
      </c>
      <c r="D16" s="6">
        <f>C16+D15</f>
        <v>24.549999999999997</v>
      </c>
      <c r="N16">
        <v>191</v>
      </c>
      <c r="O16">
        <v>587</v>
      </c>
      <c r="P16" s="1">
        <v>1102</v>
      </c>
      <c r="R16" s="1">
        <v>1022</v>
      </c>
      <c r="AC16" s="6">
        <v>24.549999999999997</v>
      </c>
      <c r="AD16">
        <v>108</v>
      </c>
      <c r="AE16">
        <v>106</v>
      </c>
      <c r="AF16">
        <v>113</v>
      </c>
      <c r="AG16">
        <v>110</v>
      </c>
    </row>
    <row r="17" spans="1:33" x14ac:dyDescent="0.25">
      <c r="A17" s="15">
        <v>0.56388888888888888</v>
      </c>
      <c r="B17" s="13">
        <f>A17-A16</f>
        <v>0.13263888888888892</v>
      </c>
      <c r="C17" s="6">
        <f>B17/1*24</f>
        <v>3.183333333333334</v>
      </c>
      <c r="D17" s="6">
        <f>C17+D16</f>
        <v>27.733333333333331</v>
      </c>
      <c r="N17">
        <v>248</v>
      </c>
      <c r="O17">
        <v>662</v>
      </c>
      <c r="T17">
        <v>1431</v>
      </c>
      <c r="AC17" s="6">
        <v>27.733333333333331</v>
      </c>
      <c r="AD17">
        <v>118</v>
      </c>
      <c r="AE17">
        <v>108</v>
      </c>
      <c r="AF17">
        <v>140</v>
      </c>
      <c r="AG17">
        <v>130</v>
      </c>
    </row>
    <row r="18" spans="1:33" x14ac:dyDescent="0.25">
      <c r="A18" s="15">
        <v>0.6875</v>
      </c>
      <c r="B18" s="13">
        <f>A18-A17</f>
        <v>0.12361111111111112</v>
      </c>
      <c r="C18" s="6">
        <f>B18/1*24</f>
        <v>2.9666666666666668</v>
      </c>
      <c r="D18" s="6">
        <f>C18+D17</f>
        <v>30.699999999999996</v>
      </c>
      <c r="N18">
        <v>280</v>
      </c>
      <c r="O18">
        <v>742</v>
      </c>
      <c r="AC18" s="6">
        <v>30.699999999999996</v>
      </c>
      <c r="AD18">
        <v>159</v>
      </c>
      <c r="AE18">
        <v>116</v>
      </c>
      <c r="AF18">
        <v>140</v>
      </c>
      <c r="AG18">
        <v>131</v>
      </c>
    </row>
    <row r="19" spans="1:33" x14ac:dyDescent="0.25">
      <c r="A19" s="15">
        <v>0.87013888888888891</v>
      </c>
      <c r="B19" s="13">
        <f>A19-A18</f>
        <v>0.18263888888888891</v>
      </c>
      <c r="C19" s="6">
        <f>B19/1*24</f>
        <v>4.3833333333333337</v>
      </c>
      <c r="D19" s="6">
        <f>C19+D18</f>
        <v>35.083333333333329</v>
      </c>
      <c r="N19">
        <v>354</v>
      </c>
      <c r="O19">
        <v>836</v>
      </c>
      <c r="AC19" s="6">
        <v>35.083333333333329</v>
      </c>
      <c r="AD19">
        <v>145</v>
      </c>
      <c r="AE19">
        <v>148</v>
      </c>
      <c r="AF19">
        <v>143</v>
      </c>
      <c r="AG19">
        <v>146</v>
      </c>
    </row>
    <row r="20" spans="1:33" x14ac:dyDescent="0.25">
      <c r="A20" s="15">
        <v>0.1673611111111111</v>
      </c>
      <c r="B20" s="13">
        <v>0.29722222222222222</v>
      </c>
      <c r="C20" s="6">
        <f>B20/1*24</f>
        <v>7.1333333333333329</v>
      </c>
      <c r="D20" s="6">
        <f>C20+D19</f>
        <v>42.216666666666661</v>
      </c>
      <c r="N20">
        <v>646</v>
      </c>
      <c r="O20" s="1">
        <v>888</v>
      </c>
      <c r="AC20" s="6">
        <v>42.216666666666661</v>
      </c>
      <c r="AD20">
        <v>172</v>
      </c>
      <c r="AE20">
        <v>163</v>
      </c>
      <c r="AF20">
        <v>217</v>
      </c>
      <c r="AG20">
        <v>158</v>
      </c>
    </row>
    <row r="21" spans="1:33" x14ac:dyDescent="0.25">
      <c r="A21" s="15">
        <v>0.51666666666666672</v>
      </c>
      <c r="B21" s="13">
        <f>A21-A20</f>
        <v>0.34930555555555565</v>
      </c>
      <c r="C21" s="6">
        <f>B21/1*24</f>
        <v>8.3833333333333364</v>
      </c>
      <c r="D21" s="6">
        <f>C21+D20</f>
        <v>50.599999999999994</v>
      </c>
      <c r="N21" s="1">
        <v>1067</v>
      </c>
      <c r="AC21" s="6">
        <v>50.599999999999994</v>
      </c>
      <c r="AD21" s="1">
        <v>163</v>
      </c>
      <c r="AE21" s="1">
        <v>145</v>
      </c>
      <c r="AF21" s="1">
        <v>202</v>
      </c>
      <c r="AG21" s="1">
        <v>166</v>
      </c>
    </row>
    <row r="22" spans="1:33" x14ac:dyDescent="0.25">
      <c r="B22" s="13">
        <f>A22-A21</f>
        <v>-0.51666666666666672</v>
      </c>
      <c r="C22" s="6">
        <f>B22/1*24</f>
        <v>-12.400000000000002</v>
      </c>
      <c r="D22" s="6" t="s">
        <v>119</v>
      </c>
      <c r="E22">
        <v>0.18179999999999999</v>
      </c>
      <c r="F22">
        <v>0.2346</v>
      </c>
      <c r="G22">
        <v>0.16669999999999999</v>
      </c>
      <c r="H22">
        <v>0.25459999999999999</v>
      </c>
      <c r="I22">
        <v>0.28899999999999998</v>
      </c>
      <c r="J22">
        <v>0.22570000000000001</v>
      </c>
      <c r="K22">
        <v>0.1512</v>
      </c>
      <c r="L22">
        <v>0.28610000000000002</v>
      </c>
      <c r="M22">
        <v>0.16139999999999999</v>
      </c>
      <c r="N22">
        <v>6.6400000000000001E-2</v>
      </c>
      <c r="O22">
        <v>6.1100000000000002E-2</v>
      </c>
      <c r="P22">
        <v>9.3700000000000006E-2</v>
      </c>
      <c r="Q22">
        <v>0.15579999999999999</v>
      </c>
      <c r="R22">
        <v>0.15079999999999999</v>
      </c>
      <c r="S22">
        <v>0.23680000000000001</v>
      </c>
      <c r="T22">
        <v>0.1615</v>
      </c>
      <c r="U22">
        <v>0.1208</v>
      </c>
      <c r="V22">
        <v>0.2278</v>
      </c>
      <c r="W22">
        <v>0.23719999999999999</v>
      </c>
      <c r="X22">
        <v>0.2084</v>
      </c>
      <c r="Y22">
        <v>0.28189999999999998</v>
      </c>
      <c r="Z22">
        <v>0.25109999999999999</v>
      </c>
      <c r="AA22">
        <v>0.21709999999999999</v>
      </c>
      <c r="AB22">
        <v>0.30449999999999999</v>
      </c>
      <c r="AC22" s="6" t="s">
        <v>119</v>
      </c>
      <c r="AD22">
        <v>3.6089999999999997E-2</v>
      </c>
      <c r="AE22">
        <v>3.1620000000000002E-2</v>
      </c>
      <c r="AF22">
        <v>3.6799999999999999E-2</v>
      </c>
      <c r="AG22">
        <v>2.7910000000000001E-2</v>
      </c>
    </row>
    <row r="23" spans="1:33" x14ac:dyDescent="0.25">
      <c r="B23" s="13">
        <f>A23-A22</f>
        <v>0</v>
      </c>
      <c r="C23" s="6">
        <f>B23/1*24</f>
        <v>0</v>
      </c>
      <c r="E23">
        <f>(LN(E10)-LN(E2))/($D10-$D2)</f>
        <v>0.23176774281141563</v>
      </c>
      <c r="F23">
        <f>(LN(F9)-LN(F2))/($D9-$D2)</f>
        <v>0.23714559742277616</v>
      </c>
      <c r="G23">
        <f>(LN(G10)-LN(G2))/($D10-$D2)</f>
        <v>0.16429927163524335</v>
      </c>
    </row>
    <row r="24" spans="1:33" x14ac:dyDescent="0.25">
      <c r="B24" s="13">
        <f>A24-A23</f>
        <v>0</v>
      </c>
      <c r="C24" s="6">
        <f>B24/1*24</f>
        <v>0</v>
      </c>
    </row>
    <row r="25" spans="1:33" x14ac:dyDescent="0.25">
      <c r="B25" s="13">
        <f>A25-A24</f>
        <v>0</v>
      </c>
      <c r="C25" s="6">
        <f>B25/1*24</f>
        <v>0</v>
      </c>
    </row>
    <row r="26" spans="1:33" x14ac:dyDescent="0.25">
      <c r="B26" s="13">
        <f>A26-A25</f>
        <v>0</v>
      </c>
      <c r="C26" s="6">
        <f>B26/1*24</f>
        <v>0</v>
      </c>
    </row>
    <row r="27" spans="1:33" x14ac:dyDescent="0.25">
      <c r="B27" s="13">
        <f>A27-A26</f>
        <v>0</v>
      </c>
      <c r="C27" s="6">
        <f>B27/1*24</f>
        <v>0</v>
      </c>
    </row>
    <row r="28" spans="1:33" x14ac:dyDescent="0.25">
      <c r="B28" s="13">
        <f>A28-A27</f>
        <v>0</v>
      </c>
      <c r="C28" s="6">
        <f>B28/1*24</f>
        <v>0</v>
      </c>
    </row>
    <row r="29" spans="1:33" x14ac:dyDescent="0.25">
      <c r="B29" s="13">
        <f>A29-A28</f>
        <v>0</v>
      </c>
      <c r="C29" s="6">
        <f>B29/1*24</f>
        <v>0</v>
      </c>
    </row>
    <row r="30" spans="1:33" x14ac:dyDescent="0.25">
      <c r="B30" s="13">
        <f>A30-A29</f>
        <v>0</v>
      </c>
      <c r="C30" s="6">
        <f>B30/1*24</f>
        <v>0</v>
      </c>
    </row>
    <row r="31" spans="1:33" x14ac:dyDescent="0.25">
      <c r="B31" s="13">
        <f>A31-A30</f>
        <v>0</v>
      </c>
      <c r="C31" s="6">
        <f>B31/1*24</f>
        <v>0</v>
      </c>
    </row>
    <row r="32" spans="1:33" x14ac:dyDescent="0.25">
      <c r="B32" s="13">
        <f>A32-A31</f>
        <v>0</v>
      </c>
      <c r="C32" s="6">
        <f>B32/1*24</f>
        <v>0</v>
      </c>
    </row>
    <row r="33" spans="1:28" s="6" customFormat="1" x14ac:dyDescent="0.25">
      <c r="A33" s="15"/>
      <c r="B33" s="13">
        <f>A33-A32</f>
        <v>0</v>
      </c>
      <c r="C33" s="6">
        <f>B33/1*24</f>
        <v>0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s="6" customFormat="1" x14ac:dyDescent="0.25">
      <c r="A34" s="15"/>
      <c r="B34" s="13">
        <f>A34-A33</f>
        <v>0</v>
      </c>
      <c r="C34" s="6">
        <f>B34/1*24</f>
        <v>0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s="6" customFormat="1" x14ac:dyDescent="0.25">
      <c r="A35" s="15"/>
      <c r="B35" s="13">
        <f>A35-A34</f>
        <v>0</v>
      </c>
      <c r="C35" s="6">
        <f>B35/1*24</f>
        <v>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s="6" customFormat="1" x14ac:dyDescent="0.25">
      <c r="A36" s="15"/>
      <c r="B36" s="13">
        <f>A36-A35</f>
        <v>0</v>
      </c>
      <c r="C36" s="6">
        <f>B36/1*24</f>
        <v>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s="6" customFormat="1" x14ac:dyDescent="0.25">
      <c r="A37" s="15"/>
      <c r="B37" s="13">
        <f>A37-A36</f>
        <v>0</v>
      </c>
      <c r="C37" s="6">
        <f>B37/1*24</f>
        <v>0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s="6" customFormat="1" x14ac:dyDescent="0.25">
      <c r="A38" s="15"/>
      <c r="B38" s="13">
        <f>A38-A37</f>
        <v>0</v>
      </c>
      <c r="C38" s="6">
        <f>B38/1*24</f>
        <v>0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s="6" customFormat="1" x14ac:dyDescent="0.25">
      <c r="A39" s="15"/>
      <c r="B39" s="13">
        <f>A39-A38</f>
        <v>0</v>
      </c>
      <c r="C39" s="6">
        <f>B39/1*24</f>
        <v>0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s="6" customFormat="1" x14ac:dyDescent="0.25">
      <c r="A40" s="15"/>
      <c r="B40" s="13">
        <f>A40-A39</f>
        <v>0</v>
      </c>
      <c r="C40" s="6">
        <f>B40/1*24</f>
        <v>0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s="6" customFormat="1" x14ac:dyDescent="0.25">
      <c r="A41" s="15"/>
      <c r="B41" s="13">
        <f>A41-A40</f>
        <v>0</v>
      </c>
      <c r="C41" s="6">
        <f>B41/1*24</f>
        <v>0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s="6" customFormat="1" x14ac:dyDescent="0.25">
      <c r="A42" s="15"/>
      <c r="B42" s="13">
        <f>A42-A41</f>
        <v>0</v>
      </c>
      <c r="C42" s="6">
        <f>B42/1*24</f>
        <v>0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s="6" customFormat="1" x14ac:dyDescent="0.25">
      <c r="A43" s="15"/>
      <c r="B43" s="13">
        <f>A43-A42</f>
        <v>0</v>
      </c>
      <c r="C43" s="6">
        <f>B43/1*24</f>
        <v>0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s="6" customFormat="1" x14ac:dyDescent="0.25">
      <c r="A44" s="15"/>
      <c r="B44" s="13">
        <f>A44-A43</f>
        <v>0</v>
      </c>
      <c r="C44" s="6">
        <f>B44/1*24</f>
        <v>0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s="6" customFormat="1" x14ac:dyDescent="0.25">
      <c r="A45" s="15"/>
      <c r="B45" s="13">
        <f>A45-A44</f>
        <v>0</v>
      </c>
      <c r="C45" s="6">
        <f>B45/1*24</f>
        <v>0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s="6" customFormat="1" x14ac:dyDescent="0.25">
      <c r="A46" s="15"/>
      <c r="B46" s="13">
        <f>A46-A45</f>
        <v>0</v>
      </c>
      <c r="C46" s="6">
        <f>B46/1*24</f>
        <v>0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s="6" customFormat="1" x14ac:dyDescent="0.25">
      <c r="A47" s="15"/>
      <c r="B47" s="13">
        <f>A47-A46</f>
        <v>0</v>
      </c>
      <c r="C47" s="6">
        <f>B47/1*24</f>
        <v>0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s="6" customFormat="1" x14ac:dyDescent="0.25">
      <c r="A48" s="15"/>
      <c r="B48" s="13">
        <f>A48-A47</f>
        <v>0</v>
      </c>
      <c r="C48" s="6">
        <f>B48/1*24</f>
        <v>0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s="6" customFormat="1" x14ac:dyDescent="0.25">
      <c r="A49" s="15"/>
      <c r="B49" s="13">
        <f>A49-A48</f>
        <v>0</v>
      </c>
      <c r="C49" s="6">
        <f>B49/1*24</f>
        <v>0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s="6" customFormat="1" x14ac:dyDescent="0.25">
      <c r="A50" s="15"/>
      <c r="B50" s="13">
        <f>A50-A49</f>
        <v>0</v>
      </c>
      <c r="C50" s="6">
        <f>B50/1*24</f>
        <v>0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s="6" customFormat="1" x14ac:dyDescent="0.25">
      <c r="A51" s="15"/>
      <c r="B51" s="13">
        <f>A51-A50</f>
        <v>0</v>
      </c>
      <c r="C51" s="6">
        <f>B51/1*24</f>
        <v>0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s="6" customFormat="1" x14ac:dyDescent="0.25">
      <c r="A52" s="15"/>
      <c r="B52" s="13">
        <f>A52-A51</f>
        <v>0</v>
      </c>
      <c r="C52" s="6">
        <f>B52/1*24</f>
        <v>0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s="6" customFormat="1" x14ac:dyDescent="0.25">
      <c r="A53" s="15"/>
      <c r="B53" s="13">
        <f>A53-A52</f>
        <v>0</v>
      </c>
      <c r="C53" s="6">
        <f>B53/1*24</f>
        <v>0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s="6" customFormat="1" x14ac:dyDescent="0.25">
      <c r="A54" s="15"/>
      <c r="B54" s="13">
        <f>A54-A53</f>
        <v>0</v>
      </c>
      <c r="C54" s="6">
        <f>B54/1*24</f>
        <v>0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s="6" customFormat="1" x14ac:dyDescent="0.25">
      <c r="A55" s="15"/>
      <c r="B55" s="13">
        <f>A55-A54</f>
        <v>0</v>
      </c>
      <c r="C55" s="6">
        <f>B55/1*24</f>
        <v>0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0744-0298-44D5-9303-117EA8F87688}">
  <dimension ref="A1:O31"/>
  <sheetViews>
    <sheetView workbookViewId="0">
      <selection activeCell="O30" sqref="O30:O31"/>
    </sheetView>
  </sheetViews>
  <sheetFormatPr defaultRowHeight="15" x14ac:dyDescent="0.25"/>
  <cols>
    <col min="8" max="8" width="10" bestFit="1" customWidth="1"/>
    <col min="15" max="15" width="10" bestFit="1" customWidth="1"/>
  </cols>
  <sheetData>
    <row r="1" spans="1:11" s="8" customFormat="1" x14ac:dyDescent="0.25">
      <c r="A1" s="8" t="s">
        <v>125</v>
      </c>
      <c r="B1" s="8" t="s">
        <v>137</v>
      </c>
      <c r="C1" s="8" t="s">
        <v>136</v>
      </c>
      <c r="D1" s="8" t="s">
        <v>135</v>
      </c>
      <c r="E1" s="8" t="s">
        <v>134</v>
      </c>
      <c r="F1" s="8" t="s">
        <v>133</v>
      </c>
      <c r="G1" s="8" t="s">
        <v>5</v>
      </c>
      <c r="H1" s="8" t="s">
        <v>2</v>
      </c>
      <c r="I1" s="8" t="s">
        <v>3</v>
      </c>
      <c r="J1" s="8" t="s">
        <v>4</v>
      </c>
      <c r="K1" s="8" t="s">
        <v>54</v>
      </c>
    </row>
    <row r="2" spans="1:11" x14ac:dyDescent="0.25">
      <c r="A2">
        <v>1</v>
      </c>
      <c r="B2">
        <f>14/180.156*0.5*1000</f>
        <v>38.855214369768426</v>
      </c>
      <c r="C2">
        <f>14/180.156*0.5*1000</f>
        <v>38.855214369768426</v>
      </c>
      <c r="D2">
        <f>100/200</f>
        <v>0.5</v>
      </c>
      <c r="E2">
        <f>B2*D2</f>
        <v>19.427607184884213</v>
      </c>
      <c r="F2">
        <f>C2*D2</f>
        <v>19.427607184884213</v>
      </c>
      <c r="G2">
        <v>2</v>
      </c>
      <c r="H2">
        <f>E2*G2</f>
        <v>38.855214369768426</v>
      </c>
      <c r="I2">
        <f>F2*G2</f>
        <v>38.855214369768426</v>
      </c>
      <c r="J2">
        <v>80151</v>
      </c>
      <c r="K2">
        <v>84681</v>
      </c>
    </row>
    <row r="3" spans="1:11" x14ac:dyDescent="0.25">
      <c r="A3">
        <v>2</v>
      </c>
      <c r="B3">
        <f>14/180.156*0.5*1000</f>
        <v>38.855214369768426</v>
      </c>
      <c r="C3">
        <f>14/180.156*0.5*1000</f>
        <v>38.855214369768426</v>
      </c>
      <c r="D3">
        <f>100/200</f>
        <v>0.5</v>
      </c>
      <c r="E3">
        <f>B3*D3</f>
        <v>19.427607184884213</v>
      </c>
      <c r="F3">
        <f>C3*D3</f>
        <v>19.427607184884213</v>
      </c>
      <c r="G3">
        <v>5</v>
      </c>
      <c r="H3">
        <f>E3*G3</f>
        <v>97.138035924421061</v>
      </c>
      <c r="I3">
        <f>F3*G3</f>
        <v>97.138035924421061</v>
      </c>
      <c r="J3">
        <v>222149</v>
      </c>
      <c r="K3">
        <v>237987</v>
      </c>
    </row>
    <row r="4" spans="1:11" x14ac:dyDescent="0.25">
      <c r="A4">
        <v>3</v>
      </c>
      <c r="B4">
        <f>14/180.156*0.5*1000</f>
        <v>38.855214369768426</v>
      </c>
      <c r="C4">
        <f>14/180.156*0.5*1000</f>
        <v>38.855214369768426</v>
      </c>
      <c r="D4">
        <f>100/200</f>
        <v>0.5</v>
      </c>
      <c r="E4">
        <f>B4*D4</f>
        <v>19.427607184884213</v>
      </c>
      <c r="F4">
        <f>C4*D4</f>
        <v>19.427607184884213</v>
      </c>
      <c r="G4">
        <v>10</v>
      </c>
      <c r="H4">
        <f>E4*G4</f>
        <v>194.27607184884212</v>
      </c>
      <c r="I4">
        <f>F4*G4</f>
        <v>194.27607184884212</v>
      </c>
      <c r="J4">
        <v>464354</v>
      </c>
      <c r="K4">
        <v>509144</v>
      </c>
    </row>
    <row r="5" spans="1:11" x14ac:dyDescent="0.25">
      <c r="A5">
        <v>4</v>
      </c>
      <c r="B5">
        <f>14/180.156*0.5*1000</f>
        <v>38.855214369768426</v>
      </c>
      <c r="C5">
        <f>14/180.156*0.5*1000</f>
        <v>38.855214369768426</v>
      </c>
      <c r="D5">
        <f>100/200</f>
        <v>0.5</v>
      </c>
      <c r="E5">
        <f>B5*D5</f>
        <v>19.427607184884213</v>
      </c>
      <c r="F5">
        <f>C5*D5</f>
        <v>19.427607184884213</v>
      </c>
      <c r="G5">
        <v>15</v>
      </c>
      <c r="H5">
        <f>E5*G5</f>
        <v>291.4141077732632</v>
      </c>
      <c r="I5">
        <f>F5*G5</f>
        <v>291.4141077732632</v>
      </c>
      <c r="J5">
        <v>689805</v>
      </c>
      <c r="K5">
        <v>756828</v>
      </c>
    </row>
    <row r="6" spans="1:11" x14ac:dyDescent="0.25">
      <c r="A6">
        <v>5</v>
      </c>
      <c r="B6">
        <f>14/180.156*0.5*1000</f>
        <v>38.855214369768426</v>
      </c>
      <c r="C6">
        <f>14/180.156*0.5*1000</f>
        <v>38.855214369768426</v>
      </c>
      <c r="D6">
        <f>100/200</f>
        <v>0.5</v>
      </c>
      <c r="E6">
        <f>B6*D6</f>
        <v>19.427607184884213</v>
      </c>
      <c r="F6">
        <f>C6*D6</f>
        <v>19.427607184884213</v>
      </c>
      <c r="G6">
        <v>20</v>
      </c>
      <c r="H6">
        <f>E6*G6</f>
        <v>388.55214369768424</v>
      </c>
      <c r="I6">
        <f>F6*G6</f>
        <v>388.55214369768424</v>
      </c>
      <c r="J6">
        <v>926291</v>
      </c>
      <c r="K6">
        <v>1015739</v>
      </c>
    </row>
    <row r="7" spans="1:11" x14ac:dyDescent="0.25">
      <c r="A7">
        <v>6</v>
      </c>
      <c r="B7">
        <f>14/180.156*0.5*1000</f>
        <v>38.855214369768426</v>
      </c>
      <c r="C7">
        <f>14/180.156*0.5*1000</f>
        <v>38.855214369768426</v>
      </c>
      <c r="D7">
        <f>100/200</f>
        <v>0.5</v>
      </c>
      <c r="E7">
        <f>B7*D7</f>
        <v>19.427607184884213</v>
      </c>
      <c r="F7">
        <f>C7*D7</f>
        <v>19.427607184884213</v>
      </c>
      <c r="G7">
        <v>25</v>
      </c>
      <c r="H7">
        <f>E7*G7</f>
        <v>485.69017962210535</v>
      </c>
      <c r="I7">
        <f>F7*G7</f>
        <v>485.69017962210535</v>
      </c>
      <c r="J7">
        <v>1156637</v>
      </c>
      <c r="K7">
        <v>1270439</v>
      </c>
    </row>
    <row r="28" spans="7:15" x14ac:dyDescent="0.25">
      <c r="N28" t="s">
        <v>131</v>
      </c>
    </row>
    <row r="29" spans="7:15" x14ac:dyDescent="0.25">
      <c r="G29" t="s">
        <v>132</v>
      </c>
      <c r="N29" t="s">
        <v>131</v>
      </c>
    </row>
    <row r="30" spans="7:15" x14ac:dyDescent="0.25">
      <c r="G30" t="s">
        <v>121</v>
      </c>
      <c r="H30">
        <v>4.1530000000000001E-4</v>
      </c>
      <c r="N30" t="s">
        <v>121</v>
      </c>
      <c r="O30">
        <v>3.7669999999999999E-4</v>
      </c>
    </row>
    <row r="31" spans="7:15" x14ac:dyDescent="0.25">
      <c r="G31" t="s">
        <v>120</v>
      </c>
      <c r="H31">
        <v>4.3319999999999999</v>
      </c>
      <c r="N31" t="s">
        <v>120</v>
      </c>
      <c r="O31">
        <v>6.0209999999999999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Flux_csv_output</vt:lpstr>
      <vt:lpstr>Samples</vt:lpstr>
      <vt:lpstr>Flux</vt:lpstr>
      <vt:lpstr>Std curve values (LC)</vt:lpstr>
      <vt:lpstr>Std curve values (OD-cell dens)</vt:lpstr>
      <vt:lpstr>ΔOD and growth rate (G + F)</vt:lpstr>
      <vt:lpstr>ΔOD and growth rate (F)</vt:lpstr>
      <vt:lpstr>Std curve Glu + Fru</vt:lpstr>
      <vt:lpstr>Std curve Lact + 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2024-02-29T07:43:43Z</dcterms:modified>
</cp:coreProperties>
</file>