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3\"/>
    </mc:Choice>
  </mc:AlternateContent>
  <bookViews>
    <workbookView xWindow="-120" yWindow="-120" windowWidth="29040" windowHeight="15840" activeTab="5"/>
  </bookViews>
  <sheets>
    <sheet name="Lab3-TODO" sheetId="6" r:id="rId1"/>
    <sheet name="КаталогРазрабов" sheetId="8" r:id="rId2"/>
    <sheet name="ЭкспертныеДанные" sheetId="9" r:id="rId3"/>
    <sheet name="Каталоги" sheetId="3" state="hidden" r:id="rId4"/>
    <sheet name="4-ОМК" sheetId="2" state="hidden" r:id="rId5"/>
    <sheet name="5-РКПСиОК" sheetId="1" r:id="rId6"/>
    <sheet name="6-РКИСиРК" sheetId="4" state="hidden" r:id="rId7"/>
    <sheet name="8-ОКАСОИиК" sheetId="5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5" i="6"/>
  <c r="I6" i="6" l="1"/>
  <c r="I7" i="6"/>
  <c r="I8" i="6"/>
  <c r="I9" i="6"/>
  <c r="I5" i="6"/>
  <c r="F9" i="6"/>
  <c r="F8" i="6"/>
  <c r="G9" i="6"/>
  <c r="G8" i="6"/>
  <c r="G6" i="6"/>
  <c r="G7" i="6"/>
  <c r="G5" i="6"/>
  <c r="F7" i="6"/>
  <c r="F6" i="6"/>
  <c r="F5" i="6"/>
  <c r="F11" i="9" l="1"/>
  <c r="F10" i="9"/>
  <c r="F9" i="9"/>
  <c r="F8" i="9"/>
  <c r="F7" i="9"/>
  <c r="G11" i="9"/>
  <c r="G10" i="9"/>
  <c r="G9" i="9"/>
  <c r="G8" i="9"/>
  <c r="G7" i="9"/>
  <c r="D9" i="6"/>
  <c r="D8" i="6"/>
  <c r="D7" i="6"/>
  <c r="D5" i="6"/>
  <c r="D6" i="6"/>
  <c r="C9" i="6"/>
  <c r="C8" i="6"/>
  <c r="C7" i="6"/>
  <c r="C6" i="6"/>
  <c r="C5" i="6"/>
  <c r="J22" i="5" l="1"/>
  <c r="I22" i="5"/>
  <c r="H22" i="5"/>
  <c r="G22" i="5"/>
  <c r="F22" i="5"/>
  <c r="E22" i="5"/>
  <c r="J12" i="5"/>
  <c r="E10" i="5"/>
  <c r="H4" i="5"/>
  <c r="H7" i="5" s="1"/>
  <c r="B4" i="2"/>
  <c r="K4" i="5" s="1"/>
  <c r="K7" i="5" s="1"/>
  <c r="L7" i="2"/>
  <c r="J4" i="5" s="1"/>
  <c r="J7" i="5" s="1"/>
  <c r="I11" i="2"/>
  <c r="I4" i="5" s="1"/>
  <c r="I7" i="5" s="1"/>
  <c r="I10" i="2"/>
  <c r="I9" i="2"/>
  <c r="G4" i="5" s="1"/>
  <c r="G7" i="5" s="1"/>
  <c r="I8" i="2"/>
  <c r="F4" i="5" s="1"/>
  <c r="F7" i="5" s="1"/>
  <c r="I7" i="2"/>
  <c r="E4" i="5" s="1"/>
  <c r="E7" i="5" s="1"/>
  <c r="I12" i="5"/>
  <c r="H12" i="5"/>
  <c r="G12" i="5"/>
  <c r="F12" i="5"/>
  <c r="E12" i="5"/>
  <c r="K12" i="5"/>
  <c r="K10" i="5"/>
  <c r="J10" i="5"/>
  <c r="I10" i="5"/>
  <c r="H10" i="5"/>
  <c r="G10" i="5"/>
  <c r="F10" i="5"/>
  <c r="K20" i="5"/>
  <c r="J20" i="5"/>
  <c r="I20" i="5"/>
  <c r="H20" i="5"/>
  <c r="G20" i="5"/>
  <c r="E20" i="5"/>
  <c r="F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K17" i="5" s="1"/>
  <c r="L17" i="5" s="1"/>
  <c r="E24" i="5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I23" i="5" s="1"/>
  <c r="F7" i="1"/>
  <c r="E14" i="5" s="1"/>
  <c r="E23" i="5" s="1"/>
  <c r="G12" i="4"/>
  <c r="K18" i="5" s="1"/>
  <c r="L18" i="5" s="1"/>
  <c r="F2" i="2"/>
  <c r="L4" i="5" s="1"/>
  <c r="F13" i="1"/>
  <c r="F14" i="5" s="1"/>
  <c r="F23" i="5" s="1"/>
  <c r="F19" i="1"/>
  <c r="G14" i="5" s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<sst xmlns="http://schemas.openxmlformats.org/spreadsheetml/2006/main" count="262" uniqueCount="133">
  <si>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</si>
  <si>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</si>
  <si>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</si>
  <si>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</si>
  <si>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</si>
  <si>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</si>
  <si>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</si>
  <si>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</si>
  <si>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</si>
  <si>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</si>
  <si>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</si>
  <si>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</si>
  <si>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</si>
  <si>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</si>
  <si>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</si>
  <si>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</si>
  <si>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</si>
  <si>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</si>
  <si>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</si>
  <si>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</si>
  <si>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</si>
  <si>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</si>
  <si>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</si>
  <si>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</si>
  <si>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</si>
  <si>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</si>
  <si>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</si>
  <si>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</si>
  <si>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</si>
  <si>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</si>
  <si>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</si>
  <si>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</si>
  <si>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</si>
  <si>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</si>
  <si>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</si>
  <si>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</si>
  <si>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</si>
  <si>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</si>
  <si>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</si>
  <si>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</si>
  <si>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</si>
  <si>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</si>
  <si>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</si>
  <si>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</si>
  <si>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</si>
  <si>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</si>
  <si>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</si>
  <si>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</si>
  <si>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</si>
  <si>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</si>
  <si>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</si>
  <si>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</si>
  <si>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</si>
  <si>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</si>
  <si>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</si>
  <si>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</si>
  <si>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</si>
  <si>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</si>
  <si>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</si>
  <si>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</si>
  <si>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</si>
  <si>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</si>
  <si>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</si>
  <si>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</si>
  <si>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</si>
  <si>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</si>
  <si>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</si>
  <si>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</si>
  <si>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</si>
  <si>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</si>
  <si>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</si>
  <si>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</si>
  <si>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</si>
  <si>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</si>
  <si>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</si>
  <si>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</si>
  <si>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</si>
  <si>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</si>
  <si>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</si>
  <si>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</si>
  <si>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</si>
  <si>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</si>
  <si>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</si>
  <si>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</si>
  <si>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</si>
  <si>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</si>
  <si>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</si>
  <si>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</si>
  <si>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</si>
  <si>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</si>
  <si>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</si>
  <si>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</si>
  <si>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</si>
  <si>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</si>
  <si>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</si>
  <si>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</si>
  <si>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</si>
  <si>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</si>
  <si>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</si>
  <si>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</si>
  <si>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</si>
  <si>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</si>
  <si>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</si>
  <si>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</si>
  <si>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</si>
  <si>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</si>
  <si>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</si>
  <si>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</si>
  <si>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</si>
  <si>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</si>
  <si>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</si>
  <si>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</si>
  <si>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</si>
  <si>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</si>
  <si>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</si>
  <si>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</si>
  <si>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</si>
  <si>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</si>
  <si>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</si>
  <si>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</si>
  <si>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</si>
  <si>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номер разраба</t>
  </si>
  <si>
    <t>производительность</t>
  </si>
  <si>
    <t>дневная стоимость</t>
  </si>
  <si>
    <t>элемент</t>
  </si>
  <si>
    <t>Номер разраба</t>
  </si>
  <si>
    <t>создание программ</t>
  </si>
  <si>
    <t>номер элемента</t>
  </si>
  <si>
    <t>экспертные данные</t>
  </si>
  <si>
    <t>трудоёмкость</t>
  </si>
  <si>
    <t>стоимость</t>
  </si>
  <si>
    <t>время реализ</t>
  </si>
  <si>
    <t>стоимость реализ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</si>
</sst>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NumberFormat="1"/>
    <xf numFmtId="0" fontId="0" fillId="0" borderId="50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9"/>
  <sheetViews>
    <sheetView workbookViewId="0">
      <selection activeCell="G15" sqref="G15"/>
    </sheetView>
  </sheetViews>
  <sheetFormatPr defaultRowHeight="14.4" x14ac:dyDescent="0.3"/>
  <cols>
    <col min="2" max="2" width="14.77734375" customWidth="1"/>
    <col min="3" max="3" width="19.109375" customWidth="1"/>
    <col min="4" max="4" width="17.88671875" customWidth="1"/>
    <col min="6" max="6" width="14.6640625" customWidth="1"/>
    <col min="7" max="7" width="11.21875" customWidth="1"/>
    <col min="8" max="8" width="13.6640625" customWidth="1"/>
    <col min="9" max="9" width="15.88671875" customWidth="1"/>
  </cols>
  <sheetData>
    <row r="4" spans="2:31" x14ac:dyDescent="0.3">
      <c r="B4" s="93" t="s">
        <v>121</v>
      </c>
      <c r="C4" s="93" t="s">
        <v>122</v>
      </c>
      <c r="D4" s="93" t="s">
        <v>123</v>
      </c>
      <c r="E4" s="93" t="s">
        <v>124</v>
      </c>
      <c r="F4" s="94" t="s">
        <v>129</v>
      </c>
      <c r="G4" s="94" t="s">
        <v>130</v>
      </c>
      <c r="H4" s="93" t="s">
        <v>131</v>
      </c>
      <c r="I4" s="93" t="s">
        <v>132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</row>
    <row r="5" spans="2:31" x14ac:dyDescent="0.3">
      <c r="B5" s="93">
        <v>21</v>
      </c>
      <c r="C5" s="97">
        <f>КаталогРазрабов!D8</f>
        <v>1.75</v>
      </c>
      <c r="D5" s="98">
        <f>КаталогРазрабов!E8</f>
        <v>70</v>
      </c>
      <c r="E5" s="93" t="s">
        <v>6</v>
      </c>
      <c r="F5" s="93">
        <f>ЭкспертныеДанные!F8</f>
        <v>204.43</v>
      </c>
      <c r="G5" s="93">
        <f>ЭкспертныеДанные!G8</f>
        <v>8177</v>
      </c>
      <c r="H5" s="93">
        <f>ROUNDUP(F5/C5,0)</f>
        <v>117</v>
      </c>
      <c r="I5" s="93">
        <f>ROUND(H5*D5,0)</f>
        <v>8190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2:31" x14ac:dyDescent="0.3">
      <c r="B6" s="93">
        <v>21</v>
      </c>
      <c r="C6" s="97">
        <f>КаталогРазрабов!D8</f>
        <v>1.75</v>
      </c>
      <c r="D6" s="93">
        <f>КаталогРазрабов!E8</f>
        <v>70</v>
      </c>
      <c r="E6" s="93" t="s">
        <v>7</v>
      </c>
      <c r="F6" s="94">
        <f>ЭкспертныеДанные!F9</f>
        <v>366.67</v>
      </c>
      <c r="G6" s="94">
        <f>ЭкспертныеДанные!G9</f>
        <v>16500</v>
      </c>
      <c r="H6" s="94">
        <f t="shared" ref="H6:H9" si="0">ROUNDUP(F6/C6,0)</f>
        <v>210</v>
      </c>
      <c r="I6" s="94">
        <f t="shared" ref="I6:I9" si="1">ROUND(H6*D6,0)</f>
        <v>14700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</row>
    <row r="7" spans="2:31" x14ac:dyDescent="0.3">
      <c r="B7" s="93">
        <v>22</v>
      </c>
      <c r="C7" s="97">
        <f>КаталогРазрабов!D9</f>
        <v>1.31</v>
      </c>
      <c r="D7" s="93">
        <f>КаталогРазрабов!E9</f>
        <v>55</v>
      </c>
      <c r="E7" s="93" t="s">
        <v>8</v>
      </c>
      <c r="F7" s="94">
        <f>ЭкспертныеДанные!F10</f>
        <v>190.02</v>
      </c>
      <c r="G7" s="94">
        <f>ЭкспертныеДанные!G10</f>
        <v>10451</v>
      </c>
      <c r="H7" s="94">
        <f t="shared" si="0"/>
        <v>146</v>
      </c>
      <c r="I7" s="94">
        <f t="shared" si="1"/>
        <v>8030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</row>
    <row r="8" spans="2:31" x14ac:dyDescent="0.3">
      <c r="B8" s="93">
        <v>22</v>
      </c>
      <c r="C8" s="97">
        <f>КаталогРазрабов!D9</f>
        <v>1.31</v>
      </c>
      <c r="D8" s="93">
        <f>КаталогРазрабов!E9</f>
        <v>55</v>
      </c>
      <c r="E8" s="93" t="s">
        <v>5</v>
      </c>
      <c r="F8" s="93">
        <f>ЭкспертныеДанные!F7</f>
        <v>402.84</v>
      </c>
      <c r="G8" s="93">
        <f>ЭкспертныеДанные!G7</f>
        <v>20142</v>
      </c>
      <c r="H8" s="94">
        <f t="shared" si="0"/>
        <v>308</v>
      </c>
      <c r="I8" s="94">
        <f t="shared" si="1"/>
        <v>16940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</row>
    <row r="9" spans="2:31" x14ac:dyDescent="0.3">
      <c r="B9" s="93">
        <v>23</v>
      </c>
      <c r="C9" s="97">
        <f>КаталогРазрабов!D10</f>
        <v>2.5</v>
      </c>
      <c r="D9" s="93">
        <f>КаталогРазрабов!E10</f>
        <v>45</v>
      </c>
      <c r="E9" s="93" t="s">
        <v>9</v>
      </c>
      <c r="F9" s="93">
        <f>ЭкспертныеДанные!F11</f>
        <v>452</v>
      </c>
      <c r="G9" s="93">
        <f>ЭкспертныеДанные!G11</f>
        <v>27120</v>
      </c>
      <c r="H9" s="94">
        <f t="shared" si="0"/>
        <v>181</v>
      </c>
      <c r="I9" s="94">
        <f t="shared" si="1"/>
        <v>8145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0"/>
  <sheetViews>
    <sheetView workbookViewId="0">
      <selection activeCell="D28" sqref="D28"/>
    </sheetView>
  </sheetViews>
  <sheetFormatPr defaultRowHeight="14.4" x14ac:dyDescent="0.3"/>
  <cols>
    <col min="3" max="3" width="14.77734375" customWidth="1"/>
    <col min="4" max="4" width="19.5546875" customWidth="1"/>
    <col min="5" max="5" width="17.6640625" customWidth="1"/>
  </cols>
  <sheetData>
    <row r="6" spans="3:5" x14ac:dyDescent="0.3">
      <c r="D6" s="99" t="s">
        <v>126</v>
      </c>
      <c r="E6" s="99"/>
    </row>
    <row r="7" spans="3:5" ht="15" thickBot="1" x14ac:dyDescent="0.35">
      <c r="C7" t="s">
        <v>125</v>
      </c>
      <c r="D7" t="s">
        <v>122</v>
      </c>
      <c r="E7" t="s">
        <v>123</v>
      </c>
    </row>
    <row r="8" spans="3:5" ht="15" thickBot="1" x14ac:dyDescent="0.35">
      <c r="C8">
        <v>21</v>
      </c>
      <c r="D8" s="95">
        <v>1.75</v>
      </c>
      <c r="E8" s="40">
        <v>70</v>
      </c>
    </row>
    <row r="9" spans="3:5" ht="15" thickBot="1" x14ac:dyDescent="0.35">
      <c r="C9">
        <v>22</v>
      </c>
      <c r="D9" s="96">
        <v>1.31</v>
      </c>
      <c r="E9" s="44">
        <v>55</v>
      </c>
    </row>
    <row r="10" spans="3:5" ht="15" thickBot="1" x14ac:dyDescent="0.35">
      <c r="C10">
        <v>23</v>
      </c>
      <c r="D10" s="96">
        <v>2.5</v>
      </c>
      <c r="E10" s="44">
        <v>45</v>
      </c>
    </row>
  </sheetData>
  <mergeCells count="1"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1"/>
  <sheetViews>
    <sheetView workbookViewId="0">
      <selection activeCell="F31" sqref="F31"/>
    </sheetView>
  </sheetViews>
  <sheetFormatPr defaultRowHeight="14.4" x14ac:dyDescent="0.3"/>
  <cols>
    <col min="5" max="5" width="15.5546875" customWidth="1"/>
    <col min="6" max="6" width="13.77734375" customWidth="1"/>
    <col min="7" max="7" width="11.109375" customWidth="1"/>
  </cols>
  <sheetData>
    <row r="5" spans="5:7" x14ac:dyDescent="0.3">
      <c r="E5" s="93"/>
      <c r="F5" s="100" t="s">
        <v>128</v>
      </c>
      <c r="G5" s="100"/>
    </row>
    <row r="6" spans="5:7" x14ac:dyDescent="0.3">
      <c r="E6" s="93" t="s">
        <v>127</v>
      </c>
      <c r="F6" s="93" t="s">
        <v>129</v>
      </c>
      <c r="G6" s="93" t="s">
        <v>130</v>
      </c>
    </row>
    <row r="7" spans="5:7" x14ac:dyDescent="0.3">
      <c r="E7" s="93" t="s">
        <v>5</v>
      </c>
      <c r="F7" s="93">
        <f>ROUND(G7/'5-РКПСиОК'!E2, 2)</f>
        <v>402.84</v>
      </c>
      <c r="G7" s="93">
        <f>'5-РКПСиОК'!F7</f>
        <v>20142</v>
      </c>
    </row>
    <row r="8" spans="5:7" x14ac:dyDescent="0.3">
      <c r="E8" s="93" t="s">
        <v>6</v>
      </c>
      <c r="F8" s="93">
        <f>ROUND(G8/'5-РКПСиОК'!E8, 2)</f>
        <v>204.43</v>
      </c>
      <c r="G8" s="93">
        <f>'5-РКПСиОК'!F13</f>
        <v>8177</v>
      </c>
    </row>
    <row r="9" spans="5:7" x14ac:dyDescent="0.3">
      <c r="E9" s="93" t="s">
        <v>7</v>
      </c>
      <c r="F9" s="93">
        <f>ROUND(G9/'5-РКПСиОК'!E14, 2)</f>
        <v>366.67</v>
      </c>
      <c r="G9" s="93">
        <f>'5-РКПСиОК'!F19</f>
        <v>16500</v>
      </c>
    </row>
    <row r="10" spans="5:7" x14ac:dyDescent="0.3">
      <c r="E10" s="93" t="s">
        <v>8</v>
      </c>
      <c r="F10" s="93">
        <f>ROUND(G10/'5-РКПСиОК'!E20, 2)</f>
        <v>190.02</v>
      </c>
      <c r="G10" s="93">
        <f>'5-РКПСиОК'!F25</f>
        <v>10451</v>
      </c>
    </row>
    <row r="11" spans="5:7" x14ac:dyDescent="0.3">
      <c r="E11" s="93" t="s">
        <v>9</v>
      </c>
      <c r="F11" s="93">
        <f>ROUND(G11/'5-РКПСиОК'!E26,2)</f>
        <v>452</v>
      </c>
      <c r="G11" s="93">
        <f>'5-РКПСиОК'!F31</f>
        <v>27120</v>
      </c>
    </row>
  </sheetData>
  <mergeCells count="1">
    <mergeCell ref="F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N30" sqref="N30"/>
    </sheetView>
  </sheetViews>
  <sheetFormatPr defaultRowHeight="14.4" x14ac:dyDescent="0.3"/>
  <cols>
    <col min="2" max="2" width="18.5546875" customWidth="1"/>
    <col min="3" max="3" width="6.109375" customWidth="1"/>
    <col min="4" max="4" width="8.88671875" customWidth="1"/>
    <col min="6" max="6" width="14.5546875" customWidth="1"/>
    <col min="9" max="9" width="13.6640625" customWidth="1"/>
    <col min="14" max="14" width="14.88671875" customWidth="1"/>
    <col min="15" max="15" width="17.33203125" customWidth="1"/>
    <col min="17" max="17" width="18.44140625" customWidth="1"/>
  </cols>
  <sheetData>
    <row r="1" spans="1:27" ht="15" thickBot="1" x14ac:dyDescent="0.35">
      <c r="A1" s="13"/>
      <c r="B1" s="101" t="s">
        <v>119</v>
      </c>
      <c r="C1" s="101"/>
      <c r="D1" s="101"/>
      <c r="E1" s="101"/>
      <c r="F1" s="101"/>
      <c r="G1" s="101"/>
      <c r="H1" s="13"/>
      <c r="I1" s="101" t="s">
        <v>80</v>
      </c>
      <c r="J1" s="101"/>
      <c r="K1" s="101"/>
      <c r="L1" s="101"/>
      <c r="M1" s="101"/>
      <c r="N1" s="101"/>
      <c r="O1" s="101"/>
      <c r="P1" s="101"/>
      <c r="Q1" s="101"/>
      <c r="R1" s="101"/>
      <c r="T1" s="102" t="s">
        <v>120</v>
      </c>
      <c r="U1" s="102"/>
      <c r="V1" s="102"/>
      <c r="W1" s="102"/>
      <c r="X1" s="102"/>
      <c r="Y1" s="102"/>
      <c r="Z1" s="102"/>
      <c r="AA1" s="102"/>
    </row>
    <row r="2" spans="1:27" ht="18.75" customHeight="1" thickBot="1" x14ac:dyDescent="0.35">
      <c r="B2" s="4">
        <v>1</v>
      </c>
      <c r="C2" s="2">
        <v>1</v>
      </c>
      <c r="D2" s="2" t="s">
        <v>105</v>
      </c>
      <c r="E2" s="2">
        <v>12</v>
      </c>
      <c r="F2" s="79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5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62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8.2" thickBot="1" x14ac:dyDescent="0.35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1" sqref="C31"/>
    </sheetView>
  </sheetViews>
  <sheetFormatPr defaultRowHeight="14.4" x14ac:dyDescent="0.3"/>
  <cols>
    <col min="1" max="1" width="35.88671875" customWidth="1"/>
    <col min="3" max="3" width="10.5546875" customWidth="1"/>
    <col min="9" max="9" width="14.44140625" customWidth="1"/>
  </cols>
  <sheetData>
    <row r="1" spans="1:12" x14ac:dyDescent="0.3">
      <c r="B1" t="s">
        <v>109</v>
      </c>
    </row>
    <row r="2" spans="1:12" x14ac:dyDescent="0.3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3">
      <c r="B3" t="s">
        <v>116</v>
      </c>
    </row>
    <row r="4" spans="1:12" x14ac:dyDescent="0.3">
      <c r="B4">
        <f>SUM(H7:H11) + SUM(K7:K11) + 1</f>
        <v>46</v>
      </c>
    </row>
    <row r="5" spans="1:12" x14ac:dyDescent="0.3">
      <c r="G5" t="s">
        <v>23</v>
      </c>
      <c r="J5" t="s">
        <v>29</v>
      </c>
    </row>
    <row r="6" spans="1:12" ht="15" thickBot="1" x14ac:dyDescent="0.35"/>
    <row r="7" spans="1:12" ht="15.6" thickTop="1" thickBot="1" x14ac:dyDescent="0.35">
      <c r="G7" t="s">
        <v>24</v>
      </c>
      <c r="H7" s="24">
        <v>11</v>
      </c>
      <c r="I7" s="83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5.6" thickTop="1" thickBot="1" x14ac:dyDescent="0.35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5.6" thickTop="1" thickBot="1" x14ac:dyDescent="0.35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5.6" thickTop="1" thickBot="1" x14ac:dyDescent="0.35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5.6" thickTop="1" thickBot="1" x14ac:dyDescent="0.35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F7" sqref="F7"/>
    </sheetView>
  </sheetViews>
  <sheetFormatPr defaultRowHeight="14.4" x14ac:dyDescent="0.3"/>
  <cols>
    <col min="1" max="1" width="14.88671875" customWidth="1"/>
    <col min="2" max="2" width="24.6640625" customWidth="1"/>
    <col min="3" max="3" width="19.33203125" customWidth="1"/>
    <col min="4" max="4" width="18.33203125" customWidth="1"/>
    <col min="5" max="5" width="12" customWidth="1"/>
    <col min="6" max="6" width="16" customWidth="1"/>
  </cols>
  <sheetData>
    <row r="1" spans="1:11" ht="14.25" customHeight="1" thickTop="1" thickBot="1" x14ac:dyDescent="0.35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5.6" thickTop="1" thickBot="1" x14ac:dyDescent="0.35">
      <c r="A2" s="105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" thickBot="1" x14ac:dyDescent="0.35">
      <c r="A3" s="106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" thickBot="1" x14ac:dyDescent="0.35">
      <c r="A4" s="106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" thickBot="1" x14ac:dyDescent="0.35">
      <c r="A5" s="106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" thickBot="1" x14ac:dyDescent="0.35">
      <c r="A6" s="107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5.6" thickTop="1" thickBot="1" x14ac:dyDescent="0.35">
      <c r="A7" s="103" t="s">
        <v>10</v>
      </c>
      <c r="B7" s="104"/>
      <c r="C7" s="104"/>
      <c r="D7" s="104"/>
      <c r="E7" s="104"/>
      <c r="F7" s="16">
        <f>SUM(F2:F6)</f>
        <v>20142</v>
      </c>
      <c r="G7" s="7"/>
      <c r="H7" s="7"/>
      <c r="K7" s="6"/>
    </row>
    <row r="8" spans="1:11" ht="15.6" thickTop="1" thickBot="1" x14ac:dyDescent="0.35">
      <c r="A8" s="105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" thickBot="1" x14ac:dyDescent="0.35">
      <c r="A9" s="106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" thickBot="1" x14ac:dyDescent="0.35">
      <c r="A10" s="106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" thickBot="1" x14ac:dyDescent="0.35">
      <c r="A11" s="106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" thickBot="1" x14ac:dyDescent="0.35">
      <c r="A12" s="107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5.6" thickTop="1" thickBot="1" x14ac:dyDescent="0.35">
      <c r="A13" s="103" t="s">
        <v>11</v>
      </c>
      <c r="B13" s="104"/>
      <c r="C13" s="104"/>
      <c r="D13" s="104"/>
      <c r="E13" s="104"/>
      <c r="F13" s="17">
        <f>SUM(F8:F12)</f>
        <v>8177</v>
      </c>
    </row>
    <row r="14" spans="1:11" ht="15.6" thickTop="1" thickBot="1" x14ac:dyDescent="0.35">
      <c r="A14" s="105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" thickBot="1" x14ac:dyDescent="0.35">
      <c r="A15" s="106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" thickBot="1" x14ac:dyDescent="0.35">
      <c r="A16" s="106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" thickBot="1" x14ac:dyDescent="0.35">
      <c r="A17" s="106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" thickBot="1" x14ac:dyDescent="0.35">
      <c r="A18" s="107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5.6" thickTop="1" thickBot="1" x14ac:dyDescent="0.35">
      <c r="A19" s="103" t="s">
        <v>12</v>
      </c>
      <c r="B19" s="104"/>
      <c r="C19" s="104"/>
      <c r="D19" s="104"/>
      <c r="E19" s="104"/>
      <c r="F19" s="17">
        <f>SUM(F14:F18)</f>
        <v>16500</v>
      </c>
      <c r="G19" s="7"/>
      <c r="H19" s="7"/>
      <c r="I19" s="7"/>
      <c r="J19" s="7"/>
    </row>
    <row r="20" spans="1:13" ht="15.6" thickTop="1" thickBot="1" x14ac:dyDescent="0.35">
      <c r="A20" s="105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" thickBot="1" x14ac:dyDescent="0.35">
      <c r="A21" s="106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" thickBot="1" x14ac:dyDescent="0.35">
      <c r="A22" s="106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" thickBot="1" x14ac:dyDescent="0.35">
      <c r="A23" s="106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" thickBot="1" x14ac:dyDescent="0.35">
      <c r="A24" s="107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5.6" thickTop="1" thickBot="1" x14ac:dyDescent="0.35">
      <c r="A25" s="103" t="s">
        <v>13</v>
      </c>
      <c r="B25" s="104"/>
      <c r="C25" s="104"/>
      <c r="D25" s="104"/>
      <c r="E25" s="104"/>
      <c r="F25" s="18">
        <f>SUM(F20:F24)</f>
        <v>10451</v>
      </c>
      <c r="G25" s="7"/>
    </row>
    <row r="26" spans="1:13" ht="15.6" thickTop="1" thickBot="1" x14ac:dyDescent="0.35">
      <c r="A26" s="105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" thickBot="1" x14ac:dyDescent="0.35">
      <c r="A27" s="106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" thickBot="1" x14ac:dyDescent="0.35">
      <c r="A28" s="106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" thickBot="1" x14ac:dyDescent="0.35">
      <c r="A29" s="106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" thickBot="1" x14ac:dyDescent="0.35">
      <c r="A30" s="107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5.6" thickTop="1" thickBot="1" x14ac:dyDescent="0.35">
      <c r="A31" s="103" t="s">
        <v>14</v>
      </c>
      <c r="B31" s="104"/>
      <c r="C31" s="104"/>
      <c r="D31" s="104"/>
      <c r="E31" s="104"/>
      <c r="F31" s="15">
        <f>SUM(F26:F30)</f>
        <v>27120</v>
      </c>
      <c r="G31" s="7"/>
    </row>
    <row r="32" spans="1:13" ht="15" thickTop="1" x14ac:dyDescent="0.3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B1" workbookViewId="0">
      <selection activeCell="L30" sqref="L30"/>
    </sheetView>
  </sheetViews>
  <sheetFormatPr defaultRowHeight="14.4" x14ac:dyDescent="0.3"/>
  <cols>
    <col min="2" max="2" width="28.6640625" customWidth="1"/>
    <col min="5" max="5" width="11.33203125" customWidth="1"/>
    <col min="6" max="6" width="10.109375" customWidth="1"/>
    <col min="8" max="8" width="11.33203125" customWidth="1"/>
  </cols>
  <sheetData>
    <row r="2" spans="2:12" x14ac:dyDescent="0.3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" thickBot="1" x14ac:dyDescent="0.35">
      <c r="E4" t="s">
        <v>42</v>
      </c>
      <c r="F4" t="s">
        <v>43</v>
      </c>
      <c r="G4" t="s">
        <v>44</v>
      </c>
      <c r="H4" t="s">
        <v>40</v>
      </c>
    </row>
    <row r="5" spans="2:12" ht="15" thickBot="1" x14ac:dyDescent="0.35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3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5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" thickBot="1" x14ac:dyDescent="0.35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3">
      <c r="C11" s="38"/>
      <c r="D11" s="38"/>
    </row>
    <row r="12" spans="2:12" x14ac:dyDescent="0.3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58.2" thickBot="1" x14ac:dyDescent="0.35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" thickBot="1" x14ac:dyDescent="0.35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15" zoomScaleNormal="115" workbookViewId="0">
      <selection activeCell="E12" sqref="E12"/>
    </sheetView>
  </sheetViews>
  <sheetFormatPr defaultRowHeight="14.4" x14ac:dyDescent="0.3"/>
  <cols>
    <col min="4" max="4" width="16.109375" customWidth="1"/>
    <col min="5" max="5" width="13.5546875" customWidth="1"/>
    <col min="6" max="6" width="14.44140625" customWidth="1"/>
    <col min="7" max="7" width="14.6640625" customWidth="1"/>
    <col min="8" max="8" width="13.5546875" customWidth="1"/>
    <col min="9" max="9" width="13.88671875" customWidth="1"/>
    <col min="10" max="10" width="14.109375" customWidth="1"/>
    <col min="11" max="11" width="15.33203125" customWidth="1"/>
    <col min="12" max="12" width="10.88671875" customWidth="1"/>
    <col min="14" max="14" width="10.33203125" customWidth="1"/>
  </cols>
  <sheetData>
    <row r="1" spans="1:17" x14ac:dyDescent="0.3">
      <c r="A1" s="109" t="s">
        <v>52</v>
      </c>
      <c r="B1" s="116" t="s">
        <v>58</v>
      </c>
      <c r="C1" s="117"/>
      <c r="D1" s="118"/>
      <c r="E1" s="110" t="s">
        <v>57</v>
      </c>
      <c r="F1" s="111"/>
      <c r="G1" s="111"/>
      <c r="H1" s="111"/>
      <c r="I1" s="111"/>
      <c r="J1" s="112"/>
      <c r="K1" s="108" t="s">
        <v>59</v>
      </c>
      <c r="L1" s="109" t="s">
        <v>60</v>
      </c>
    </row>
    <row r="2" spans="1:17" x14ac:dyDescent="0.3">
      <c r="A2" s="109"/>
      <c r="B2" s="116"/>
      <c r="C2" s="117"/>
      <c r="D2" s="118"/>
      <c r="E2" s="76" t="s">
        <v>5</v>
      </c>
      <c r="F2" s="78" t="s">
        <v>6</v>
      </c>
      <c r="G2" s="61" t="s">
        <v>7</v>
      </c>
      <c r="H2" s="78" t="s">
        <v>8</v>
      </c>
      <c r="I2" s="61" t="s">
        <v>9</v>
      </c>
      <c r="J2" s="77" t="s">
        <v>110</v>
      </c>
      <c r="K2" s="108"/>
      <c r="L2" s="109"/>
    </row>
    <row r="3" spans="1:17" x14ac:dyDescent="0.3">
      <c r="A3" s="109"/>
      <c r="B3" s="116"/>
      <c r="C3" s="117"/>
      <c r="D3" s="118"/>
      <c r="E3" s="113" t="s">
        <v>104</v>
      </c>
      <c r="F3" s="114"/>
      <c r="G3" s="114"/>
      <c r="H3" s="114"/>
      <c r="I3" s="114"/>
      <c r="J3" s="115"/>
      <c r="K3" s="108"/>
      <c r="L3" s="109"/>
    </row>
    <row r="4" spans="1:17" ht="15" thickBot="1" x14ac:dyDescent="0.35">
      <c r="A4" s="125"/>
      <c r="B4" s="119"/>
      <c r="C4" s="120"/>
      <c r="D4" s="121"/>
      <c r="E4" s="84" t="str">
        <f>'4-ОМК'!I7</f>
        <v>1 -  11</v>
      </c>
      <c r="F4" s="85" t="str">
        <f>'4-ОМК'!I8</f>
        <v>12 - 18</v>
      </c>
      <c r="G4" s="86" t="str">
        <f>'4-ОМК'!I9</f>
        <v>19 - 26</v>
      </c>
      <c r="H4" s="86" t="str">
        <f>'4-ОМК'!I10</f>
        <v>27 - 34</v>
      </c>
      <c r="I4" s="86" t="str">
        <f>'4-ОМК'!I11</f>
        <v>35 - 42</v>
      </c>
      <c r="J4" s="87" t="str">
        <f>'4-ОМК'!L7</f>
        <v>43 - 45</v>
      </c>
      <c r="K4" s="54">
        <f>'4-ОМК'!B4</f>
        <v>46</v>
      </c>
      <c r="L4" s="48">
        <f>'4-ОМК'!F2</f>
        <v>46</v>
      </c>
    </row>
    <row r="5" spans="1:17" ht="14.25" customHeight="1" thickTop="1" x14ac:dyDescent="0.3">
      <c r="A5" s="46">
        <v>1</v>
      </c>
      <c r="B5" s="126" t="s">
        <v>53</v>
      </c>
      <c r="C5" s="126"/>
      <c r="D5" s="108"/>
      <c r="E5" s="66" t="s">
        <v>56</v>
      </c>
      <c r="F5" s="74" t="s">
        <v>56</v>
      </c>
      <c r="G5" s="74" t="s">
        <v>56</v>
      </c>
      <c r="H5" s="74" t="s">
        <v>56</v>
      </c>
      <c r="I5" s="74" t="s">
        <v>56</v>
      </c>
      <c r="J5" s="55" t="s">
        <v>56</v>
      </c>
      <c r="K5" s="55" t="s">
        <v>56</v>
      </c>
      <c r="L5" s="51" t="s">
        <v>56</v>
      </c>
    </row>
    <row r="6" spans="1:17" x14ac:dyDescent="0.3">
      <c r="A6" s="46">
        <v>2</v>
      </c>
      <c r="B6" s="126" t="s">
        <v>53</v>
      </c>
      <c r="C6" s="126"/>
      <c r="D6" s="108"/>
      <c r="E6" s="65" t="s">
        <v>56</v>
      </c>
      <c r="F6" s="70" t="s">
        <v>56</v>
      </c>
      <c r="G6" s="70" t="s">
        <v>56</v>
      </c>
      <c r="H6" s="70" t="s">
        <v>56</v>
      </c>
      <c r="I6" s="70" t="s">
        <v>56</v>
      </c>
      <c r="J6" s="55" t="s">
        <v>56</v>
      </c>
      <c r="K6" s="55" t="s">
        <v>56</v>
      </c>
      <c r="L6" s="46" t="s">
        <v>56</v>
      </c>
    </row>
    <row r="7" spans="1:17" x14ac:dyDescent="0.3">
      <c r="A7" s="46">
        <v>3</v>
      </c>
      <c r="B7" s="126" t="s">
        <v>54</v>
      </c>
      <c r="C7" s="126"/>
      <c r="D7" s="108"/>
      <c r="E7" s="88" t="str">
        <f>E4</f>
        <v>1 -  11</v>
      </c>
      <c r="F7" s="89" t="str">
        <f t="shared" ref="F7:K7" si="0">F4</f>
        <v>12 - 18</v>
      </c>
      <c r="G7" s="89" t="str">
        <f t="shared" si="0"/>
        <v>19 - 26</v>
      </c>
      <c r="H7" s="89" t="str">
        <f t="shared" si="0"/>
        <v>27 - 34</v>
      </c>
      <c r="I7" s="89" t="str">
        <f t="shared" si="0"/>
        <v>35 - 42</v>
      </c>
      <c r="J7" s="90" t="str">
        <f t="shared" si="0"/>
        <v>43 - 45</v>
      </c>
      <c r="K7" s="56">
        <f t="shared" si="0"/>
        <v>46</v>
      </c>
      <c r="L7" s="46" t="s">
        <v>56</v>
      </c>
    </row>
    <row r="8" spans="1:17" ht="27" customHeight="1" thickBot="1" x14ac:dyDescent="0.35">
      <c r="A8" s="46">
        <v>4</v>
      </c>
      <c r="B8" s="127" t="s">
        <v>55</v>
      </c>
      <c r="C8" s="127"/>
      <c r="D8" s="128"/>
      <c r="E8" s="67">
        <v>2</v>
      </c>
      <c r="F8" s="71">
        <v>2</v>
      </c>
      <c r="G8" s="71">
        <v>2</v>
      </c>
      <c r="H8" s="71">
        <v>2</v>
      </c>
      <c r="I8" s="71">
        <v>2</v>
      </c>
      <c r="J8" s="58">
        <v>2</v>
      </c>
      <c r="K8" s="58">
        <v>1</v>
      </c>
      <c r="L8" s="52" t="s">
        <v>56</v>
      </c>
    </row>
    <row r="9" spans="1:17" x14ac:dyDescent="0.3">
      <c r="A9" s="46">
        <v>5</v>
      </c>
      <c r="B9" s="122" t="s">
        <v>67</v>
      </c>
      <c r="C9" s="100" t="s">
        <v>63</v>
      </c>
      <c r="D9" s="55" t="s">
        <v>61</v>
      </c>
      <c r="E9" s="80" t="s">
        <v>78</v>
      </c>
      <c r="F9" s="73" t="s">
        <v>78</v>
      </c>
      <c r="G9" s="81" t="s">
        <v>78</v>
      </c>
      <c r="H9" s="73" t="s">
        <v>78</v>
      </c>
      <c r="I9" s="81" t="s">
        <v>78</v>
      </c>
      <c r="J9" s="57" t="s">
        <v>78</v>
      </c>
      <c r="K9" s="82" t="s">
        <v>78</v>
      </c>
      <c r="L9" s="46" t="s">
        <v>56</v>
      </c>
    </row>
    <row r="10" spans="1:17" x14ac:dyDescent="0.3">
      <c r="A10" s="46">
        <v>6</v>
      </c>
      <c r="B10" s="123"/>
      <c r="C10" s="100"/>
      <c r="D10" s="55" t="s">
        <v>62</v>
      </c>
      <c r="E10" s="68">
        <f>'4-ОМК'!H7*Каталоги!AA2</f>
        <v>2860</v>
      </c>
      <c r="F10" s="72">
        <f>'4-ОМК'!H8*Каталоги!AA2</f>
        <v>1820</v>
      </c>
      <c r="G10" s="72">
        <f>'4-ОМК'!H9*Каталоги!AA2</f>
        <v>2080</v>
      </c>
      <c r="H10" s="72">
        <f>'4-ОМК'!H10*Каталоги!AA2</f>
        <v>2080</v>
      </c>
      <c r="I10" s="72">
        <f>'4-ОМК'!H11*Каталоги!AA2</f>
        <v>2080</v>
      </c>
      <c r="J10" s="63">
        <f>'4-ОМК'!K7*Каталоги!AA2</f>
        <v>780</v>
      </c>
      <c r="K10" s="55">
        <f>Каталоги!AA2</f>
        <v>260</v>
      </c>
      <c r="L10" s="46">
        <f>SUM(E10:K10)</f>
        <v>11960</v>
      </c>
    </row>
    <row r="11" spans="1:17" x14ac:dyDescent="0.3">
      <c r="A11" s="46">
        <v>7</v>
      </c>
      <c r="B11" s="123"/>
      <c r="C11" s="100" t="s">
        <v>64</v>
      </c>
      <c r="D11" s="55" t="s">
        <v>65</v>
      </c>
      <c r="E11" s="68" t="s">
        <v>94</v>
      </c>
      <c r="F11" s="72" t="s">
        <v>94</v>
      </c>
      <c r="G11" s="72" t="s">
        <v>94</v>
      </c>
      <c r="H11" s="72" t="s">
        <v>94</v>
      </c>
      <c r="I11" s="72" t="s">
        <v>94</v>
      </c>
      <c r="J11" s="63" t="s">
        <v>94</v>
      </c>
      <c r="K11" s="55" t="s">
        <v>107</v>
      </c>
      <c r="L11" s="46" t="s">
        <v>56</v>
      </c>
    </row>
    <row r="12" spans="1:17" x14ac:dyDescent="0.3">
      <c r="A12" s="46">
        <v>8</v>
      </c>
      <c r="B12" s="123"/>
      <c r="C12" s="100"/>
      <c r="D12" s="55" t="s">
        <v>66</v>
      </c>
      <c r="E12" s="65">
        <f>'4-ОМК'!H7*(SUM(Каталоги!AA3:AA4))</f>
        <v>3190</v>
      </c>
      <c r="F12" s="70">
        <f>'4-ОМК'!H8*(SUM(Каталоги!AA3:AA4))</f>
        <v>2030</v>
      </c>
      <c r="G12" s="70">
        <f>'4-ОМК'!H9*(SUM(Каталоги!AA3:AA4))</f>
        <v>2320</v>
      </c>
      <c r="H12" s="70">
        <f>'4-ОМК'!H10*(SUM(Каталоги!AA3:AA4))</f>
        <v>2320</v>
      </c>
      <c r="I12" s="70">
        <f>'4-ОМК'!H11*(SUM(Каталоги!AA3:AA4))</f>
        <v>2320</v>
      </c>
      <c r="J12" s="55">
        <f>'4-ОМК'!K7*(SUM(Каталоги!AA3:AA4))</f>
        <v>870</v>
      </c>
      <c r="K12" s="55">
        <f>Каталоги!AA3</f>
        <v>50</v>
      </c>
      <c r="L12" s="46">
        <f>SUM(E12:K12)</f>
        <v>13100</v>
      </c>
    </row>
    <row r="13" spans="1:17" x14ac:dyDescent="0.3">
      <c r="A13" s="46">
        <v>9</v>
      </c>
      <c r="B13" s="123"/>
      <c r="C13" s="126" t="s">
        <v>67</v>
      </c>
      <c r="D13" s="55" t="s">
        <v>74</v>
      </c>
      <c r="E13" s="65" t="s">
        <v>111</v>
      </c>
      <c r="F13" s="70" t="s">
        <v>112</v>
      </c>
      <c r="G13" s="70" t="s">
        <v>113</v>
      </c>
      <c r="H13" s="70" t="s">
        <v>114</v>
      </c>
      <c r="I13" s="70" t="s">
        <v>115</v>
      </c>
      <c r="J13" s="55" t="s">
        <v>56</v>
      </c>
      <c r="K13" s="55" t="s">
        <v>56</v>
      </c>
      <c r="L13" s="46" t="s">
        <v>56</v>
      </c>
    </row>
    <row r="14" spans="1:17" ht="15" thickBot="1" x14ac:dyDescent="0.35">
      <c r="A14" s="46">
        <v>10</v>
      </c>
      <c r="B14" s="124"/>
      <c r="C14" s="101"/>
      <c r="D14" s="58" t="s">
        <v>73</v>
      </c>
      <c r="E14" s="67">
        <f>'5-РКПСиОК'!F7</f>
        <v>20142</v>
      </c>
      <c r="F14" s="71">
        <f>'5-РКПСиОК'!F13</f>
        <v>8177</v>
      </c>
      <c r="G14" s="71">
        <f>'5-РКПСиОК'!F19</f>
        <v>16500</v>
      </c>
      <c r="H14" s="75">
        <f>'5-РКПСиОК'!F25</f>
        <v>10451</v>
      </c>
      <c r="I14" s="71">
        <f>'5-РКПСиОК'!F31</f>
        <v>27120</v>
      </c>
      <c r="J14" s="58" t="s">
        <v>56</v>
      </c>
      <c r="K14" s="58" t="s">
        <v>56</v>
      </c>
      <c r="L14" s="52">
        <f>SUM(E14:K14)</f>
        <v>82390</v>
      </c>
    </row>
    <row r="15" spans="1:17" x14ac:dyDescent="0.3">
      <c r="A15" s="46">
        <v>11</v>
      </c>
      <c r="B15" s="122" t="s">
        <v>75</v>
      </c>
      <c r="C15" s="126" t="s">
        <v>68</v>
      </c>
      <c r="D15" s="55" t="s">
        <v>76</v>
      </c>
      <c r="E15" s="65" t="s">
        <v>56</v>
      </c>
      <c r="F15" s="70" t="s">
        <v>56</v>
      </c>
      <c r="G15" s="70" t="s">
        <v>56</v>
      </c>
      <c r="H15" s="70" t="s">
        <v>56</v>
      </c>
      <c r="I15" s="70" t="s">
        <v>56</v>
      </c>
      <c r="J15" s="55" t="s">
        <v>56</v>
      </c>
      <c r="K15" s="55" t="s">
        <v>88</v>
      </c>
      <c r="L15" s="53" t="s">
        <v>56</v>
      </c>
      <c r="Q15" s="11"/>
    </row>
    <row r="16" spans="1:17" x14ac:dyDescent="0.3">
      <c r="A16" s="46">
        <v>12</v>
      </c>
      <c r="B16" s="123"/>
      <c r="C16" s="126"/>
      <c r="D16" s="55" t="s">
        <v>77</v>
      </c>
      <c r="E16" s="65" t="s">
        <v>56</v>
      </c>
      <c r="F16" s="70" t="s">
        <v>56</v>
      </c>
      <c r="G16" s="70" t="s">
        <v>56</v>
      </c>
      <c r="H16" s="70" t="s">
        <v>56</v>
      </c>
      <c r="I16" s="70" t="s">
        <v>56</v>
      </c>
      <c r="J16" s="55" t="s">
        <v>56</v>
      </c>
      <c r="K16" s="55">
        <f>'6-РКИСиРК'!L2</f>
        <v>34051</v>
      </c>
      <c r="L16" s="46">
        <f>SUM(E16:K16)</f>
        <v>34051</v>
      </c>
    </row>
    <row r="17" spans="1:19" x14ac:dyDescent="0.3">
      <c r="A17" s="46">
        <v>13</v>
      </c>
      <c r="B17" s="123"/>
      <c r="C17" s="47" t="s">
        <v>69</v>
      </c>
      <c r="D17" s="55" t="s">
        <v>71</v>
      </c>
      <c r="E17" s="65" t="s">
        <v>56</v>
      </c>
      <c r="F17" s="70" t="s">
        <v>56</v>
      </c>
      <c r="G17" s="70" t="s">
        <v>56</v>
      </c>
      <c r="H17" s="70" t="s">
        <v>56</v>
      </c>
      <c r="I17" s="70" t="s">
        <v>56</v>
      </c>
      <c r="J17" s="55" t="s">
        <v>56</v>
      </c>
      <c r="K17" s="55">
        <f>'6-РКИСиРК'!G7</f>
        <v>34200</v>
      </c>
      <c r="L17" s="46">
        <f>SUM(E17:K17)</f>
        <v>34200</v>
      </c>
    </row>
    <row r="18" spans="1:19" ht="15" thickBot="1" x14ac:dyDescent="0.35">
      <c r="A18" s="46">
        <v>14</v>
      </c>
      <c r="B18" s="124"/>
      <c r="C18" s="50" t="s">
        <v>70</v>
      </c>
      <c r="D18" s="58" t="s">
        <v>72</v>
      </c>
      <c r="E18" s="67" t="s">
        <v>56</v>
      </c>
      <c r="F18" s="71" t="s">
        <v>56</v>
      </c>
      <c r="G18" s="71" t="s">
        <v>56</v>
      </c>
      <c r="H18" s="71" t="s">
        <v>56</v>
      </c>
      <c r="I18" s="71" t="s">
        <v>56</v>
      </c>
      <c r="J18" s="58" t="s">
        <v>56</v>
      </c>
      <c r="K18" s="58">
        <f>'6-РКИСиРК'!G12</f>
        <v>25300.000000000004</v>
      </c>
      <c r="L18" s="59">
        <f>SUM(E18:K18)</f>
        <v>25300.000000000004</v>
      </c>
      <c r="M18" s="11"/>
      <c r="N18" s="11"/>
    </row>
    <row r="19" spans="1:19" x14ac:dyDescent="0.3">
      <c r="A19" s="46">
        <v>15</v>
      </c>
      <c r="B19" s="133" t="s">
        <v>79</v>
      </c>
      <c r="C19" s="136" t="s">
        <v>80</v>
      </c>
      <c r="D19" s="55" t="s">
        <v>82</v>
      </c>
      <c r="E19" s="69" t="s">
        <v>86</v>
      </c>
      <c r="F19" s="73" t="s">
        <v>86</v>
      </c>
      <c r="G19" s="73" t="s">
        <v>86</v>
      </c>
      <c r="H19" s="73" t="s">
        <v>86</v>
      </c>
      <c r="I19" s="73" t="s">
        <v>86</v>
      </c>
      <c r="J19" s="57" t="s">
        <v>86</v>
      </c>
      <c r="K19" s="55" t="s">
        <v>86</v>
      </c>
      <c r="L19" s="46" t="s">
        <v>56</v>
      </c>
    </row>
    <row r="20" spans="1:19" x14ac:dyDescent="0.3">
      <c r="A20" s="46">
        <v>16</v>
      </c>
      <c r="B20" s="134"/>
      <c r="C20" s="126"/>
      <c r="D20" s="55" t="s">
        <v>83</v>
      </c>
      <c r="E20" s="65">
        <f>'4-ОМК'!H7*Каталоги!$R$2</f>
        <v>15598</v>
      </c>
      <c r="F20" s="70">
        <f>'4-ОМК'!H8*Каталоги!$R$2</f>
        <v>9926</v>
      </c>
      <c r="G20" s="70">
        <f>'4-ОМК'!H9*Каталоги!$R$2</f>
        <v>11344</v>
      </c>
      <c r="H20" s="70">
        <f>'4-ОМК'!H10*Каталоги!$R$2</f>
        <v>11344</v>
      </c>
      <c r="I20" s="70">
        <f>'4-ОМК'!H11*Каталоги!$R$2</f>
        <v>11344</v>
      </c>
      <c r="J20" s="55">
        <f>'4-ОМК'!K7*Каталоги!R2</f>
        <v>4254</v>
      </c>
      <c r="K20" s="55">
        <f>'4-ОМК'!B2*Каталоги!R2</f>
        <v>1418</v>
      </c>
      <c r="L20" s="46">
        <f>SUM(E20:K20)</f>
        <v>65228</v>
      </c>
      <c r="M20" s="7"/>
    </row>
    <row r="21" spans="1:19" x14ac:dyDescent="0.3">
      <c r="A21" s="46">
        <v>17</v>
      </c>
      <c r="B21" s="134"/>
      <c r="C21" s="126" t="s">
        <v>81</v>
      </c>
      <c r="D21" s="55" t="s">
        <v>84</v>
      </c>
      <c r="E21" s="65" t="s">
        <v>87</v>
      </c>
      <c r="F21" s="70" t="s">
        <v>87</v>
      </c>
      <c r="G21" s="70" t="s">
        <v>117</v>
      </c>
      <c r="H21" s="70" t="s">
        <v>87</v>
      </c>
      <c r="I21" s="70" t="s">
        <v>117</v>
      </c>
      <c r="J21" s="55" t="s">
        <v>87</v>
      </c>
      <c r="K21" s="55" t="s">
        <v>56</v>
      </c>
      <c r="L21" s="46" t="s">
        <v>56</v>
      </c>
    </row>
    <row r="22" spans="1:19" ht="15" thickBot="1" x14ac:dyDescent="0.35">
      <c r="A22" s="46">
        <v>18</v>
      </c>
      <c r="B22" s="135"/>
      <c r="C22" s="101"/>
      <c r="D22" s="58" t="s">
        <v>85</v>
      </c>
      <c r="E22" s="67">
        <f>6*Каталоги!$G$3</f>
        <v>1260</v>
      </c>
      <c r="F22" s="71">
        <f>4*Каталоги!$G$3</f>
        <v>840</v>
      </c>
      <c r="G22" s="71">
        <f>4*Каталоги!$G$2</f>
        <v>760</v>
      </c>
      <c r="H22" s="71">
        <f>4*Каталоги!$G$3</f>
        <v>840</v>
      </c>
      <c r="I22" s="71">
        <f>4*Каталоги!$G$2</f>
        <v>760</v>
      </c>
      <c r="J22" s="58">
        <f>2*Каталоги!G3</f>
        <v>420</v>
      </c>
      <c r="K22" s="58" t="s">
        <v>56</v>
      </c>
      <c r="L22" s="52">
        <f>SUM(E22:K22)</f>
        <v>4880</v>
      </c>
    </row>
    <row r="23" spans="1:19" x14ac:dyDescent="0.3">
      <c r="A23" s="46">
        <v>19</v>
      </c>
      <c r="B23" s="122" t="s">
        <v>103</v>
      </c>
      <c r="C23" s="136"/>
      <c r="D23" s="137"/>
      <c r="E23" s="65">
        <f>ROUND((E10+E12+E14+E20+E22)/'4-ОМК'!H7, 2)</f>
        <v>3913.64</v>
      </c>
      <c r="F23" s="70">
        <f>ROUND((F10+F12+F14+F20+F22)/'4-ОМК'!H8,2)</f>
        <v>3256.14</v>
      </c>
      <c r="G23" s="70">
        <f>ROUND((G10+G12+G14+G20+G22)/'4-ОМК'!H9,2)</f>
        <v>4125.5</v>
      </c>
      <c r="H23" s="70">
        <f>ROUND((H10+H12+H14+H20+H22)/'4-ОМК'!H10,2)</f>
        <v>3379.38</v>
      </c>
      <c r="I23" s="70">
        <f>ROUND((I10+I12+I14+I20+I22)/'4-ОМК'!H11,2)</f>
        <v>5453</v>
      </c>
      <c r="J23" s="91">
        <f>ROUND((J10+J12+J20+J22)/'4-ОМК'!K7,2)</f>
        <v>2108</v>
      </c>
      <c r="K23" s="55" t="s">
        <v>56</v>
      </c>
      <c r="L23" s="131">
        <f>SUM(E24:J24)+K25</f>
        <v>271109</v>
      </c>
      <c r="S23" s="11"/>
    </row>
    <row r="24" spans="1:19" ht="15" thickBot="1" x14ac:dyDescent="0.35">
      <c r="A24" s="46">
        <v>20</v>
      </c>
      <c r="B24" s="124" t="s">
        <v>89</v>
      </c>
      <c r="C24" s="101"/>
      <c r="D24" s="138"/>
      <c r="E24" s="67">
        <f>E10+E12+E14+E20+E22</f>
        <v>43050</v>
      </c>
      <c r="F24" s="71">
        <f t="shared" ref="F24:I24" si="1">F10+F12+F14+F20+F22</f>
        <v>22793</v>
      </c>
      <c r="G24" s="71">
        <f t="shared" si="1"/>
        <v>33004</v>
      </c>
      <c r="H24" s="71">
        <f t="shared" si="1"/>
        <v>27035</v>
      </c>
      <c r="I24" s="71">
        <f t="shared" si="1"/>
        <v>43624</v>
      </c>
      <c r="J24" s="92">
        <f>J10+J12+J20+J22</f>
        <v>6324</v>
      </c>
      <c r="K24" s="58" t="s">
        <v>56</v>
      </c>
      <c r="L24" s="132"/>
    </row>
    <row r="25" spans="1:19" ht="15" thickBot="1" x14ac:dyDescent="0.35">
      <c r="A25" s="46">
        <v>21</v>
      </c>
      <c r="B25" s="139" t="s">
        <v>91</v>
      </c>
      <c r="C25" s="140"/>
      <c r="D25" s="140"/>
      <c r="E25" s="140"/>
      <c r="F25" s="140"/>
      <c r="G25" s="140"/>
      <c r="H25" s="140"/>
      <c r="I25" s="140"/>
      <c r="J25" s="141"/>
      <c r="K25" s="64">
        <f>K20+K12+K10+SUM(K16:K18)</f>
        <v>95279</v>
      </c>
      <c r="L25" s="132"/>
    </row>
    <row r="26" spans="1:19" ht="15.6" thickTop="1" thickBot="1" x14ac:dyDescent="0.35">
      <c r="A26" s="48">
        <v>22</v>
      </c>
      <c r="B26" s="129" t="s">
        <v>90</v>
      </c>
      <c r="C26" s="130"/>
      <c r="D26" s="130"/>
      <c r="E26" s="130"/>
      <c r="F26" s="130"/>
      <c r="G26" s="130"/>
      <c r="H26" s="130"/>
      <c r="I26" s="130"/>
      <c r="J26" s="130"/>
      <c r="K26" s="130"/>
      <c r="L26" s="60">
        <f>L10+L12+L14+SUM(L16:L18)+L20+L22</f>
        <v>271109</v>
      </c>
    </row>
    <row r="27" spans="1:19" ht="15" thickTop="1" x14ac:dyDescent="0.3"/>
    <row r="28" spans="1:19" x14ac:dyDescent="0.3">
      <c r="K28" t="s">
        <v>95</v>
      </c>
      <c r="L28">
        <f>$L$26-$L$23</f>
        <v>0</v>
      </c>
      <c r="M28" s="49"/>
    </row>
    <row r="30" spans="1:19" x14ac:dyDescent="0.3">
      <c r="B30" s="99" t="s">
        <v>92</v>
      </c>
      <c r="C30" s="99"/>
      <c r="D30" s="14" t="s">
        <v>93</v>
      </c>
      <c r="E30" s="12" t="s">
        <v>22</v>
      </c>
      <c r="F30" s="99" t="s">
        <v>118</v>
      </c>
      <c r="G30" s="99"/>
      <c r="H30" s="99"/>
      <c r="I30" s="99"/>
      <c r="J30" s="99"/>
      <c r="K30" s="99"/>
      <c r="L30" s="99"/>
    </row>
    <row r="31" spans="1:19" x14ac:dyDescent="0.3">
      <c r="B31" s="38"/>
      <c r="C31" s="38"/>
      <c r="D31" s="38"/>
    </row>
    <row r="32" spans="1:19" x14ac:dyDescent="0.3">
      <c r="B32" s="38"/>
      <c r="C32" s="38"/>
      <c r="D32" s="38"/>
      <c r="J32" s="11"/>
    </row>
    <row r="33" spans="2:13" x14ac:dyDescent="0.3">
      <c r="B33" s="38"/>
      <c r="C33" s="38"/>
      <c r="D33" s="38"/>
    </row>
    <row r="34" spans="2:13" x14ac:dyDescent="0.3">
      <c r="B34" s="45"/>
      <c r="C34" s="45"/>
      <c r="D34" s="45"/>
      <c r="M34" s="11"/>
    </row>
  </sheetData>
  <mergeCells count="26"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K1:K3"/>
    <mergeCell ref="L1:L3"/>
    <mergeCell ref="E1:J1"/>
    <mergeCell ref="E3:J3"/>
    <mergeCell ref="B1:D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Lab3-TODO</vt:lpstr>
      <vt:lpstr>КаталогРазрабов</vt:lpstr>
      <vt:lpstr>ЭкспертныеДанные</vt:lpstr>
      <vt:lpstr>Каталоги</vt:lpstr>
      <vt:lpstr>4-ОМК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2023-10-08T14:15:30Z</dcterms:created>
  <dcterms:modified xsi:type="dcterms:W3CDTF">2023-10-29T11:55:46Z</dcterms:modified>
</cp:coreProperties>
</file>