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\GitHub projects\KursPro\PASKurs\лабораторные работы\l4\"/>
    </mc:Choice>
  </mc:AlternateContent>
  <bookViews>
    <workbookView xWindow="-120" yWindow="-120" windowWidth="29040" windowHeight="15840" firstSheet="2" activeTab="3"/>
  </bookViews>
  <sheets>
    <sheet name="PAS2 - TODO" sheetId="6" state="hidden" r:id="rId1"/>
    <sheet name="Lab3 - TODO" sheetId="7" state="hidden" r:id="rId2"/>
    <sheet name="lab4 - TODO" sheetId="8" r:id="rId3"/>
    <sheet name="PAS2 - 8" sheetId="5" r:id="rId4"/>
    <sheet name="Каталоги" sheetId="3" state="hidden" r:id="rId5"/>
    <sheet name="4-ОМК" sheetId="2" state="hidden" r:id="rId6"/>
    <sheet name="5-РКПСиОК" sheetId="1" state="hidden" r:id="rId7"/>
    <sheet name="6-РКИСиРК" sheetId="4" state="hidden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5" l="1"/>
  <c r="O21" i="5"/>
  <c r="O17" i="5"/>
  <c r="O15" i="5"/>
  <c r="N15" i="5"/>
  <c r="N21" i="5"/>
  <c r="P17" i="5"/>
  <c r="N19" i="5"/>
  <c r="N17" i="5"/>
  <c r="E24" i="5"/>
  <c r="L28" i="5"/>
  <c r="L23" i="5"/>
  <c r="K17" i="5" l="1"/>
  <c r="K18" i="5"/>
  <c r="K16" i="5"/>
  <c r="L17" i="5"/>
  <c r="L18" i="5"/>
  <c r="L16" i="5"/>
  <c r="G14" i="5"/>
  <c r="H14" i="5"/>
  <c r="I14" i="5"/>
  <c r="F14" i="5"/>
  <c r="E14" i="5"/>
  <c r="E7" i="5"/>
  <c r="J22" i="5"/>
  <c r="I22" i="5"/>
  <c r="H22" i="5"/>
  <c r="G22" i="5"/>
  <c r="F22" i="5"/>
  <c r="E22" i="5"/>
  <c r="J20" i="5"/>
  <c r="I20" i="5"/>
  <c r="H20" i="5"/>
  <c r="G20" i="5"/>
  <c r="F20" i="5"/>
  <c r="E20" i="5"/>
  <c r="J12" i="5"/>
  <c r="I12" i="5"/>
  <c r="H12" i="5"/>
  <c r="G12" i="5"/>
  <c r="F12" i="5"/>
  <c r="E12" i="5"/>
  <c r="J10" i="5"/>
  <c r="I10" i="5"/>
  <c r="H10" i="5"/>
  <c r="G10" i="5"/>
  <c r="F10" i="5"/>
  <c r="E10" i="5"/>
  <c r="H4" i="5"/>
  <c r="B4" i="2"/>
  <c r="K4" i="5" s="1"/>
  <c r="L7" i="2"/>
  <c r="J4" i="5" s="1"/>
  <c r="I11" i="2"/>
  <c r="I4" i="5" s="1"/>
  <c r="I10" i="2"/>
  <c r="I9" i="2"/>
  <c r="G4" i="5" s="1"/>
  <c r="I8" i="2"/>
  <c r="F4" i="5" s="1"/>
  <c r="I7" i="2"/>
  <c r="E4" i="5" s="1"/>
  <c r="K12" i="5"/>
  <c r="K10" i="5"/>
  <c r="K20" i="5"/>
  <c r="F28" i="1"/>
  <c r="F29" i="1"/>
  <c r="F30" i="1"/>
  <c r="F26" i="1"/>
  <c r="F27" i="1"/>
  <c r="D15" i="4"/>
  <c r="C12" i="4" s="1"/>
  <c r="D10" i="4"/>
  <c r="C7" i="4" s="1"/>
  <c r="E12" i="4"/>
  <c r="D12" i="4"/>
  <c r="E7" i="4"/>
  <c r="D7" i="4"/>
  <c r="J2" i="4"/>
  <c r="I2" i="4"/>
  <c r="G2" i="4"/>
  <c r="E2" i="4"/>
  <c r="D2" i="2"/>
  <c r="C2" i="2"/>
  <c r="F21" i="1"/>
  <c r="F22" i="1"/>
  <c r="F23" i="1"/>
  <c r="F24" i="1"/>
  <c r="F20" i="1"/>
  <c r="F18" i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  <c r="J23" i="5" l="1"/>
  <c r="G7" i="4"/>
  <c r="J24" i="5"/>
  <c r="L2" i="4"/>
  <c r="F25" i="1"/>
  <c r="H24" i="5" s="1"/>
  <c r="L20" i="5"/>
  <c r="L12" i="5"/>
  <c r="L22" i="5"/>
  <c r="L10" i="5"/>
  <c r="F31" i="1"/>
  <c r="I23" i="5" s="1"/>
  <c r="F7" i="1"/>
  <c r="E23" i="5" s="1"/>
  <c r="G12" i="4"/>
  <c r="F2" i="2"/>
  <c r="L4" i="5" s="1"/>
  <c r="F13" i="1"/>
  <c r="F23" i="5" s="1"/>
  <c r="F19" i="1"/>
  <c r="G24" i="5" s="1"/>
  <c r="G23" i="5" l="1"/>
  <c r="H23" i="5"/>
  <c r="I24" i="5"/>
  <c r="F24" i="5"/>
  <c r="L14" i="5"/>
  <c r="L26" i="5" s="1"/>
  <c r="K25" i="5"/>
</calcChain>
</file>

<file path=xl/sharedStrings.xml><?xml version="1.0" encoding="utf-8"?>
<sst xmlns="http://schemas.openxmlformats.org/spreadsheetml/2006/main" count="262" uniqueCount="133">
  <si>
    <t>З1</t>
  </si>
  <si>
    <t>З2</t>
  </si>
  <si>
    <t>З3</t>
  </si>
  <si>
    <t>З4</t>
  </si>
  <si>
    <t>З5</t>
  </si>
  <si>
    <t>П1</t>
  </si>
  <si>
    <t>П2</t>
  </si>
  <si>
    <t>П3</t>
  </si>
  <si>
    <t>П4</t>
  </si>
  <si>
    <t>П5</t>
  </si>
  <si>
    <t>Общая стоимость П1</t>
  </si>
  <si>
    <t>Общая стоимость П2</t>
  </si>
  <si>
    <t>Общая стоимость П3</t>
  </si>
  <si>
    <t>Общая стоимость П4</t>
  </si>
  <si>
    <t>Общая стоимость П5</t>
  </si>
  <si>
    <t>список задач приложения</t>
  </si>
  <si>
    <t>общее кол-во строк</t>
  </si>
  <si>
    <t>средняя производ.</t>
  </si>
  <si>
    <t>средняя зп</t>
  </si>
  <si>
    <t>стоимость прог.</t>
  </si>
  <si>
    <t>№ приложения</t>
  </si>
  <si>
    <t>КолСтанИС = КолСС + КолПС + КолЭС =</t>
  </si>
  <si>
    <t>=</t>
  </si>
  <si>
    <t>КолПС</t>
  </si>
  <si>
    <t>п1</t>
  </si>
  <si>
    <t>п2</t>
  </si>
  <si>
    <t>п3</t>
  </si>
  <si>
    <t>п4</t>
  </si>
  <si>
    <t>п5</t>
  </si>
  <si>
    <t>КолЭП</t>
  </si>
  <si>
    <t>эп1</t>
  </si>
  <si>
    <t xml:space="preserve">A4 </t>
  </si>
  <si>
    <t>Epson CX 4400</t>
  </si>
  <si>
    <t>Катран</t>
  </si>
  <si>
    <t>6 x 3.3GHz</t>
  </si>
  <si>
    <t>16 Gb</t>
  </si>
  <si>
    <t>2 Tb</t>
  </si>
  <si>
    <t>LCD</t>
  </si>
  <si>
    <t>27”</t>
  </si>
  <si>
    <t xml:space="preserve">стоимость создания ПС = </t>
  </si>
  <si>
    <t>Дневаня зп</t>
  </si>
  <si>
    <t>ФТД =</t>
  </si>
  <si>
    <t>Артибуты</t>
  </si>
  <si>
    <t>ПК</t>
  </si>
  <si>
    <t>ВК</t>
  </si>
  <si>
    <t>Средняя ЗП</t>
  </si>
  <si>
    <t>V вводимых данных</t>
  </si>
  <si>
    <t>Кол-во видов документов</t>
  </si>
  <si>
    <t>Ср размердок</t>
  </si>
  <si>
    <t>СР кол-во доков по виду</t>
  </si>
  <si>
    <t>ФАД =</t>
  </si>
  <si>
    <t>V данных для загрузки</t>
  </si>
  <si>
    <t>№</t>
  </si>
  <si>
    <t>не используется</t>
  </si>
  <si>
    <t>номер станции</t>
  </si>
  <si>
    <t>тип станции (1 - сервер, 2 - пользовательский)</t>
  </si>
  <si>
    <t>-</t>
  </si>
  <si>
    <t>организационная структура</t>
  </si>
  <si>
    <t>описание станций АСОИ</t>
  </si>
  <si>
    <t>СЕРВЕР</t>
  </si>
  <si>
    <t>ИТОГО</t>
  </si>
  <si>
    <t>Название СП</t>
  </si>
  <si>
    <t>Стоимость СП</t>
  </si>
  <si>
    <t>СП</t>
  </si>
  <si>
    <t>ИП</t>
  </si>
  <si>
    <t>Название ИП</t>
  </si>
  <si>
    <t>Стоимость ИП</t>
  </si>
  <si>
    <t>ПП</t>
  </si>
  <si>
    <t>БД</t>
  </si>
  <si>
    <t>ФТД</t>
  </si>
  <si>
    <t>ФАД</t>
  </si>
  <si>
    <t>Стоим. Загр ФТД</t>
  </si>
  <si>
    <t>Стоим. Загр ФАД</t>
  </si>
  <si>
    <t>Стоимость прил.</t>
  </si>
  <si>
    <t>Идент. Прил.</t>
  </si>
  <si>
    <t>ИС</t>
  </si>
  <si>
    <t>Идент. БД</t>
  </si>
  <si>
    <t>Стоим. Загр. БД</t>
  </si>
  <si>
    <t>ОС Windows 7</t>
  </si>
  <si>
    <t>ТС</t>
  </si>
  <si>
    <t>ПЭВМ</t>
  </si>
  <si>
    <t>Устр.</t>
  </si>
  <si>
    <t>Марка ПЭВМ</t>
  </si>
  <si>
    <t>Стоимость ПЭВМ</t>
  </si>
  <si>
    <t>Название устр.</t>
  </si>
  <si>
    <t>Стоимость устр.</t>
  </si>
  <si>
    <t>Картан</t>
  </si>
  <si>
    <t>Epson</t>
  </si>
  <si>
    <t>БД_Сервер</t>
  </si>
  <si>
    <t>Общая стоимость по группам П</t>
  </si>
  <si>
    <t>общая стоимость</t>
  </si>
  <si>
    <t>итого по серверу</t>
  </si>
  <si>
    <t>примечания:</t>
  </si>
  <si>
    <t xml:space="preserve">СтП </t>
  </si>
  <si>
    <t>СтП</t>
  </si>
  <si>
    <t>Ошибка =</t>
  </si>
  <si>
    <t>Windows 7</t>
  </si>
  <si>
    <t>2 х 3.0 GHz</t>
  </si>
  <si>
    <t>15 Gb</t>
  </si>
  <si>
    <t>500 Mb</t>
  </si>
  <si>
    <t>Microsoft Office</t>
  </si>
  <si>
    <t>2 х 2.8 GHz</t>
  </si>
  <si>
    <t>1 Gb</t>
  </si>
  <si>
    <t>Общая стоимость РС</t>
  </si>
  <si>
    <t>номера пользователей</t>
  </si>
  <si>
    <t>A4</t>
  </si>
  <si>
    <t>Sharp FX-125</t>
  </si>
  <si>
    <t>MySQL</t>
  </si>
  <si>
    <t>1.8 GHz</t>
  </si>
  <si>
    <t>КолСС =</t>
  </si>
  <si>
    <t>ЭП1</t>
  </si>
  <si>
    <t>ПП1</t>
  </si>
  <si>
    <t>ПП2</t>
  </si>
  <si>
    <t>ПП3</t>
  </si>
  <si>
    <t>ПП4</t>
  </si>
  <si>
    <t>ПП5</t>
  </si>
  <si>
    <t>№ CC</t>
  </si>
  <si>
    <t>Sharp</t>
  </si>
  <si>
    <t>MySQL, Visual Studio Code, Си, Microsoft Office</t>
  </si>
  <si>
    <t>Принтеры</t>
  </si>
  <si>
    <t>Программы</t>
  </si>
  <si>
    <t>подразделение</t>
  </si>
  <si>
    <t>кол-во ПЭВМ</t>
  </si>
  <si>
    <t>кол-во принтеров</t>
  </si>
  <si>
    <t>12 - 15</t>
  </si>
  <si>
    <t>27</t>
  </si>
  <si>
    <t>26</t>
  </si>
  <si>
    <t>16 - 18</t>
  </si>
  <si>
    <t>19 - 22</t>
  </si>
  <si>
    <t>23 - 25</t>
  </si>
  <si>
    <t>стоимость реализации</t>
  </si>
  <si>
    <t>Элемент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</si>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</sst>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23" xfId="0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0" xfId="0" applyFont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NumberFormat="1"/>
    <xf numFmtId="0" fontId="0" fillId="0" borderId="47" xfId="0" applyNumberFormat="1" applyBorder="1" applyAlignment="1">
      <alignment horizontal="center" vertical="center"/>
    </xf>
    <xf numFmtId="0" fontId="0" fillId="0" borderId="54" xfId="0" applyNumberFormat="1" applyBorder="1" applyAlignment="1">
      <alignment horizontal="center" vertical="center"/>
    </xf>
    <xf numFmtId="0" fontId="0" fillId="0" borderId="56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0" xfId="0" applyNumberFormat="1"/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9" fontId="0" fillId="0" borderId="70" xfId="0" applyNumberForma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49" fontId="0" fillId="0" borderId="53" xfId="0" applyNumberFormat="1" applyBorder="1" applyAlignment="1">
      <alignment horizontal="center" vertical="center"/>
    </xf>
    <xf numFmtId="49" fontId="0" fillId="0" borderId="74" xfId="0" applyNumberForma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81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82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97" xfId="0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5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E8" sqref="E8"/>
    </sheetView>
  </sheetViews>
  <sheetFormatPr defaultRowHeight="14.4" x14ac:dyDescent="0.3"/>
  <cols>
    <col min="3" max="3" width="17" customWidth="1"/>
    <col min="4" max="4" width="13.109375" customWidth="1"/>
    <col min="5" max="5" width="18.44140625" customWidth="1"/>
  </cols>
  <sheetData>
    <row r="3" spans="3:5" x14ac:dyDescent="0.3">
      <c r="C3" s="79" t="s">
        <v>121</v>
      </c>
      <c r="D3" s="79" t="s">
        <v>122</v>
      </c>
      <c r="E3" s="79" t="s">
        <v>123</v>
      </c>
    </row>
    <row r="4" spans="3:5" x14ac:dyDescent="0.3">
      <c r="C4" s="79" t="s">
        <v>5</v>
      </c>
      <c r="D4" s="79">
        <v>11</v>
      </c>
      <c r="E4" s="79">
        <v>6</v>
      </c>
    </row>
    <row r="5" spans="3:5" x14ac:dyDescent="0.3">
      <c r="C5" s="79" t="s">
        <v>6</v>
      </c>
      <c r="D5" s="79">
        <v>4</v>
      </c>
      <c r="E5" s="79">
        <v>2</v>
      </c>
    </row>
    <row r="6" spans="3:5" x14ac:dyDescent="0.3">
      <c r="C6" s="79" t="s">
        <v>7</v>
      </c>
      <c r="D6" s="79">
        <v>3</v>
      </c>
      <c r="E6" s="79">
        <v>2</v>
      </c>
    </row>
    <row r="7" spans="3:5" x14ac:dyDescent="0.3">
      <c r="C7" s="79" t="s">
        <v>8</v>
      </c>
      <c r="D7" s="79">
        <v>4</v>
      </c>
      <c r="E7" s="79">
        <v>3</v>
      </c>
    </row>
    <row r="8" spans="3:5" x14ac:dyDescent="0.3">
      <c r="C8" s="79" t="s">
        <v>9</v>
      </c>
      <c r="D8" s="79">
        <v>3</v>
      </c>
      <c r="E8" s="79">
        <v>2</v>
      </c>
    </row>
    <row r="9" spans="3:5" x14ac:dyDescent="0.3">
      <c r="C9" s="79" t="s">
        <v>110</v>
      </c>
      <c r="D9" s="79">
        <v>1</v>
      </c>
      <c r="E9" s="7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J9"/>
  <sheetViews>
    <sheetView workbookViewId="0">
      <selection activeCell="J10" sqref="J10"/>
    </sheetView>
  </sheetViews>
  <sheetFormatPr defaultRowHeight="14.4" x14ac:dyDescent="0.3"/>
  <cols>
    <col min="5" max="5" width="21.33203125" customWidth="1"/>
  </cols>
  <sheetData>
    <row r="8" spans="5:10" x14ac:dyDescent="0.3">
      <c r="E8" s="79" t="s">
        <v>121</v>
      </c>
      <c r="F8" s="79" t="s">
        <v>5</v>
      </c>
      <c r="G8" s="79" t="s">
        <v>6</v>
      </c>
      <c r="H8" s="79" t="s">
        <v>7</v>
      </c>
      <c r="I8" s="79" t="s">
        <v>8</v>
      </c>
      <c r="J8" s="79" t="s">
        <v>9</v>
      </c>
    </row>
    <row r="9" spans="5:10" x14ac:dyDescent="0.3">
      <c r="E9" s="79" t="s">
        <v>130</v>
      </c>
      <c r="F9" s="79">
        <v>7290</v>
      </c>
      <c r="G9" s="79">
        <v>8190</v>
      </c>
      <c r="H9" s="79">
        <v>6615</v>
      </c>
      <c r="I9" s="79">
        <v>7630</v>
      </c>
      <c r="J9" s="79">
        <v>19030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E14"/>
  <sheetViews>
    <sheetView workbookViewId="0">
      <selection activeCell="L15" sqref="L15"/>
    </sheetView>
  </sheetViews>
  <sheetFormatPr defaultRowHeight="14.4" x14ac:dyDescent="0.3"/>
  <sheetData>
    <row r="11" spans="4:5" x14ac:dyDescent="0.3">
      <c r="D11" s="79" t="s">
        <v>131</v>
      </c>
      <c r="E11" s="79" t="s">
        <v>132</v>
      </c>
    </row>
    <row r="12" spans="4:5" x14ac:dyDescent="0.3">
      <c r="D12" s="79" t="s">
        <v>68</v>
      </c>
      <c r="E12" s="79">
        <v>6200</v>
      </c>
    </row>
    <row r="13" spans="4:5" x14ac:dyDescent="0.3">
      <c r="D13" s="79" t="s">
        <v>69</v>
      </c>
      <c r="E13" s="79">
        <v>12440</v>
      </c>
    </row>
    <row r="14" spans="4:5" x14ac:dyDescent="0.3">
      <c r="D14" s="79" t="s">
        <v>70</v>
      </c>
      <c r="E14" s="79">
        <v>20244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G1" zoomScale="85" zoomScaleNormal="85" workbookViewId="0">
      <selection activeCell="O20" sqref="O20"/>
    </sheetView>
  </sheetViews>
  <sheetFormatPr defaultRowHeight="14.4" x14ac:dyDescent="0.3"/>
  <cols>
    <col min="4" max="4" width="16.109375" customWidth="1"/>
    <col min="5" max="5" width="13.5546875" customWidth="1"/>
    <col min="6" max="6" width="14.44140625" customWidth="1"/>
    <col min="7" max="7" width="14.6640625" customWidth="1"/>
    <col min="8" max="8" width="13.5546875" customWidth="1"/>
    <col min="9" max="9" width="13.88671875" customWidth="1"/>
    <col min="10" max="10" width="14.109375" customWidth="1"/>
    <col min="11" max="11" width="15.33203125" customWidth="1"/>
    <col min="12" max="12" width="10.88671875" customWidth="1"/>
    <col min="14" max="14" width="10.33203125" customWidth="1"/>
  </cols>
  <sheetData>
    <row r="1" spans="1:17" x14ac:dyDescent="0.3">
      <c r="A1" s="142" t="s">
        <v>52</v>
      </c>
      <c r="B1" s="133" t="s">
        <v>58</v>
      </c>
      <c r="C1" s="134"/>
      <c r="D1" s="135"/>
      <c r="E1" s="127" t="s">
        <v>57</v>
      </c>
      <c r="F1" s="128"/>
      <c r="G1" s="128"/>
      <c r="H1" s="128"/>
      <c r="I1" s="128"/>
      <c r="J1" s="129"/>
      <c r="K1" s="123" t="s">
        <v>59</v>
      </c>
      <c r="L1" s="125" t="s">
        <v>60</v>
      </c>
    </row>
    <row r="2" spans="1:17" x14ac:dyDescent="0.3">
      <c r="A2" s="142"/>
      <c r="B2" s="133"/>
      <c r="C2" s="134"/>
      <c r="D2" s="135"/>
      <c r="E2" s="67" t="s">
        <v>5</v>
      </c>
      <c r="F2" s="69" t="s">
        <v>6</v>
      </c>
      <c r="G2" s="55" t="s">
        <v>7</v>
      </c>
      <c r="H2" s="69" t="s">
        <v>8</v>
      </c>
      <c r="I2" s="55" t="s">
        <v>9</v>
      </c>
      <c r="J2" s="68" t="s">
        <v>110</v>
      </c>
      <c r="K2" s="123"/>
      <c r="L2" s="125"/>
    </row>
    <row r="3" spans="1:17" x14ac:dyDescent="0.3">
      <c r="A3" s="142"/>
      <c r="B3" s="133"/>
      <c r="C3" s="134"/>
      <c r="D3" s="135"/>
      <c r="E3" s="130" t="s">
        <v>104</v>
      </c>
      <c r="F3" s="131"/>
      <c r="G3" s="131"/>
      <c r="H3" s="131"/>
      <c r="I3" s="131"/>
      <c r="J3" s="132"/>
      <c r="K3" s="124"/>
      <c r="L3" s="126"/>
      <c r="O3" s="82"/>
    </row>
    <row r="4" spans="1:17" ht="15" thickBot="1" x14ac:dyDescent="0.35">
      <c r="A4" s="143"/>
      <c r="B4" s="136"/>
      <c r="C4" s="137"/>
      <c r="D4" s="138"/>
      <c r="E4" s="73" t="str">
        <f>'4-ОМК'!I7</f>
        <v>1 -  11</v>
      </c>
      <c r="F4" s="74" t="str">
        <f>'4-ОМК'!I8</f>
        <v>12 - 18</v>
      </c>
      <c r="G4" s="75" t="str">
        <f>'4-ОМК'!I9</f>
        <v>19 - 26</v>
      </c>
      <c r="H4" s="75" t="str">
        <f>'4-ОМК'!I10</f>
        <v>27 - 34</v>
      </c>
      <c r="I4" s="75" t="str">
        <f>'4-ОМК'!I11</f>
        <v>35 - 42</v>
      </c>
      <c r="J4" s="76" t="str">
        <f>'4-ОМК'!L7</f>
        <v>43 - 45</v>
      </c>
      <c r="K4" s="51">
        <f>'4-ОМК'!B4</f>
        <v>46</v>
      </c>
      <c r="L4" s="47">
        <f>'4-ОМК'!F2</f>
        <v>46</v>
      </c>
    </row>
    <row r="5" spans="1:17" ht="14.25" customHeight="1" thickTop="1" x14ac:dyDescent="0.3">
      <c r="A5" s="46">
        <v>1</v>
      </c>
      <c r="B5" s="156" t="s">
        <v>53</v>
      </c>
      <c r="C5" s="156"/>
      <c r="D5" s="157"/>
      <c r="E5" s="60" t="s">
        <v>56</v>
      </c>
      <c r="F5" s="87" t="s">
        <v>56</v>
      </c>
      <c r="G5" s="66" t="s">
        <v>56</v>
      </c>
      <c r="H5" s="87" t="s">
        <v>56</v>
      </c>
      <c r="I5" s="87" t="s">
        <v>56</v>
      </c>
      <c r="J5" s="91" t="s">
        <v>56</v>
      </c>
      <c r="K5" s="95" t="s">
        <v>56</v>
      </c>
      <c r="L5" s="49" t="s">
        <v>56</v>
      </c>
    </row>
    <row r="6" spans="1:17" x14ac:dyDescent="0.3">
      <c r="A6" s="84">
        <v>2</v>
      </c>
      <c r="B6" s="144" t="s">
        <v>53</v>
      </c>
      <c r="C6" s="145"/>
      <c r="D6" s="146"/>
      <c r="E6" s="67" t="s">
        <v>56</v>
      </c>
      <c r="F6" s="62" t="s">
        <v>56</v>
      </c>
      <c r="G6" s="88" t="s">
        <v>56</v>
      </c>
      <c r="H6" s="62" t="s">
        <v>56</v>
      </c>
      <c r="I6" s="88" t="s">
        <v>56</v>
      </c>
      <c r="J6" s="52" t="s">
        <v>56</v>
      </c>
      <c r="K6" s="94" t="s">
        <v>56</v>
      </c>
      <c r="L6" s="96" t="s">
        <v>56</v>
      </c>
    </row>
    <row r="7" spans="1:17" x14ac:dyDescent="0.3">
      <c r="A7" s="83">
        <v>3</v>
      </c>
      <c r="B7" s="144" t="s">
        <v>54</v>
      </c>
      <c r="C7" s="145"/>
      <c r="D7" s="146"/>
      <c r="E7" s="77" t="str">
        <f>E4</f>
        <v>1 -  11</v>
      </c>
      <c r="F7" s="86" t="s">
        <v>124</v>
      </c>
      <c r="G7" s="86" t="s">
        <v>127</v>
      </c>
      <c r="H7" s="89" t="s">
        <v>128</v>
      </c>
      <c r="I7" s="86" t="s">
        <v>129</v>
      </c>
      <c r="J7" s="92" t="s">
        <v>126</v>
      </c>
      <c r="K7" s="93" t="s">
        <v>125</v>
      </c>
      <c r="L7" s="97">
        <v>27</v>
      </c>
    </row>
    <row r="8" spans="1:17" ht="27" customHeight="1" thickBot="1" x14ac:dyDescent="0.35">
      <c r="A8" s="83">
        <v>4</v>
      </c>
      <c r="B8" s="147" t="s">
        <v>55</v>
      </c>
      <c r="C8" s="148"/>
      <c r="D8" s="149"/>
      <c r="E8" s="85">
        <v>2</v>
      </c>
      <c r="F8" s="63">
        <v>2</v>
      </c>
      <c r="G8" s="63">
        <v>2</v>
      </c>
      <c r="H8" s="90">
        <v>2</v>
      </c>
      <c r="I8" s="63">
        <v>2</v>
      </c>
      <c r="J8" s="54">
        <v>2</v>
      </c>
      <c r="K8" s="54">
        <v>1</v>
      </c>
      <c r="L8" s="50" t="s">
        <v>56</v>
      </c>
    </row>
    <row r="9" spans="1:17" x14ac:dyDescent="0.3">
      <c r="A9" s="83">
        <v>5</v>
      </c>
      <c r="B9" s="158" t="s">
        <v>67</v>
      </c>
      <c r="C9" s="150" t="s">
        <v>63</v>
      </c>
      <c r="D9" s="52" t="s">
        <v>61</v>
      </c>
      <c r="E9" s="101" t="s">
        <v>78</v>
      </c>
      <c r="F9" s="65" t="s">
        <v>78</v>
      </c>
      <c r="G9" s="71" t="s">
        <v>78</v>
      </c>
      <c r="H9" s="65" t="s">
        <v>78</v>
      </c>
      <c r="I9" s="71" t="s">
        <v>78</v>
      </c>
      <c r="J9" s="53" t="s">
        <v>78</v>
      </c>
      <c r="K9" s="110" t="s">
        <v>78</v>
      </c>
      <c r="L9" s="46" t="s">
        <v>56</v>
      </c>
    </row>
    <row r="10" spans="1:17" x14ac:dyDescent="0.3">
      <c r="A10" s="46">
        <v>6</v>
      </c>
      <c r="B10" s="159"/>
      <c r="C10" s="151"/>
      <c r="D10" s="80" t="s">
        <v>62</v>
      </c>
      <c r="E10" s="98">
        <f>'PAS2 - TODO'!D4*Каталоги!AA2</f>
        <v>2860</v>
      </c>
      <c r="F10" s="100">
        <f>'PAS2 - TODO'!D5*Каталоги!AA2</f>
        <v>1040</v>
      </c>
      <c r="G10" s="102">
        <f>'PAS2 - TODO'!D6*Каталоги!AA2</f>
        <v>780</v>
      </c>
      <c r="H10" s="102">
        <f>'PAS2 - TODO'!D7*Каталоги!AA2</f>
        <v>1040</v>
      </c>
      <c r="I10" s="102">
        <f>'PAS2 - TODO'!D8*Каталоги!AA2</f>
        <v>780</v>
      </c>
      <c r="J10" s="104">
        <f>'PAS2 - TODO'!D9*Каталоги!AA2</f>
        <v>260</v>
      </c>
      <c r="K10" s="52">
        <f>Каталоги!AA2</f>
        <v>260</v>
      </c>
      <c r="L10" s="96">
        <f>SUM(E10:K10)</f>
        <v>7020</v>
      </c>
    </row>
    <row r="11" spans="1:17" x14ac:dyDescent="0.3">
      <c r="A11" s="84">
        <v>7</v>
      </c>
      <c r="B11" s="159"/>
      <c r="C11" s="152" t="s">
        <v>64</v>
      </c>
      <c r="D11" s="80" t="s">
        <v>65</v>
      </c>
      <c r="E11" s="99" t="s">
        <v>94</v>
      </c>
      <c r="F11" s="100" t="s">
        <v>94</v>
      </c>
      <c r="G11" s="102" t="s">
        <v>94</v>
      </c>
      <c r="H11" s="64" t="s">
        <v>94</v>
      </c>
      <c r="I11" s="64" t="s">
        <v>94</v>
      </c>
      <c r="J11" s="57" t="s">
        <v>94</v>
      </c>
      <c r="K11" s="109" t="s">
        <v>107</v>
      </c>
      <c r="L11" s="96" t="s">
        <v>56</v>
      </c>
    </row>
    <row r="12" spans="1:17" x14ac:dyDescent="0.3">
      <c r="A12" s="84">
        <v>8</v>
      </c>
      <c r="B12" s="159"/>
      <c r="C12" s="153"/>
      <c r="D12" s="52" t="s">
        <v>66</v>
      </c>
      <c r="E12" s="67">
        <f>'PAS2 - TODO'!D4*(SUM(Каталоги!AA3:AA4))</f>
        <v>3190</v>
      </c>
      <c r="F12" s="88">
        <f>'PAS2 - TODO'!D5*(SUM(Каталоги!AA3:AA4))</f>
        <v>1160</v>
      </c>
      <c r="G12" s="62">
        <f>'PAS2 - TODO'!D6*(SUM(Каталоги!AA3:AA4))</f>
        <v>870</v>
      </c>
      <c r="H12" s="55">
        <f>'PAS2 - TODO'!D7*(SUM(Каталоги!AA3:AA4))</f>
        <v>1160</v>
      </c>
      <c r="I12" s="55">
        <f>'PAS2 - TODO'!D8*(SUM(Каталоги!AA3:AA4))</f>
        <v>870</v>
      </c>
      <c r="J12" s="105">
        <f>'PAS2 - TODO'!D9*(SUM(Каталоги!AA3:AA4))</f>
        <v>290</v>
      </c>
      <c r="K12" s="109">
        <f>Каталоги!AA3</f>
        <v>50</v>
      </c>
      <c r="L12" s="97">
        <f>SUM(E12:K12)</f>
        <v>7590</v>
      </c>
    </row>
    <row r="13" spans="1:17" x14ac:dyDescent="0.3">
      <c r="A13" s="84">
        <v>9</v>
      </c>
      <c r="B13" s="159"/>
      <c r="C13" s="154" t="s">
        <v>67</v>
      </c>
      <c r="D13" s="80" t="s">
        <v>74</v>
      </c>
      <c r="E13" s="67" t="s">
        <v>111</v>
      </c>
      <c r="F13" s="88" t="s">
        <v>112</v>
      </c>
      <c r="G13" s="55" t="s">
        <v>113</v>
      </c>
      <c r="H13" s="55" t="s">
        <v>114</v>
      </c>
      <c r="I13" s="55" t="s">
        <v>115</v>
      </c>
      <c r="J13" s="68" t="s">
        <v>56</v>
      </c>
      <c r="K13" s="107" t="s">
        <v>56</v>
      </c>
      <c r="L13" s="97" t="s">
        <v>56</v>
      </c>
    </row>
    <row r="14" spans="1:17" ht="15" thickBot="1" x14ac:dyDescent="0.35">
      <c r="A14" s="84">
        <v>10</v>
      </c>
      <c r="B14" s="160"/>
      <c r="C14" s="155"/>
      <c r="D14" s="119" t="s">
        <v>73</v>
      </c>
      <c r="E14" s="61">
        <f>'Lab3 - TODO'!F9</f>
        <v>7290</v>
      </c>
      <c r="F14" s="90">
        <f>'Lab3 - TODO'!G9</f>
        <v>8190</v>
      </c>
      <c r="G14" s="90">
        <f>'Lab3 - TODO'!H9</f>
        <v>6615</v>
      </c>
      <c r="H14" s="90">
        <f>'Lab3 - TODO'!I9</f>
        <v>7630</v>
      </c>
      <c r="I14" s="90">
        <f>'Lab3 - TODO'!J9</f>
        <v>19030</v>
      </c>
      <c r="J14" s="54" t="s">
        <v>56</v>
      </c>
      <c r="K14" s="108" t="s">
        <v>56</v>
      </c>
      <c r="L14" s="50">
        <f>SUM(E14:K14)</f>
        <v>48755</v>
      </c>
    </row>
    <row r="15" spans="1:17" x14ac:dyDescent="0.3">
      <c r="A15" s="84">
        <v>11</v>
      </c>
      <c r="B15" s="139" t="s">
        <v>75</v>
      </c>
      <c r="C15" s="161" t="s">
        <v>68</v>
      </c>
      <c r="D15" s="111" t="s">
        <v>76</v>
      </c>
      <c r="E15" s="59" t="s">
        <v>56</v>
      </c>
      <c r="F15" s="117" t="s">
        <v>56</v>
      </c>
      <c r="G15" s="117" t="s">
        <v>56</v>
      </c>
      <c r="H15" s="117" t="s">
        <v>56</v>
      </c>
      <c r="I15" s="62" t="s">
        <v>56</v>
      </c>
      <c r="J15" s="114" t="s">
        <v>56</v>
      </c>
      <c r="K15" s="52" t="s">
        <v>88</v>
      </c>
      <c r="L15" s="118" t="s">
        <v>56</v>
      </c>
      <c r="N15">
        <f>E22+E20+E14+F14+F20+F22+I14+I20+I22+L16+K20</f>
        <v>69712</v>
      </c>
      <c r="O15">
        <f>N15*1.2</f>
        <v>83654.399999999994</v>
      </c>
      <c r="Q15" s="11"/>
    </row>
    <row r="16" spans="1:17" x14ac:dyDescent="0.3">
      <c r="A16" s="46">
        <v>12</v>
      </c>
      <c r="B16" s="140"/>
      <c r="C16" s="153"/>
      <c r="D16" s="80" t="s">
        <v>77</v>
      </c>
      <c r="E16" s="67" t="s">
        <v>56</v>
      </c>
      <c r="F16" s="62" t="s">
        <v>56</v>
      </c>
      <c r="G16" s="103" t="s">
        <v>56</v>
      </c>
      <c r="H16" s="55" t="s">
        <v>56</v>
      </c>
      <c r="I16" s="55" t="s">
        <v>56</v>
      </c>
      <c r="J16" s="68" t="s">
        <v>56</v>
      </c>
      <c r="K16" s="109">
        <f>'lab4 - TODO'!E12</f>
        <v>6200</v>
      </c>
      <c r="L16" s="97">
        <f>'lab4 - TODO'!E12</f>
        <v>6200</v>
      </c>
    </row>
    <row r="17" spans="1:19" x14ac:dyDescent="0.3">
      <c r="A17" s="84">
        <v>13</v>
      </c>
      <c r="B17" s="140"/>
      <c r="C17" s="55" t="s">
        <v>69</v>
      </c>
      <c r="D17" s="68" t="s">
        <v>71</v>
      </c>
      <c r="E17" s="67" t="s">
        <v>56</v>
      </c>
      <c r="F17" s="88" t="s">
        <v>56</v>
      </c>
      <c r="G17" s="103" t="s">
        <v>56</v>
      </c>
      <c r="H17" s="62" t="s">
        <v>56</v>
      </c>
      <c r="I17" s="55" t="s">
        <v>56</v>
      </c>
      <c r="J17" s="52" t="s">
        <v>56</v>
      </c>
      <c r="K17" s="109">
        <f>'lab4 - TODO'!E13</f>
        <v>12440</v>
      </c>
      <c r="L17" s="121">
        <f>'lab4 - TODO'!E13</f>
        <v>12440</v>
      </c>
      <c r="N17">
        <f>L17+J22+J20+H20+H22+H14</f>
        <v>28000</v>
      </c>
      <c r="O17">
        <f>N17*1.2</f>
        <v>33600</v>
      </c>
      <c r="P17" s="48">
        <f>1.2*SUM(N15:N19)</f>
        <v>172578</v>
      </c>
    </row>
    <row r="18" spans="1:19" ht="15" thickBot="1" x14ac:dyDescent="0.35">
      <c r="A18" s="46">
        <v>14</v>
      </c>
      <c r="B18" s="141"/>
      <c r="C18" s="112" t="s">
        <v>70</v>
      </c>
      <c r="D18" s="113" t="s">
        <v>72</v>
      </c>
      <c r="E18" s="85" t="s">
        <v>56</v>
      </c>
      <c r="F18" s="90" t="s">
        <v>56</v>
      </c>
      <c r="G18" s="63" t="s">
        <v>56</v>
      </c>
      <c r="H18" s="90" t="s">
        <v>56</v>
      </c>
      <c r="I18" s="63" t="s">
        <v>56</v>
      </c>
      <c r="J18" s="113" t="s">
        <v>56</v>
      </c>
      <c r="K18" s="109">
        <f>'lab4 - TODO'!E14</f>
        <v>20244</v>
      </c>
      <c r="L18" s="122">
        <f>'lab4 - TODO'!E14</f>
        <v>20244</v>
      </c>
      <c r="M18" s="11"/>
      <c r="N18" s="11"/>
    </row>
    <row r="19" spans="1:19" x14ac:dyDescent="0.3">
      <c r="A19" s="84">
        <v>15</v>
      </c>
      <c r="B19" s="167" t="s">
        <v>79</v>
      </c>
      <c r="C19" s="150" t="s">
        <v>80</v>
      </c>
      <c r="D19" s="114" t="s">
        <v>82</v>
      </c>
      <c r="E19" s="116" t="s">
        <v>86</v>
      </c>
      <c r="F19" s="117" t="s">
        <v>86</v>
      </c>
      <c r="G19" s="65" t="s">
        <v>86</v>
      </c>
      <c r="H19" s="65" t="s">
        <v>86</v>
      </c>
      <c r="I19" s="117" t="s">
        <v>86</v>
      </c>
      <c r="J19" s="53" t="s">
        <v>86</v>
      </c>
      <c r="K19" s="115" t="s">
        <v>86</v>
      </c>
      <c r="L19" s="46" t="s">
        <v>56</v>
      </c>
      <c r="N19">
        <f>L18+G22+G20+L12+L10+G14</f>
        <v>46103</v>
      </c>
      <c r="O19">
        <f>N19*1.2</f>
        <v>55323.6</v>
      </c>
    </row>
    <row r="20" spans="1:19" x14ac:dyDescent="0.3">
      <c r="A20" s="84">
        <v>16</v>
      </c>
      <c r="B20" s="168"/>
      <c r="C20" s="151"/>
      <c r="D20" s="68" t="s">
        <v>83</v>
      </c>
      <c r="E20" s="67">
        <f>'PAS2 - TODO'!D4*Каталоги!$R$2</f>
        <v>15598</v>
      </c>
      <c r="F20" s="62">
        <f>'PAS2 - TODO'!D5*Каталоги!$R$2</f>
        <v>5672</v>
      </c>
      <c r="G20" s="55">
        <f>'PAS2 - TODO'!D6*Каталоги!$R$2</f>
        <v>4254</v>
      </c>
      <c r="H20" s="88">
        <f>'PAS2 - TODO'!D7*Каталоги!$R$2</f>
        <v>5672</v>
      </c>
      <c r="I20" s="62">
        <f>'PAS2 - TODO'!D8*Каталоги!$R$2</f>
        <v>4254</v>
      </c>
      <c r="J20" s="68">
        <f>'PAS2 - TODO'!D9*Каталоги!R2</f>
        <v>1418</v>
      </c>
      <c r="K20" s="52">
        <f>'4-ОМК'!B2*Каталоги!R2</f>
        <v>1418</v>
      </c>
      <c r="L20" s="97">
        <f>SUM(E20:K20)</f>
        <v>38286</v>
      </c>
      <c r="M20" s="7"/>
    </row>
    <row r="21" spans="1:19" x14ac:dyDescent="0.3">
      <c r="A21" s="83">
        <v>17</v>
      </c>
      <c r="B21" s="168"/>
      <c r="C21" s="154" t="s">
        <v>81</v>
      </c>
      <c r="D21" s="52" t="s">
        <v>84</v>
      </c>
      <c r="E21" s="67" t="s">
        <v>87</v>
      </c>
      <c r="F21" s="55" t="s">
        <v>87</v>
      </c>
      <c r="G21" s="88" t="s">
        <v>117</v>
      </c>
      <c r="H21" s="55" t="s">
        <v>87</v>
      </c>
      <c r="I21" s="88" t="s">
        <v>117</v>
      </c>
      <c r="J21" s="106" t="s">
        <v>87</v>
      </c>
      <c r="K21" s="109" t="s">
        <v>56</v>
      </c>
      <c r="L21" s="97" t="s">
        <v>56</v>
      </c>
      <c r="N21">
        <f>SUM(N15:N19)</f>
        <v>143815</v>
      </c>
      <c r="O21">
        <f>SUM(O15:O19)</f>
        <v>172578</v>
      </c>
    </row>
    <row r="22" spans="1:19" ht="15" thickBot="1" x14ac:dyDescent="0.35">
      <c r="A22" s="83">
        <v>18</v>
      </c>
      <c r="B22" s="169"/>
      <c r="C22" s="155"/>
      <c r="D22" s="113" t="s">
        <v>85</v>
      </c>
      <c r="E22" s="61">
        <f>'PAS2 - TODO'!E4*Каталоги!$G$3</f>
        <v>1260</v>
      </c>
      <c r="F22" s="63">
        <f>'PAS2 - TODO'!E5*Каталоги!$G$3</f>
        <v>420</v>
      </c>
      <c r="G22" s="120">
        <f>'PAS2 - TODO'!E6*Каталоги!$G$2</f>
        <v>380</v>
      </c>
      <c r="H22" s="63">
        <f>'PAS2 - TODO'!E7*Каталоги!$G$3</f>
        <v>630</v>
      </c>
      <c r="I22" s="90">
        <f>'PAS2 - TODO'!E8*Каталоги!$G$2</f>
        <v>380</v>
      </c>
      <c r="J22" s="54">
        <f>'PAS2 - TODO'!E9*Каталоги!G3</f>
        <v>210</v>
      </c>
      <c r="K22" s="54" t="s">
        <v>56</v>
      </c>
      <c r="L22" s="50">
        <f>SUM(E22:K22)</f>
        <v>3280</v>
      </c>
    </row>
    <row r="23" spans="1:19" x14ac:dyDescent="0.3">
      <c r="A23" s="83">
        <v>19</v>
      </c>
      <c r="B23" s="170" t="s">
        <v>103</v>
      </c>
      <c r="C23" s="171"/>
      <c r="D23" s="172"/>
      <c r="E23" s="116">
        <f>ROUND((E10+E12+E14+E20+E22)/'4-ОМК'!H7, 2)</f>
        <v>2745.27</v>
      </c>
      <c r="F23" s="62">
        <f>ROUND((F10+F12+F14+F20+F22)/'4-ОМК'!H8,2)</f>
        <v>2354.5700000000002</v>
      </c>
      <c r="G23" s="62">
        <f>ROUND((G10+G12+G14+G20+G22)/'4-ОМК'!H9,2)</f>
        <v>1612.38</v>
      </c>
      <c r="H23" s="62">
        <f>ROUND((H10+H12+H14+H20+H22)/'4-ОМК'!H10,2)</f>
        <v>2016.5</v>
      </c>
      <c r="I23" s="62">
        <f>ROUND((I10+I12+I14+I20+I22)/'4-ОМК'!H11,2)</f>
        <v>3164.25</v>
      </c>
      <c r="J23" s="114">
        <f>ROUND((J10+J12+J20+J22)/'4-ОМК'!K7,2)</f>
        <v>726</v>
      </c>
      <c r="K23" s="115" t="s">
        <v>56</v>
      </c>
      <c r="L23" s="165">
        <f>SUM(E24:J24)+K25</f>
        <v>143815</v>
      </c>
      <c r="S23" s="11"/>
    </row>
    <row r="24" spans="1:19" ht="15" thickBot="1" x14ac:dyDescent="0.35">
      <c r="A24" s="46">
        <v>20</v>
      </c>
      <c r="B24" s="141" t="s">
        <v>89</v>
      </c>
      <c r="C24" s="173"/>
      <c r="D24" s="174"/>
      <c r="E24" s="61">
        <f>E10+E12+E14+E20+E22</f>
        <v>30198</v>
      </c>
      <c r="F24" s="90">
        <f t="shared" ref="F24:I24" si="0">F10+F12+F14+F20+F22</f>
        <v>16482</v>
      </c>
      <c r="G24" s="90">
        <f t="shared" si="0"/>
        <v>12899</v>
      </c>
      <c r="H24" s="90">
        <f t="shared" si="0"/>
        <v>16132</v>
      </c>
      <c r="I24" s="90">
        <f t="shared" si="0"/>
        <v>25314</v>
      </c>
      <c r="J24" s="78">
        <f>J10+J12+J20+J22</f>
        <v>2178</v>
      </c>
      <c r="K24" s="54" t="s">
        <v>56</v>
      </c>
      <c r="L24" s="166"/>
    </row>
    <row r="25" spans="1:19" ht="15" thickBot="1" x14ac:dyDescent="0.35">
      <c r="A25" s="84">
        <v>21</v>
      </c>
      <c r="B25" s="175" t="s">
        <v>91</v>
      </c>
      <c r="C25" s="176"/>
      <c r="D25" s="176"/>
      <c r="E25" s="176"/>
      <c r="F25" s="176"/>
      <c r="G25" s="176"/>
      <c r="H25" s="176"/>
      <c r="I25" s="176"/>
      <c r="J25" s="177"/>
      <c r="K25" s="58">
        <f>K20+K12+K10+SUM(K16:K18)</f>
        <v>40612</v>
      </c>
      <c r="L25" s="166"/>
    </row>
    <row r="26" spans="1:19" ht="15.6" thickTop="1" thickBot="1" x14ac:dyDescent="0.35">
      <c r="A26" s="47">
        <v>22</v>
      </c>
      <c r="B26" s="162" t="s">
        <v>90</v>
      </c>
      <c r="C26" s="163"/>
      <c r="D26" s="163"/>
      <c r="E26" s="163"/>
      <c r="F26" s="163"/>
      <c r="G26" s="163"/>
      <c r="H26" s="163"/>
      <c r="I26" s="163"/>
      <c r="J26" s="163"/>
      <c r="K26" s="163"/>
      <c r="L26" s="81">
        <f>L10+L12+L14+SUM(L16:L18)+L20+L22</f>
        <v>143815</v>
      </c>
    </row>
    <row r="27" spans="1:19" ht="15" thickTop="1" x14ac:dyDescent="0.3"/>
    <row r="28" spans="1:19" x14ac:dyDescent="0.3">
      <c r="K28" t="s">
        <v>95</v>
      </c>
      <c r="L28">
        <f>$L$26-$L$23</f>
        <v>0</v>
      </c>
      <c r="M28" s="48"/>
    </row>
    <row r="30" spans="1:19" x14ac:dyDescent="0.3">
      <c r="B30" s="164" t="s">
        <v>92</v>
      </c>
      <c r="C30" s="164"/>
      <c r="D30" s="14" t="s">
        <v>93</v>
      </c>
      <c r="E30" s="12" t="s">
        <v>22</v>
      </c>
      <c r="F30" s="164" t="s">
        <v>118</v>
      </c>
      <c r="G30" s="164"/>
      <c r="H30" s="164"/>
      <c r="I30" s="164"/>
      <c r="J30" s="164"/>
      <c r="K30" s="164"/>
      <c r="L30" s="164"/>
    </row>
    <row r="31" spans="1:19" x14ac:dyDescent="0.3">
      <c r="B31" s="38"/>
      <c r="C31" s="38"/>
      <c r="D31" s="38"/>
    </row>
    <row r="32" spans="1:19" x14ac:dyDescent="0.3">
      <c r="B32" s="38"/>
      <c r="C32" s="38"/>
      <c r="D32" s="38"/>
      <c r="J32" s="11"/>
    </row>
    <row r="33" spans="2:13" x14ac:dyDescent="0.3">
      <c r="B33" s="38"/>
      <c r="C33" s="38"/>
      <c r="D33" s="38"/>
    </row>
    <row r="34" spans="2:13" x14ac:dyDescent="0.3">
      <c r="B34" s="45"/>
      <c r="C34" s="45"/>
      <c r="D34" s="45"/>
      <c r="M34" s="11"/>
    </row>
  </sheetData>
  <mergeCells count="26">
    <mergeCell ref="B26:K26"/>
    <mergeCell ref="B30:C30"/>
    <mergeCell ref="F30:L30"/>
    <mergeCell ref="L23:L25"/>
    <mergeCell ref="C21:C22"/>
    <mergeCell ref="B19:B22"/>
    <mergeCell ref="B23:D23"/>
    <mergeCell ref="B24:D24"/>
    <mergeCell ref="B25:J25"/>
    <mergeCell ref="C19:C20"/>
    <mergeCell ref="B15:B18"/>
    <mergeCell ref="A1:A4"/>
    <mergeCell ref="B6:D6"/>
    <mergeCell ref="B7:D7"/>
    <mergeCell ref="B8:D8"/>
    <mergeCell ref="C9:C10"/>
    <mergeCell ref="C11:C12"/>
    <mergeCell ref="C13:C14"/>
    <mergeCell ref="B5:D5"/>
    <mergeCell ref="B9:B14"/>
    <mergeCell ref="C15:C16"/>
    <mergeCell ref="K1:K3"/>
    <mergeCell ref="L1:L3"/>
    <mergeCell ref="E1:J1"/>
    <mergeCell ref="E3:J3"/>
    <mergeCell ref="B1:D4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workbookViewId="0">
      <selection activeCell="N30" sqref="N30"/>
    </sheetView>
  </sheetViews>
  <sheetFormatPr defaultRowHeight="14.4" x14ac:dyDescent="0.3"/>
  <cols>
    <col min="2" max="2" width="18.5546875" customWidth="1"/>
    <col min="3" max="3" width="6.109375" customWidth="1"/>
    <col min="4" max="4" width="8.88671875" customWidth="1"/>
    <col min="6" max="6" width="14.5546875" customWidth="1"/>
    <col min="9" max="9" width="13.6640625" customWidth="1"/>
    <col min="14" max="14" width="14.88671875" customWidth="1"/>
    <col min="15" max="15" width="17.33203125" customWidth="1"/>
    <col min="17" max="17" width="18.44140625" customWidth="1"/>
  </cols>
  <sheetData>
    <row r="1" spans="1:27" ht="15" thickBot="1" x14ac:dyDescent="0.35">
      <c r="A1" s="13"/>
      <c r="B1" s="173" t="s">
        <v>119</v>
      </c>
      <c r="C1" s="173"/>
      <c r="D1" s="173"/>
      <c r="E1" s="173"/>
      <c r="F1" s="173"/>
      <c r="G1" s="173"/>
      <c r="H1" s="13"/>
      <c r="I1" s="173" t="s">
        <v>80</v>
      </c>
      <c r="J1" s="173"/>
      <c r="K1" s="173"/>
      <c r="L1" s="173"/>
      <c r="M1" s="173"/>
      <c r="N1" s="173"/>
      <c r="O1" s="173"/>
      <c r="P1" s="173"/>
      <c r="Q1" s="173"/>
      <c r="R1" s="173"/>
      <c r="T1" s="178" t="s">
        <v>120</v>
      </c>
      <c r="U1" s="178"/>
      <c r="V1" s="178"/>
      <c r="W1" s="178"/>
      <c r="X1" s="178"/>
      <c r="Y1" s="178"/>
      <c r="Z1" s="178"/>
      <c r="AA1" s="178"/>
    </row>
    <row r="2" spans="1:27" ht="18.75" customHeight="1" thickBot="1" x14ac:dyDescent="0.35">
      <c r="B2" s="4">
        <v>1</v>
      </c>
      <c r="C2" s="2">
        <v>1</v>
      </c>
      <c r="D2" s="2" t="s">
        <v>105</v>
      </c>
      <c r="E2" s="2">
        <v>12</v>
      </c>
      <c r="F2" s="70" t="s">
        <v>106</v>
      </c>
      <c r="G2" s="2">
        <v>190</v>
      </c>
      <c r="I2" s="1">
        <v>1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>
        <v>24</v>
      </c>
      <c r="Q2" s="37">
        <v>40940</v>
      </c>
      <c r="R2" s="2">
        <v>1418</v>
      </c>
      <c r="T2" s="4">
        <v>1</v>
      </c>
      <c r="U2" s="2" t="s">
        <v>96</v>
      </c>
      <c r="V2" s="2">
        <v>2011</v>
      </c>
      <c r="W2" s="2">
        <v>1</v>
      </c>
      <c r="X2" s="2" t="s">
        <v>97</v>
      </c>
      <c r="Y2" s="2">
        <v>4096</v>
      </c>
      <c r="Z2" s="2" t="s">
        <v>98</v>
      </c>
      <c r="AA2" s="2">
        <v>260</v>
      </c>
    </row>
    <row r="3" spans="1:27" ht="32.25" customHeight="1" thickBot="1" x14ac:dyDescent="0.35">
      <c r="B3" s="5">
        <v>2</v>
      </c>
      <c r="C3" s="3">
        <v>1</v>
      </c>
      <c r="D3" s="3" t="s">
        <v>31</v>
      </c>
      <c r="E3" s="3">
        <v>12</v>
      </c>
      <c r="F3" s="36" t="s">
        <v>32</v>
      </c>
      <c r="G3" s="3">
        <v>210</v>
      </c>
      <c r="T3" s="5">
        <v>2</v>
      </c>
      <c r="U3" s="3" t="s">
        <v>107</v>
      </c>
      <c r="V3" s="56">
        <v>9.6999999999999993</v>
      </c>
      <c r="W3" s="3">
        <v>2</v>
      </c>
      <c r="X3" s="3" t="s">
        <v>108</v>
      </c>
      <c r="Y3" s="3">
        <v>512</v>
      </c>
      <c r="Z3" s="3" t="s">
        <v>99</v>
      </c>
      <c r="AA3" s="3">
        <v>50</v>
      </c>
    </row>
    <row r="4" spans="1:27" ht="28.2" thickBot="1" x14ac:dyDescent="0.35">
      <c r="T4" s="5">
        <v>3</v>
      </c>
      <c r="U4" s="3" t="s">
        <v>100</v>
      </c>
      <c r="V4" s="3">
        <v>2007</v>
      </c>
      <c r="W4" s="3">
        <v>2</v>
      </c>
      <c r="X4" s="3" t="s">
        <v>101</v>
      </c>
      <c r="Y4" s="3">
        <v>1024</v>
      </c>
      <c r="Z4" s="3" t="s">
        <v>102</v>
      </c>
      <c r="AA4" s="3">
        <v>240</v>
      </c>
    </row>
  </sheetData>
  <mergeCells count="3">
    <mergeCell ref="B1:G1"/>
    <mergeCell ref="I1:R1"/>
    <mergeCell ref="T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31" sqref="C31"/>
    </sheetView>
  </sheetViews>
  <sheetFormatPr defaultRowHeight="14.4" x14ac:dyDescent="0.3"/>
  <cols>
    <col min="1" max="1" width="35.88671875" customWidth="1"/>
    <col min="3" max="3" width="10.5546875" customWidth="1"/>
    <col min="9" max="9" width="14.44140625" customWidth="1"/>
  </cols>
  <sheetData>
    <row r="1" spans="1:12" x14ac:dyDescent="0.3">
      <c r="B1" t="s">
        <v>109</v>
      </c>
    </row>
    <row r="2" spans="1:12" x14ac:dyDescent="0.3">
      <c r="A2" t="s">
        <v>21</v>
      </c>
      <c r="B2" s="12">
        <v>1</v>
      </c>
      <c r="C2" s="12">
        <f>SUM(H7:H15)</f>
        <v>42</v>
      </c>
      <c r="D2" s="12">
        <f>SUM(K7:K14)</f>
        <v>3</v>
      </c>
      <c r="E2" s="12" t="s">
        <v>22</v>
      </c>
      <c r="F2">
        <f>SUM(B2:D2)</f>
        <v>46</v>
      </c>
    </row>
    <row r="3" spans="1:12" x14ac:dyDescent="0.3">
      <c r="B3" t="s">
        <v>116</v>
      </c>
    </row>
    <row r="4" spans="1:12" x14ac:dyDescent="0.3">
      <c r="B4">
        <f>SUM(H7:H11) + SUM(K7:K11) + 1</f>
        <v>46</v>
      </c>
    </row>
    <row r="5" spans="1:12" x14ac:dyDescent="0.3">
      <c r="G5" t="s">
        <v>23</v>
      </c>
      <c r="J5" t="s">
        <v>29</v>
      </c>
    </row>
    <row r="6" spans="1:12" ht="15" thickBot="1" x14ac:dyDescent="0.35"/>
    <row r="7" spans="1:12" ht="15.6" thickTop="1" thickBot="1" x14ac:dyDescent="0.35">
      <c r="G7" t="s">
        <v>24</v>
      </c>
      <c r="H7" s="24">
        <v>11</v>
      </c>
      <c r="I7" s="72" t="str">
        <f xml:space="preserve"> "1 -  " &amp; H7</f>
        <v>1 -  11</v>
      </c>
      <c r="J7" t="s">
        <v>30</v>
      </c>
      <c r="K7" s="24">
        <v>3</v>
      </c>
      <c r="L7" t="str">
        <f xml:space="preserve">  H8 + H7 + H9 + H10 + H11 + 1 &amp; " - " &amp; H8 + H7 + H9 + H10 + H11 + K7</f>
        <v>43 - 45</v>
      </c>
    </row>
    <row r="8" spans="1:12" ht="15.6" thickTop="1" thickBot="1" x14ac:dyDescent="0.35">
      <c r="G8" t="s">
        <v>25</v>
      </c>
      <c r="H8" s="42">
        <v>7</v>
      </c>
      <c r="I8" t="str">
        <f xml:space="preserve">  H7 + 1 &amp; " - " &amp; H7 +H8</f>
        <v>12 - 18</v>
      </c>
    </row>
    <row r="9" spans="1:12" ht="15.6" thickTop="1" thickBot="1" x14ac:dyDescent="0.35">
      <c r="G9" t="s">
        <v>26</v>
      </c>
      <c r="H9" s="24">
        <v>8</v>
      </c>
      <c r="I9" t="str">
        <f xml:space="preserve">  H8 + H7 + 1 &amp; " - " &amp; H8 + H7 + H9</f>
        <v>19 - 26</v>
      </c>
    </row>
    <row r="10" spans="1:12" ht="15.6" thickTop="1" thickBot="1" x14ac:dyDescent="0.35">
      <c r="G10" t="s">
        <v>27</v>
      </c>
      <c r="H10" s="42">
        <v>8</v>
      </c>
      <c r="I10" t="str">
        <f xml:space="preserve">  H8 + H7 + H9 + 1 &amp; " - " &amp; H8 + H7 + H9 + H10</f>
        <v>27 - 34</v>
      </c>
    </row>
    <row r="11" spans="1:12" ht="15.6" thickTop="1" thickBot="1" x14ac:dyDescent="0.35">
      <c r="G11" t="s">
        <v>28</v>
      </c>
      <c r="H11" s="42">
        <v>8</v>
      </c>
      <c r="I11" t="str">
        <f xml:space="preserve">  H8 + H7 + H9 + H10 + 1 &amp; " - " &amp; H8 + H7 + H9 + H10 +H11</f>
        <v>35 - 42</v>
      </c>
    </row>
    <row r="12" spans="1:12" ht="15" thickTop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36" sqref="B36"/>
    </sheetView>
  </sheetViews>
  <sheetFormatPr defaultRowHeight="14.4" x14ac:dyDescent="0.3"/>
  <cols>
    <col min="1" max="1" width="14.88671875" customWidth="1"/>
    <col min="2" max="2" width="24.6640625" customWidth="1"/>
    <col min="3" max="3" width="19.33203125" customWidth="1"/>
    <col min="4" max="4" width="18.33203125" customWidth="1"/>
    <col min="5" max="5" width="12" customWidth="1"/>
    <col min="6" max="6" width="16" customWidth="1"/>
  </cols>
  <sheetData>
    <row r="1" spans="1:11" ht="14.25" customHeight="1" thickTop="1" thickBot="1" x14ac:dyDescent="0.35">
      <c r="A1" s="24" t="s">
        <v>20</v>
      </c>
      <c r="B1" s="21" t="s">
        <v>15</v>
      </c>
      <c r="C1" s="21" t="s">
        <v>16</v>
      </c>
      <c r="D1" s="22" t="s">
        <v>17</v>
      </c>
      <c r="E1" s="23" t="s">
        <v>18</v>
      </c>
      <c r="F1" s="24" t="s">
        <v>19</v>
      </c>
      <c r="G1" s="7"/>
    </row>
    <row r="2" spans="1:11" ht="15.6" thickTop="1" thickBot="1" x14ac:dyDescent="0.35">
      <c r="A2" s="181" t="s">
        <v>5</v>
      </c>
      <c r="B2" s="25" t="s">
        <v>0</v>
      </c>
      <c r="C2" s="1">
        <v>230</v>
      </c>
      <c r="D2" s="40">
        <v>7</v>
      </c>
      <c r="E2" s="40">
        <v>50</v>
      </c>
      <c r="F2" s="19">
        <f>ROUND(C2*E2/D2, 0)</f>
        <v>1643</v>
      </c>
      <c r="G2" s="8"/>
      <c r="H2" s="8"/>
      <c r="I2" s="8"/>
      <c r="J2" s="8"/>
    </row>
    <row r="3" spans="1:11" ht="15" thickBot="1" x14ac:dyDescent="0.35">
      <c r="A3" s="182"/>
      <c r="B3" s="30" t="s">
        <v>1</v>
      </c>
      <c r="C3" s="43">
        <v>590</v>
      </c>
      <c r="D3" s="44">
        <v>7</v>
      </c>
      <c r="E3" s="44">
        <v>50</v>
      </c>
      <c r="F3" s="34">
        <f t="shared" ref="F3:F4" si="0">ROUND(C3*E3/D3, 0)</f>
        <v>4214</v>
      </c>
      <c r="G3" s="8"/>
      <c r="H3" s="8"/>
      <c r="I3" s="8"/>
      <c r="J3" s="8"/>
    </row>
    <row r="4" spans="1:11" ht="15" thickBot="1" x14ac:dyDescent="0.35">
      <c r="A4" s="182"/>
      <c r="B4" s="30" t="s">
        <v>2</v>
      </c>
      <c r="C4" s="43">
        <v>710</v>
      </c>
      <c r="D4" s="44">
        <v>7</v>
      </c>
      <c r="E4" s="44">
        <v>50</v>
      </c>
      <c r="F4" s="27">
        <f t="shared" si="0"/>
        <v>5071</v>
      </c>
      <c r="G4" s="8"/>
      <c r="H4" s="8"/>
      <c r="I4" s="8"/>
      <c r="J4" s="8"/>
    </row>
    <row r="5" spans="1:11" ht="15" thickBot="1" x14ac:dyDescent="0.35">
      <c r="A5" s="182"/>
      <c r="B5" s="9" t="s">
        <v>3</v>
      </c>
      <c r="C5" s="43">
        <v>400</v>
      </c>
      <c r="D5" s="44">
        <v>7</v>
      </c>
      <c r="E5" s="44">
        <v>50</v>
      </c>
      <c r="F5" s="27">
        <f>ROUND(C5*E5/D5, 0)</f>
        <v>2857</v>
      </c>
      <c r="G5" s="8"/>
      <c r="H5" s="8"/>
      <c r="I5" s="8"/>
      <c r="J5" s="8"/>
    </row>
    <row r="6" spans="1:11" ht="15" thickBot="1" x14ac:dyDescent="0.35">
      <c r="A6" s="183"/>
      <c r="B6" s="33" t="s">
        <v>4</v>
      </c>
      <c r="C6" s="43">
        <v>890</v>
      </c>
      <c r="D6" s="44">
        <v>7</v>
      </c>
      <c r="E6" s="44">
        <v>50</v>
      </c>
      <c r="F6" s="28">
        <f t="shared" ref="F6" si="1">ROUND(C6*E6/D6, 0)</f>
        <v>6357</v>
      </c>
      <c r="G6" s="8"/>
      <c r="H6" s="8"/>
      <c r="I6" s="8"/>
      <c r="J6" s="8"/>
    </row>
    <row r="7" spans="1:11" ht="15.6" thickTop="1" thickBot="1" x14ac:dyDescent="0.35">
      <c r="A7" s="179" t="s">
        <v>10</v>
      </c>
      <c r="B7" s="180"/>
      <c r="C7" s="180"/>
      <c r="D7" s="180"/>
      <c r="E7" s="180"/>
      <c r="F7" s="16">
        <f>SUM(F2:F6)</f>
        <v>20142</v>
      </c>
      <c r="G7" s="7"/>
      <c r="H7" s="7"/>
      <c r="K7" s="6"/>
    </row>
    <row r="8" spans="1:11" ht="15.6" thickTop="1" thickBot="1" x14ac:dyDescent="0.35">
      <c r="A8" s="181" t="s">
        <v>6</v>
      </c>
      <c r="B8" s="9" t="s">
        <v>0</v>
      </c>
      <c r="C8" s="1">
        <v>300</v>
      </c>
      <c r="D8" s="2">
        <v>9</v>
      </c>
      <c r="E8" s="2">
        <v>40</v>
      </c>
      <c r="F8" s="20">
        <f t="shared" ref="F8:F12" si="2">ROUND(C8*E8/D8, 0)</f>
        <v>1333</v>
      </c>
      <c r="G8" s="8"/>
      <c r="H8" s="8"/>
      <c r="I8" s="10"/>
      <c r="J8" s="10"/>
    </row>
    <row r="9" spans="1:11" ht="15" thickBot="1" x14ac:dyDescent="0.35">
      <c r="A9" s="182"/>
      <c r="B9" s="26" t="s">
        <v>1</v>
      </c>
      <c r="C9" s="43">
        <v>310</v>
      </c>
      <c r="D9" s="3">
        <v>9</v>
      </c>
      <c r="E9" s="3">
        <v>40</v>
      </c>
      <c r="F9" s="32">
        <f t="shared" si="2"/>
        <v>1378</v>
      </c>
      <c r="G9" s="8"/>
      <c r="H9" s="8"/>
      <c r="I9" s="10"/>
      <c r="J9" s="10"/>
    </row>
    <row r="10" spans="1:11" ht="15" thickBot="1" x14ac:dyDescent="0.35">
      <c r="A10" s="182"/>
      <c r="B10" s="26" t="s">
        <v>2</v>
      </c>
      <c r="C10" s="43">
        <v>340</v>
      </c>
      <c r="D10" s="3">
        <v>9</v>
      </c>
      <c r="E10" s="3">
        <v>40</v>
      </c>
      <c r="F10" s="20">
        <f t="shared" si="2"/>
        <v>1511</v>
      </c>
      <c r="G10" s="8"/>
      <c r="H10" s="8"/>
      <c r="I10" s="10"/>
      <c r="J10" s="10"/>
      <c r="K10" s="7"/>
    </row>
    <row r="11" spans="1:11" ht="15" thickBot="1" x14ac:dyDescent="0.35">
      <c r="A11" s="182"/>
      <c r="B11" s="26" t="s">
        <v>3</v>
      </c>
      <c r="C11" s="43">
        <v>590</v>
      </c>
      <c r="D11" s="3">
        <v>9</v>
      </c>
      <c r="E11" s="3">
        <v>40</v>
      </c>
      <c r="F11" s="32">
        <f t="shared" si="2"/>
        <v>2622</v>
      </c>
      <c r="G11" s="8"/>
      <c r="H11" s="8"/>
      <c r="I11" s="10"/>
      <c r="J11" s="10"/>
      <c r="K11" s="7"/>
    </row>
    <row r="12" spans="1:11" ht="15" thickBot="1" x14ac:dyDescent="0.35">
      <c r="A12" s="183"/>
      <c r="B12" s="33" t="s">
        <v>4</v>
      </c>
      <c r="C12" s="43">
        <v>300</v>
      </c>
      <c r="D12" s="3">
        <v>9</v>
      </c>
      <c r="E12" s="3">
        <v>40</v>
      </c>
      <c r="F12" s="20">
        <f t="shared" si="2"/>
        <v>1333</v>
      </c>
      <c r="G12" s="8"/>
      <c r="H12" s="8"/>
      <c r="I12" s="10"/>
      <c r="J12" s="10"/>
    </row>
    <row r="13" spans="1:11" ht="15.6" thickTop="1" thickBot="1" x14ac:dyDescent="0.35">
      <c r="A13" s="179" t="s">
        <v>11</v>
      </c>
      <c r="B13" s="180"/>
      <c r="C13" s="180"/>
      <c r="D13" s="180"/>
      <c r="E13" s="180"/>
      <c r="F13" s="17">
        <f>SUM(F8:F12)</f>
        <v>8177</v>
      </c>
    </row>
    <row r="14" spans="1:11" ht="15.6" thickTop="1" thickBot="1" x14ac:dyDescent="0.35">
      <c r="A14" s="181" t="s">
        <v>7</v>
      </c>
      <c r="B14" s="25" t="s">
        <v>0</v>
      </c>
      <c r="C14" s="1">
        <v>130</v>
      </c>
      <c r="D14" s="2">
        <v>6</v>
      </c>
      <c r="E14" s="2">
        <v>45</v>
      </c>
      <c r="F14" s="20">
        <f>ROUND(C14*E14/D14, 0)</f>
        <v>975</v>
      </c>
      <c r="G14" s="8"/>
      <c r="H14" s="8"/>
      <c r="I14" s="10"/>
      <c r="J14" s="10"/>
    </row>
    <row r="15" spans="1:11" ht="15" thickBot="1" x14ac:dyDescent="0.35">
      <c r="A15" s="182"/>
      <c r="B15" s="30" t="s">
        <v>1</v>
      </c>
      <c r="C15" s="43">
        <v>340</v>
      </c>
      <c r="D15" s="3">
        <v>6</v>
      </c>
      <c r="E15" s="3">
        <v>45</v>
      </c>
      <c r="F15" s="32">
        <f>ROUND(C15*E15/D15, 0)</f>
        <v>2550</v>
      </c>
      <c r="G15" s="8"/>
      <c r="H15" s="8"/>
      <c r="I15" s="10"/>
      <c r="J15" s="10"/>
    </row>
    <row r="16" spans="1:11" ht="15" thickBot="1" x14ac:dyDescent="0.35">
      <c r="A16" s="182"/>
      <c r="B16" s="9" t="s">
        <v>2</v>
      </c>
      <c r="C16" s="43">
        <v>590</v>
      </c>
      <c r="D16" s="3">
        <v>6</v>
      </c>
      <c r="E16" s="3">
        <v>45</v>
      </c>
      <c r="F16" s="32">
        <f>ROUND(C16*E16/D16, 0)</f>
        <v>4425</v>
      </c>
      <c r="G16" s="8"/>
      <c r="H16" s="8"/>
      <c r="I16" s="10"/>
      <c r="J16" s="10"/>
    </row>
    <row r="17" spans="1:13" ht="15" thickBot="1" x14ac:dyDescent="0.35">
      <c r="A17" s="182"/>
      <c r="B17" s="26" t="s">
        <v>3</v>
      </c>
      <c r="C17" s="43">
        <v>840</v>
      </c>
      <c r="D17" s="3">
        <v>6</v>
      </c>
      <c r="E17" s="3">
        <v>45</v>
      </c>
      <c r="F17" s="32">
        <f>ROUND(C17*E17/D17, 0)</f>
        <v>6300</v>
      </c>
      <c r="G17" s="8"/>
      <c r="H17" s="8"/>
      <c r="I17" s="10"/>
      <c r="J17" s="10"/>
    </row>
    <row r="18" spans="1:13" ht="15" thickBot="1" x14ac:dyDescent="0.35">
      <c r="A18" s="183"/>
      <c r="B18" s="9" t="s">
        <v>4</v>
      </c>
      <c r="C18" s="43">
        <v>300</v>
      </c>
      <c r="D18" s="3">
        <v>6</v>
      </c>
      <c r="E18" s="3">
        <v>45</v>
      </c>
      <c r="F18" s="31">
        <f>ROUND(C18*E18/D18, 0)</f>
        <v>2250</v>
      </c>
      <c r="G18" s="8"/>
      <c r="H18" s="8"/>
      <c r="I18" s="10"/>
      <c r="J18" s="10"/>
      <c r="K18" s="7"/>
    </row>
    <row r="19" spans="1:13" ht="15.6" thickTop="1" thickBot="1" x14ac:dyDescent="0.35">
      <c r="A19" s="179" t="s">
        <v>12</v>
      </c>
      <c r="B19" s="180"/>
      <c r="C19" s="180"/>
      <c r="D19" s="180"/>
      <c r="E19" s="180"/>
      <c r="F19" s="17">
        <f>SUM(F14:F18)</f>
        <v>16500</v>
      </c>
      <c r="G19" s="7"/>
      <c r="H19" s="7"/>
      <c r="I19" s="7"/>
      <c r="J19" s="7"/>
    </row>
    <row r="20" spans="1:13" ht="15.6" thickTop="1" thickBot="1" x14ac:dyDescent="0.35">
      <c r="A20" s="181" t="s">
        <v>8</v>
      </c>
      <c r="B20" s="25" t="s">
        <v>0</v>
      </c>
      <c r="C20" s="1">
        <v>100</v>
      </c>
      <c r="D20" s="2">
        <v>8</v>
      </c>
      <c r="E20" s="2">
        <v>55</v>
      </c>
      <c r="F20" s="19">
        <f>ROUND(C20*E20/D20, 0)</f>
        <v>688</v>
      </c>
      <c r="G20" s="8"/>
    </row>
    <row r="21" spans="1:13" ht="15" thickBot="1" x14ac:dyDescent="0.35">
      <c r="A21" s="182"/>
      <c r="B21" s="30" t="s">
        <v>1</v>
      </c>
      <c r="C21" s="43">
        <v>200</v>
      </c>
      <c r="D21" s="3">
        <v>8</v>
      </c>
      <c r="E21" s="3">
        <v>55</v>
      </c>
      <c r="F21" s="27">
        <f t="shared" ref="F21:F24" si="3">ROUND(C21*E21/D21, 0)</f>
        <v>1375</v>
      </c>
      <c r="G21" s="8"/>
    </row>
    <row r="22" spans="1:13" ht="15" thickBot="1" x14ac:dyDescent="0.35">
      <c r="A22" s="182"/>
      <c r="B22" s="9" t="s">
        <v>2</v>
      </c>
      <c r="C22" s="43">
        <v>600</v>
      </c>
      <c r="D22" s="3">
        <v>8</v>
      </c>
      <c r="E22" s="3">
        <v>55</v>
      </c>
      <c r="F22" s="27">
        <f t="shared" si="3"/>
        <v>4125</v>
      </c>
      <c r="G22" s="8"/>
      <c r="H22" s="7"/>
    </row>
    <row r="23" spans="1:13" ht="15" thickBot="1" x14ac:dyDescent="0.35">
      <c r="A23" s="182"/>
      <c r="B23" s="26" t="s">
        <v>3</v>
      </c>
      <c r="C23" s="43">
        <v>520</v>
      </c>
      <c r="D23" s="3">
        <v>8</v>
      </c>
      <c r="E23" s="3">
        <v>55</v>
      </c>
      <c r="F23" s="19">
        <f t="shared" si="3"/>
        <v>3575</v>
      </c>
      <c r="G23" s="8"/>
    </row>
    <row r="24" spans="1:13" ht="15" thickBot="1" x14ac:dyDescent="0.35">
      <c r="A24" s="183"/>
      <c r="B24" s="9" t="s">
        <v>4</v>
      </c>
      <c r="C24" s="43">
        <v>100</v>
      </c>
      <c r="D24" s="3">
        <v>8</v>
      </c>
      <c r="E24" s="3">
        <v>55</v>
      </c>
      <c r="F24" s="28">
        <f t="shared" si="3"/>
        <v>688</v>
      </c>
      <c r="G24" s="8"/>
      <c r="H24" s="7"/>
    </row>
    <row r="25" spans="1:13" ht="15.6" thickTop="1" thickBot="1" x14ac:dyDescent="0.35">
      <c r="A25" s="179" t="s">
        <v>13</v>
      </c>
      <c r="B25" s="180"/>
      <c r="C25" s="180"/>
      <c r="D25" s="180"/>
      <c r="E25" s="180"/>
      <c r="F25" s="18">
        <f>SUM(F20:F24)</f>
        <v>10451</v>
      </c>
      <c r="G25" s="7"/>
    </row>
    <row r="26" spans="1:13" ht="15.6" thickTop="1" thickBot="1" x14ac:dyDescent="0.35">
      <c r="A26" s="181" t="s">
        <v>9</v>
      </c>
      <c r="B26" s="25" t="s">
        <v>0</v>
      </c>
      <c r="C26" s="1">
        <v>540</v>
      </c>
      <c r="D26" s="2">
        <v>5</v>
      </c>
      <c r="E26" s="2">
        <v>60</v>
      </c>
      <c r="F26" s="29">
        <f>ROUND(C26*E26/D26, 0)</f>
        <v>6480</v>
      </c>
      <c r="G26" s="8"/>
      <c r="M26" s="11"/>
    </row>
    <row r="27" spans="1:13" ht="15" thickBot="1" x14ac:dyDescent="0.35">
      <c r="A27" s="182"/>
      <c r="B27" s="26" t="s">
        <v>1</v>
      </c>
      <c r="C27" s="43">
        <v>760</v>
      </c>
      <c r="D27" s="3">
        <v>5</v>
      </c>
      <c r="E27" s="3">
        <v>60</v>
      </c>
      <c r="F27" s="29">
        <f>ROUND(C27*E27/D27, 0)</f>
        <v>9120</v>
      </c>
      <c r="G27" s="8"/>
    </row>
    <row r="28" spans="1:13" ht="15" thickBot="1" x14ac:dyDescent="0.35">
      <c r="A28" s="182"/>
      <c r="B28" s="26" t="s">
        <v>2</v>
      </c>
      <c r="C28" s="43">
        <v>500</v>
      </c>
      <c r="D28" s="3">
        <v>5</v>
      </c>
      <c r="E28" s="3">
        <v>60</v>
      </c>
      <c r="F28" s="29">
        <f t="shared" ref="F28:F30" si="4">ROUND(C28*E28/D28, 0)</f>
        <v>6000</v>
      </c>
      <c r="G28" s="8"/>
    </row>
    <row r="29" spans="1:13" ht="15" thickBot="1" x14ac:dyDescent="0.35">
      <c r="A29" s="182"/>
      <c r="B29" s="26" t="s">
        <v>3</v>
      </c>
      <c r="C29" s="43">
        <v>330</v>
      </c>
      <c r="D29" s="3">
        <v>5</v>
      </c>
      <c r="E29" s="3">
        <v>60</v>
      </c>
      <c r="F29" s="29">
        <f t="shared" si="4"/>
        <v>3960</v>
      </c>
      <c r="G29" s="8"/>
    </row>
    <row r="30" spans="1:13" ht="15" thickBot="1" x14ac:dyDescent="0.35">
      <c r="A30" s="183"/>
      <c r="B30" s="9" t="s">
        <v>4</v>
      </c>
      <c r="C30" s="43">
        <v>130</v>
      </c>
      <c r="D30" s="3">
        <v>5</v>
      </c>
      <c r="E30" s="3">
        <v>60</v>
      </c>
      <c r="F30" s="29">
        <f t="shared" si="4"/>
        <v>1560</v>
      </c>
      <c r="G30" s="8"/>
    </row>
    <row r="31" spans="1:13" ht="15.6" thickTop="1" thickBot="1" x14ac:dyDescent="0.35">
      <c r="A31" s="179" t="s">
        <v>14</v>
      </c>
      <c r="B31" s="180"/>
      <c r="C31" s="180"/>
      <c r="D31" s="180"/>
      <c r="E31" s="180"/>
      <c r="F31" s="15">
        <f>SUM(F26:F30)</f>
        <v>27120</v>
      </c>
      <c r="G31" s="7"/>
    </row>
    <row r="32" spans="1:13" ht="15" thickTop="1" x14ac:dyDescent="0.3"/>
  </sheetData>
  <mergeCells count="10">
    <mergeCell ref="A31:E31"/>
    <mergeCell ref="A2:A6"/>
    <mergeCell ref="A8:A12"/>
    <mergeCell ref="A14:A18"/>
    <mergeCell ref="A20:A24"/>
    <mergeCell ref="A26:A30"/>
    <mergeCell ref="A7:E7"/>
    <mergeCell ref="A19:E19"/>
    <mergeCell ref="A13:E13"/>
    <mergeCell ref="A25:E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opLeftCell="B1" workbookViewId="0">
      <selection activeCell="L30" sqref="L30"/>
    </sheetView>
  </sheetViews>
  <sheetFormatPr defaultRowHeight="14.4" x14ac:dyDescent="0.3"/>
  <cols>
    <col min="2" max="2" width="28.6640625" customWidth="1"/>
    <col min="5" max="5" width="11.33203125" customWidth="1"/>
    <col min="6" max="6" width="10.109375" customWidth="1"/>
    <col min="8" max="8" width="11.33203125" customWidth="1"/>
  </cols>
  <sheetData>
    <row r="2" spans="2:12" x14ac:dyDescent="0.3">
      <c r="B2" s="39" t="s">
        <v>39</v>
      </c>
      <c r="C2" s="14">
        <v>2.94</v>
      </c>
      <c r="D2" s="14">
        <v>3.2000000000000001E-2</v>
      </c>
      <c r="E2" s="14">
        <f>E5</f>
        <v>490</v>
      </c>
      <c r="F2" s="14">
        <v>2.9</v>
      </c>
      <c r="G2" s="14">
        <f>F5</f>
        <v>120</v>
      </c>
      <c r="H2" s="14">
        <v>2.62</v>
      </c>
      <c r="I2" s="14">
        <f>G5</f>
        <v>120</v>
      </c>
      <c r="J2" s="14">
        <f>H5</f>
        <v>50</v>
      </c>
      <c r="K2" s="12" t="s">
        <v>22</v>
      </c>
      <c r="L2">
        <f>ROUND((C2+D2*E2+F2*G2+H2*I2)*J2, 0)</f>
        <v>34051</v>
      </c>
    </row>
    <row r="4" spans="2:12" ht="15" thickBot="1" x14ac:dyDescent="0.35">
      <c r="E4" t="s">
        <v>42</v>
      </c>
      <c r="F4" t="s">
        <v>43</v>
      </c>
      <c r="G4" t="s">
        <v>44</v>
      </c>
      <c r="H4" t="s">
        <v>40</v>
      </c>
    </row>
    <row r="5" spans="2:12" ht="15" thickBot="1" x14ac:dyDescent="0.35">
      <c r="C5" s="38"/>
      <c r="D5" s="38"/>
      <c r="E5" s="1">
        <v>490</v>
      </c>
      <c r="F5" s="40">
        <v>120</v>
      </c>
      <c r="G5" s="40">
        <v>120</v>
      </c>
      <c r="H5" s="12">
        <v>50</v>
      </c>
    </row>
    <row r="7" spans="2:12" x14ac:dyDescent="0.3">
      <c r="B7" s="39" t="s">
        <v>41</v>
      </c>
      <c r="C7" s="14">
        <f>D10</f>
        <v>13680</v>
      </c>
      <c r="D7" s="14">
        <f>E10</f>
        <v>20</v>
      </c>
      <c r="E7" s="14">
        <f>F10</f>
        <v>8</v>
      </c>
      <c r="F7" s="14" t="s">
        <v>22</v>
      </c>
      <c r="G7" s="14">
        <f>C7*D7/E7</f>
        <v>34200</v>
      </c>
    </row>
    <row r="9" spans="2:12" ht="57.75" customHeight="1" thickBot="1" x14ac:dyDescent="0.35">
      <c r="C9" s="38"/>
      <c r="D9" s="35" t="s">
        <v>51</v>
      </c>
      <c r="E9" s="14" t="s">
        <v>45</v>
      </c>
      <c r="F9" s="35" t="s">
        <v>46</v>
      </c>
      <c r="H9" s="35" t="s">
        <v>47</v>
      </c>
      <c r="I9" s="35" t="s">
        <v>48</v>
      </c>
      <c r="J9" s="35" t="s">
        <v>49</v>
      </c>
      <c r="K9" s="35"/>
    </row>
    <row r="10" spans="2:12" ht="15" thickBot="1" x14ac:dyDescent="0.35">
      <c r="D10">
        <f>PRODUCT(H10:J10)</f>
        <v>13680</v>
      </c>
      <c r="E10" s="12">
        <v>20</v>
      </c>
      <c r="F10" s="12">
        <v>8</v>
      </c>
      <c r="G10" s="12"/>
      <c r="H10" s="1">
        <v>30</v>
      </c>
      <c r="I10" s="41">
        <v>3.8</v>
      </c>
      <c r="J10" s="40">
        <v>120</v>
      </c>
    </row>
    <row r="11" spans="2:12" x14ac:dyDescent="0.3">
      <c r="C11" s="38"/>
      <c r="D11" s="38"/>
    </row>
    <row r="12" spans="2:12" x14ac:dyDescent="0.3">
      <c r="B12" s="39" t="s">
        <v>50</v>
      </c>
      <c r="C12" s="14">
        <f>D15</f>
        <v>10120.000000000002</v>
      </c>
      <c r="D12" s="14">
        <f>E15</f>
        <v>20</v>
      </c>
      <c r="E12" s="14">
        <f>F15</f>
        <v>8</v>
      </c>
      <c r="F12" s="14" t="s">
        <v>22</v>
      </c>
      <c r="G12" s="14">
        <f>C12*D12/E12</f>
        <v>25300.000000000004</v>
      </c>
    </row>
    <row r="14" spans="2:12" ht="58.2" thickBot="1" x14ac:dyDescent="0.35">
      <c r="C14" s="38"/>
      <c r="D14" s="35" t="s">
        <v>51</v>
      </c>
      <c r="E14" s="14" t="s">
        <v>45</v>
      </c>
      <c r="F14" s="35" t="s">
        <v>46</v>
      </c>
      <c r="H14" s="35" t="s">
        <v>47</v>
      </c>
      <c r="I14" s="35" t="s">
        <v>48</v>
      </c>
      <c r="J14" s="35" t="s">
        <v>49</v>
      </c>
    </row>
    <row r="15" spans="2:12" ht="15" thickBot="1" x14ac:dyDescent="0.35">
      <c r="D15">
        <f>PRODUCT(H15:J15)</f>
        <v>10120.000000000002</v>
      </c>
      <c r="E15" s="12">
        <v>20</v>
      </c>
      <c r="F15" s="12">
        <v>8</v>
      </c>
      <c r="G15" s="12"/>
      <c r="H15" s="1">
        <v>50</v>
      </c>
      <c r="I15" s="41">
        <v>4.4000000000000004</v>
      </c>
      <c r="J15" s="40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PAS2 - TODO</vt:lpstr>
      <vt:lpstr>Lab3 - TODO</vt:lpstr>
      <vt:lpstr>lab4 - TODO</vt:lpstr>
      <vt:lpstr>PAS2 - 8</vt:lpstr>
      <vt:lpstr>Каталоги</vt:lpstr>
      <vt:lpstr>4-ОМК</vt:lpstr>
      <vt:lpstr>5-РКПСиОК</vt:lpstr>
      <vt:lpstr>6-РКИСиРК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dcterms:created xsi:type="dcterms:W3CDTF">2023-10-08T14:15:30Z</dcterms:created>
  <dcterms:modified xsi:type="dcterms:W3CDTF">2023-11-06T14:32:12Z</dcterms:modified>
</cp:coreProperties>
</file>