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KursPro\PASKurs\лабораторные работы\l3\"/>
    </mc:Choice>
  </mc:AlternateContent>
  <xr:revisionPtr revIDLastSave="0" documentId="13_ncr:1_{B8C76999-AF4E-40F6-B9EE-FD251E9FA7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b3-TODO" sheetId="6" r:id="rId1"/>
    <sheet name="КаталогРазрабов" sheetId="8" r:id="rId2"/>
    <sheet name="ЭкспертныеДанные" sheetId="9" r:id="rId3"/>
    <sheet name="Каталоги" sheetId="3" state="hidden" r:id="rId4"/>
    <sheet name="4-ОМК" sheetId="2" state="hidden" r:id="rId5"/>
    <sheet name="5-РКПСиОК" sheetId="1" r:id="rId6"/>
    <sheet name="6-РКИСиРК" sheetId="4" state="hidden" r:id="rId7"/>
    <sheet name="8-ОКАСОИиК" sheetId="5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6" l="1"/>
  <c r="F9" i="6"/>
  <c r="D8" i="6"/>
  <c r="C8" i="6"/>
  <c r="G6" i="6"/>
  <c r="F6" i="6"/>
  <c r="G7" i="6"/>
  <c r="F7" i="6"/>
  <c r="D9" i="6" l="1"/>
  <c r="D7" i="6"/>
  <c r="D5" i="6"/>
  <c r="D6" i="6"/>
  <c r="C9" i="6"/>
  <c r="C7" i="6"/>
  <c r="C6" i="6"/>
  <c r="C5" i="6"/>
  <c r="J22" i="5" l="1"/>
  <c r="I22" i="5"/>
  <c r="H22" i="5"/>
  <c r="G22" i="5"/>
  <c r="F22" i="5"/>
  <c r="E22" i="5"/>
  <c r="J12" i="5"/>
  <c r="E10" i="5"/>
  <c r="B4" i="2"/>
  <c r="K4" i="5" s="1"/>
  <c r="K7" i="5" s="1"/>
  <c r="L7" i="2"/>
  <c r="J4" i="5" s="1"/>
  <c r="J7" i="5" s="1"/>
  <c r="I11" i="2"/>
  <c r="I4" i="5" s="1"/>
  <c r="I7" i="5" s="1"/>
  <c r="I10" i="2"/>
  <c r="H4" i="5" s="1"/>
  <c r="H7" i="5" s="1"/>
  <c r="I9" i="2"/>
  <c r="G4" i="5" s="1"/>
  <c r="G7" i="5" s="1"/>
  <c r="I8" i="2"/>
  <c r="F4" i="5" s="1"/>
  <c r="F7" i="5" s="1"/>
  <c r="I7" i="2"/>
  <c r="E4" i="5" s="1"/>
  <c r="E7" i="5" s="1"/>
  <c r="I12" i="5"/>
  <c r="H12" i="5"/>
  <c r="G12" i="5"/>
  <c r="F12" i="5"/>
  <c r="E12" i="5"/>
  <c r="K12" i="5"/>
  <c r="K10" i="5"/>
  <c r="J10" i="5"/>
  <c r="I10" i="5"/>
  <c r="H10" i="5"/>
  <c r="G10" i="5"/>
  <c r="F10" i="5"/>
  <c r="K20" i="5"/>
  <c r="J20" i="5"/>
  <c r="I20" i="5"/>
  <c r="H20" i="5"/>
  <c r="G20" i="5"/>
  <c r="E20" i="5"/>
  <c r="F20" i="5"/>
  <c r="F28" i="1"/>
  <c r="F29" i="1"/>
  <c r="F30" i="1"/>
  <c r="F26" i="1"/>
  <c r="F27" i="1"/>
  <c r="D15" i="4"/>
  <c r="C12" i="4" s="1"/>
  <c r="D10" i="4"/>
  <c r="C7" i="4" s="1"/>
  <c r="E12" i="4"/>
  <c r="D12" i="4"/>
  <c r="E7" i="4"/>
  <c r="D7" i="4"/>
  <c r="J2" i="4"/>
  <c r="I2" i="4"/>
  <c r="G2" i="4"/>
  <c r="E2" i="4"/>
  <c r="D2" i="2"/>
  <c r="C2" i="2"/>
  <c r="F21" i="1"/>
  <c r="F22" i="1"/>
  <c r="F23" i="1"/>
  <c r="F24" i="1"/>
  <c r="F20" i="1"/>
  <c r="F18" i="1"/>
  <c r="F17" i="1"/>
  <c r="F16" i="1"/>
  <c r="F15" i="1"/>
  <c r="F14" i="1"/>
  <c r="F12" i="1"/>
  <c r="F11" i="1"/>
  <c r="F10" i="1"/>
  <c r="F9" i="1"/>
  <c r="F8" i="1"/>
  <c r="F6" i="1"/>
  <c r="F5" i="1"/>
  <c r="F4" i="1"/>
  <c r="F3" i="1"/>
  <c r="F2" i="1"/>
  <c r="J23" i="5" l="1"/>
  <c r="G7" i="4"/>
  <c r="K17" i="5" s="1"/>
  <c r="L17" i="5" s="1"/>
  <c r="J24" i="5"/>
  <c r="L2" i="4"/>
  <c r="K16" i="5" s="1"/>
  <c r="L16" i="5" s="1"/>
  <c r="F25" i="1"/>
  <c r="L20" i="5"/>
  <c r="L12" i="5"/>
  <c r="L22" i="5"/>
  <c r="L10" i="5"/>
  <c r="F31" i="1"/>
  <c r="F7" i="1"/>
  <c r="G12" i="4"/>
  <c r="K18" i="5" s="1"/>
  <c r="L18" i="5" s="1"/>
  <c r="F2" i="2"/>
  <c r="L4" i="5" s="1"/>
  <c r="F13" i="1"/>
  <c r="F19" i="1"/>
  <c r="F14" i="5" l="1"/>
  <c r="F23" i="5" s="1"/>
  <c r="G8" i="9"/>
  <c r="I14" i="5"/>
  <c r="I23" i="5" s="1"/>
  <c r="G11" i="9"/>
  <c r="E14" i="5"/>
  <c r="G7" i="9"/>
  <c r="H14" i="5"/>
  <c r="H24" i="5" s="1"/>
  <c r="G10" i="9"/>
  <c r="G14" i="5"/>
  <c r="G24" i="5" s="1"/>
  <c r="G9" i="9"/>
  <c r="G23" i="5"/>
  <c r="H23" i="5"/>
  <c r="I24" i="5"/>
  <c r="F24" i="5"/>
  <c r="L14" i="5"/>
  <c r="L26" i="5" s="1"/>
  <c r="K25" i="5"/>
  <c r="F11" i="9" l="1"/>
  <c r="H9" i="6" s="1"/>
  <c r="I9" i="6" s="1"/>
  <c r="F10" i="9"/>
  <c r="H7" i="6" s="1"/>
  <c r="I7" i="6" s="1"/>
  <c r="F9" i="9"/>
  <c r="H6" i="6" s="1"/>
  <c r="I6" i="6" s="1"/>
  <c r="G8" i="6"/>
  <c r="F7" i="9"/>
  <c r="F8" i="6" s="1"/>
  <c r="H8" i="6" s="1"/>
  <c r="I8" i="6" s="1"/>
  <c r="G5" i="6"/>
  <c r="F8" i="9"/>
  <c r="F5" i="6" s="1"/>
  <c r="H5" i="6" s="1"/>
  <c r="I5" i="6" s="1"/>
  <c r="E23" i="5"/>
  <c r="E24" i="5"/>
  <c r="L23" i="5" s="1"/>
  <c r="L28" i="5" s="1"/>
</calcChain>
</file>

<file path=xl/sharedStrings.xml><?xml version="1.0" encoding="utf-8"?>
<sst xmlns="http://schemas.openxmlformats.org/spreadsheetml/2006/main" count="262" uniqueCount="133">
  <si>
    <t>З1</t>
  </si>
  <si>
    <t>З2</t>
  </si>
  <si>
    <t>З3</t>
  </si>
  <si>
    <t>З4</t>
  </si>
  <si>
    <t>З5</t>
  </si>
  <si>
    <t>П1</t>
  </si>
  <si>
    <t>П2</t>
  </si>
  <si>
    <t>П3</t>
  </si>
  <si>
    <t>П4</t>
  </si>
  <si>
    <t>П5</t>
  </si>
  <si>
    <t>Общая стоимость П1</t>
  </si>
  <si>
    <t>Общая стоимость П2</t>
  </si>
  <si>
    <t>Общая стоимость П3</t>
  </si>
  <si>
    <t>Общая стоимость П4</t>
  </si>
  <si>
    <t>Общая стоимость П5</t>
  </si>
  <si>
    <t>список задач приложения</t>
  </si>
  <si>
    <t>общее кол-во строк</t>
  </si>
  <si>
    <t>средняя производ.</t>
  </si>
  <si>
    <t>средняя зп</t>
  </si>
  <si>
    <t>стоимость прог.</t>
  </si>
  <si>
    <t>№ приложения</t>
  </si>
  <si>
    <t>КолСтанИС = КолСС + КолПС + КолЭС =</t>
  </si>
  <si>
    <t>=</t>
  </si>
  <si>
    <t>КолПС</t>
  </si>
  <si>
    <t>п1</t>
  </si>
  <si>
    <t>п2</t>
  </si>
  <si>
    <t>п3</t>
  </si>
  <si>
    <t>п4</t>
  </si>
  <si>
    <t>п5</t>
  </si>
  <si>
    <t>КолЭП</t>
  </si>
  <si>
    <t>эп1</t>
  </si>
  <si>
    <t xml:space="preserve">A4 </t>
  </si>
  <si>
    <t>Epson CX 4400</t>
  </si>
  <si>
    <t>Катран</t>
  </si>
  <si>
    <t>6 x 3.3GHz</t>
  </si>
  <si>
    <t>16 Gb</t>
  </si>
  <si>
    <t>2 Tb</t>
  </si>
  <si>
    <t>LCD</t>
  </si>
  <si>
    <t>27”</t>
  </si>
  <si>
    <t xml:space="preserve">стоимость создания ПС = </t>
  </si>
  <si>
    <t>Дневаня зп</t>
  </si>
  <si>
    <t>ФТД =</t>
  </si>
  <si>
    <t>Артибуты</t>
  </si>
  <si>
    <t>ПК</t>
  </si>
  <si>
    <t>ВК</t>
  </si>
  <si>
    <t>Средняя ЗП</t>
  </si>
  <si>
    <t>V вводимых данных</t>
  </si>
  <si>
    <t>Кол-во видов документов</t>
  </si>
  <si>
    <t>Ср размердок</t>
  </si>
  <si>
    <t>СР кол-во доков по виду</t>
  </si>
  <si>
    <t>ФАД =</t>
  </si>
  <si>
    <t>V данных для загрузки</t>
  </si>
  <si>
    <t>№</t>
  </si>
  <si>
    <t>не используется</t>
  </si>
  <si>
    <t>номер станции</t>
  </si>
  <si>
    <t>тип станции (1 - сервер, 2 - пользовательский)</t>
  </si>
  <si>
    <t>-</t>
  </si>
  <si>
    <t>организационная структура</t>
  </si>
  <si>
    <t>описание станций АСОИ</t>
  </si>
  <si>
    <t>СЕРВЕР</t>
  </si>
  <si>
    <t>ИТОГО</t>
  </si>
  <si>
    <t>Название СП</t>
  </si>
  <si>
    <t>Стоимость СП</t>
  </si>
  <si>
    <t>СП</t>
  </si>
  <si>
    <t>ИП</t>
  </si>
  <si>
    <t>Название ИП</t>
  </si>
  <si>
    <t>Стоимость ИП</t>
  </si>
  <si>
    <t>ПП</t>
  </si>
  <si>
    <t>БД</t>
  </si>
  <si>
    <t>ФТД</t>
  </si>
  <si>
    <t>ФАД</t>
  </si>
  <si>
    <t>Стоим. Загр ФТД</t>
  </si>
  <si>
    <t>Стоим. Загр ФАД</t>
  </si>
  <si>
    <t>Стоимость прил.</t>
  </si>
  <si>
    <t>Идент. Прил.</t>
  </si>
  <si>
    <t>ИС</t>
  </si>
  <si>
    <t>Идент. БД</t>
  </si>
  <si>
    <t>Стоим. Загр. БД</t>
  </si>
  <si>
    <t>ОС Windows 7</t>
  </si>
  <si>
    <t>ТС</t>
  </si>
  <si>
    <t>ПЭВМ</t>
  </si>
  <si>
    <t>Устр.</t>
  </si>
  <si>
    <t>Марка ПЭВМ</t>
  </si>
  <si>
    <t>Стоимость ПЭВМ</t>
  </si>
  <si>
    <t>Название устр.</t>
  </si>
  <si>
    <t>Стоимость устр.</t>
  </si>
  <si>
    <t>Картан</t>
  </si>
  <si>
    <t>Epson</t>
  </si>
  <si>
    <t>БД_Сервер</t>
  </si>
  <si>
    <t>Общая стоимость по группам П</t>
  </si>
  <si>
    <t>общая стоимость</t>
  </si>
  <si>
    <t>итого по серверу</t>
  </si>
  <si>
    <t>примечания:</t>
  </si>
  <si>
    <t xml:space="preserve">СтП </t>
  </si>
  <si>
    <t>СтП</t>
  </si>
  <si>
    <t>Ошибка =</t>
  </si>
  <si>
    <t>Windows 7</t>
  </si>
  <si>
    <t>2 х 3.0 GHz</t>
  </si>
  <si>
    <t>15 Gb</t>
  </si>
  <si>
    <t>500 Mb</t>
  </si>
  <si>
    <t>Microsoft Office</t>
  </si>
  <si>
    <t>2 х 2.8 GHz</t>
  </si>
  <si>
    <t>1 Gb</t>
  </si>
  <si>
    <t>Общая стоимость РС</t>
  </si>
  <si>
    <t>номера пользователей</t>
  </si>
  <si>
    <t>A4</t>
  </si>
  <si>
    <t>Sharp FX-125</t>
  </si>
  <si>
    <t>MySQL</t>
  </si>
  <si>
    <t>1.8 GHz</t>
  </si>
  <si>
    <t>КолСС =</t>
  </si>
  <si>
    <t>ЭП1</t>
  </si>
  <si>
    <t>ПП1</t>
  </si>
  <si>
    <t>ПП2</t>
  </si>
  <si>
    <t>ПП3</t>
  </si>
  <si>
    <t>ПП4</t>
  </si>
  <si>
    <t>ПП5</t>
  </si>
  <si>
    <t>№ CC</t>
  </si>
  <si>
    <t>Sharp</t>
  </si>
  <si>
    <t>MySQL, Visual Studio Code, Си, Microsoft Office</t>
  </si>
  <si>
    <t>Принтеры</t>
  </si>
  <si>
    <t>Программы</t>
  </si>
  <si>
    <t>номер разраба</t>
  </si>
  <si>
    <t>производительность</t>
  </si>
  <si>
    <t>дневная стоимость</t>
  </si>
  <si>
    <t>элемент</t>
  </si>
  <si>
    <t>Номер разраба</t>
  </si>
  <si>
    <t>создание программ</t>
  </si>
  <si>
    <t>номер элемента</t>
  </si>
  <si>
    <t>экспертные данные</t>
  </si>
  <si>
    <t>трудоёмкость</t>
  </si>
  <si>
    <t>стоимость</t>
  </si>
  <si>
    <t>время реализ</t>
  </si>
  <si>
    <t>стоимость реализ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</si>
</sst>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 Narrow"/>
      <family val="2"/>
      <charset val="204"/>
    </font>
    <font>
      <sz val="10"/>
      <color rgb="FF000000"/>
      <name val="Arial Narrow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0" fontId="0" fillId="0" borderId="23" xfId="0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0" xfId="0" applyFont="1"/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0" fillId="0" borderId="45" xfId="0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0" xfId="0" applyNumberFormat="1"/>
    <xf numFmtId="0" fontId="0" fillId="0" borderId="50" xfId="0" applyNumberFormat="1" applyBorder="1" applyAlignment="1">
      <alignment horizontal="center" vertical="center"/>
    </xf>
    <xf numFmtId="0" fontId="0" fillId="0" borderId="57" xfId="0" applyNumberFormat="1" applyBorder="1" applyAlignment="1">
      <alignment horizontal="center" vertical="center"/>
    </xf>
    <xf numFmtId="0" fontId="0" fillId="0" borderId="5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42" xfId="0" applyNumberFormat="1" applyBorder="1" applyAlignment="1">
      <alignment horizontal="center" vertical="center"/>
    </xf>
    <xf numFmtId="0" fontId="0" fillId="0" borderId="47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E9"/>
  <sheetViews>
    <sheetView tabSelected="1" workbookViewId="0">
      <selection activeCell="L10" sqref="L10"/>
    </sheetView>
  </sheetViews>
  <sheetFormatPr defaultRowHeight="15" x14ac:dyDescent="0.25"/>
  <cols>
    <col min="2" max="2" width="14.7109375" customWidth="1"/>
    <col min="3" max="3" width="19.140625" customWidth="1"/>
    <col min="4" max="4" width="17.85546875" customWidth="1"/>
    <col min="6" max="6" width="14.7109375" customWidth="1"/>
    <col min="7" max="7" width="11.28515625" customWidth="1"/>
    <col min="8" max="8" width="13.7109375" customWidth="1"/>
    <col min="9" max="9" width="15.85546875" customWidth="1"/>
  </cols>
  <sheetData>
    <row r="4" spans="2:31" x14ac:dyDescent="0.25">
      <c r="B4" s="93" t="s">
        <v>121</v>
      </c>
      <c r="C4" s="93" t="s">
        <v>122</v>
      </c>
      <c r="D4" s="93" t="s">
        <v>123</v>
      </c>
      <c r="E4" s="93" t="s">
        <v>124</v>
      </c>
      <c r="F4" s="94" t="s">
        <v>129</v>
      </c>
      <c r="G4" s="94" t="s">
        <v>130</v>
      </c>
      <c r="H4" s="93" t="s">
        <v>131</v>
      </c>
      <c r="I4" s="93" t="s">
        <v>132</v>
      </c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</row>
    <row r="5" spans="2:31" x14ac:dyDescent="0.25">
      <c r="B5" s="93">
        <v>21</v>
      </c>
      <c r="C5" s="97">
        <f>КаталогРазрабов!D8</f>
        <v>1.75</v>
      </c>
      <c r="D5" s="98">
        <f>КаталогРазрабов!E8</f>
        <v>70</v>
      </c>
      <c r="E5" s="93" t="s">
        <v>6</v>
      </c>
      <c r="F5" s="93">
        <f>ЭкспертныеДанные!F8</f>
        <v>204.43</v>
      </c>
      <c r="G5" s="93">
        <f>ЭкспертныеДанные!G8</f>
        <v>8177</v>
      </c>
      <c r="H5" s="93">
        <f>ROUNDUP(F5/C5,0)</f>
        <v>117</v>
      </c>
      <c r="I5" s="93">
        <f>ROUND(H5*D5,0)</f>
        <v>8190</v>
      </c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</row>
    <row r="6" spans="2:31" x14ac:dyDescent="0.25">
      <c r="B6" s="93">
        <v>21</v>
      </c>
      <c r="C6" s="97">
        <f>КаталогРазрабов!D8</f>
        <v>1.75</v>
      </c>
      <c r="D6" s="93">
        <f>КаталогРазрабов!E8</f>
        <v>70</v>
      </c>
      <c r="E6" s="93" t="s">
        <v>8</v>
      </c>
      <c r="F6" s="94">
        <f>ЭкспертныеДанные!F10</f>
        <v>190.02</v>
      </c>
      <c r="G6" s="94">
        <f>ЭкспертныеДанные!G10</f>
        <v>10451</v>
      </c>
      <c r="H6" s="94">
        <f t="shared" ref="H6:H9" si="0">ROUNDUP(F6/C6,0)</f>
        <v>109</v>
      </c>
      <c r="I6" s="94">
        <f t="shared" ref="I6:I9" si="1">ROUND(H6*D6,0)</f>
        <v>7630</v>
      </c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</row>
    <row r="7" spans="2:31" x14ac:dyDescent="0.25">
      <c r="B7" s="93">
        <v>22</v>
      </c>
      <c r="C7" s="97">
        <f>КаталогРазрабов!D9</f>
        <v>1.31</v>
      </c>
      <c r="D7" s="93">
        <f>КаталогРазрабов!E9</f>
        <v>55</v>
      </c>
      <c r="E7" s="93" t="s">
        <v>9</v>
      </c>
      <c r="F7" s="94">
        <f>ЭкспертныеДанные!F11</f>
        <v>452</v>
      </c>
      <c r="G7" s="94">
        <f>ЭкспертныеДанные!G11</f>
        <v>27120</v>
      </c>
      <c r="H7" s="94">
        <f t="shared" si="0"/>
        <v>346</v>
      </c>
      <c r="I7" s="94">
        <f t="shared" si="1"/>
        <v>19030</v>
      </c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</row>
    <row r="8" spans="2:31" x14ac:dyDescent="0.25">
      <c r="B8" s="93">
        <v>23</v>
      </c>
      <c r="C8" s="97">
        <f>КаталогРазрабов!D10</f>
        <v>2.5</v>
      </c>
      <c r="D8" s="93">
        <f>КаталогРазрабов!E10</f>
        <v>45</v>
      </c>
      <c r="E8" s="93" t="s">
        <v>5</v>
      </c>
      <c r="F8" s="93">
        <f>ЭкспертныеДанные!F7</f>
        <v>402.84</v>
      </c>
      <c r="G8" s="93">
        <f>ЭкспертныеДанные!G7</f>
        <v>20142</v>
      </c>
      <c r="H8" s="94">
        <f t="shared" si="0"/>
        <v>162</v>
      </c>
      <c r="I8" s="94">
        <f t="shared" si="1"/>
        <v>7290</v>
      </c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</row>
    <row r="9" spans="2:31" x14ac:dyDescent="0.25">
      <c r="B9" s="93">
        <v>23</v>
      </c>
      <c r="C9" s="97">
        <f>КаталогРазрабов!D10</f>
        <v>2.5</v>
      </c>
      <c r="D9" s="93">
        <f>КаталогРазрабов!E10</f>
        <v>45</v>
      </c>
      <c r="E9" s="93" t="s">
        <v>7</v>
      </c>
      <c r="F9" s="93">
        <f>ЭкспертныеДанные!F9</f>
        <v>366.67</v>
      </c>
      <c r="G9" s="93">
        <f>ЭкспертныеДанные!G9</f>
        <v>16500</v>
      </c>
      <c r="H9" s="94">
        <f t="shared" si="0"/>
        <v>147</v>
      </c>
      <c r="I9" s="94">
        <f t="shared" si="1"/>
        <v>6615</v>
      </c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E10"/>
  <sheetViews>
    <sheetView workbookViewId="0">
      <selection activeCell="D28" sqref="D28"/>
    </sheetView>
  </sheetViews>
  <sheetFormatPr defaultRowHeight="15" x14ac:dyDescent="0.25"/>
  <cols>
    <col min="3" max="3" width="14.7109375" customWidth="1"/>
    <col min="4" max="4" width="19.5703125" customWidth="1"/>
    <col min="5" max="5" width="17.7109375" customWidth="1"/>
  </cols>
  <sheetData>
    <row r="6" spans="3:5" x14ac:dyDescent="0.25">
      <c r="D6" s="99" t="s">
        <v>126</v>
      </c>
      <c r="E6" s="99"/>
    </row>
    <row r="7" spans="3:5" ht="15.75" thickBot="1" x14ac:dyDescent="0.3">
      <c r="C7" t="s">
        <v>125</v>
      </c>
      <c r="D7" t="s">
        <v>122</v>
      </c>
      <c r="E7" t="s">
        <v>123</v>
      </c>
    </row>
    <row r="8" spans="3:5" ht="15.75" thickBot="1" x14ac:dyDescent="0.3">
      <c r="C8">
        <v>21</v>
      </c>
      <c r="D8" s="95">
        <v>1.75</v>
      </c>
      <c r="E8" s="40">
        <v>70</v>
      </c>
    </row>
    <row r="9" spans="3:5" ht="15.75" thickBot="1" x14ac:dyDescent="0.3">
      <c r="C9">
        <v>22</v>
      </c>
      <c r="D9" s="96">
        <v>1.31</v>
      </c>
      <c r="E9" s="44">
        <v>55</v>
      </c>
    </row>
    <row r="10" spans="3:5" ht="15.75" thickBot="1" x14ac:dyDescent="0.3">
      <c r="C10">
        <v>23</v>
      </c>
      <c r="D10" s="96">
        <v>2.5</v>
      </c>
      <c r="E10" s="44">
        <v>45</v>
      </c>
    </row>
  </sheetData>
  <mergeCells count="1">
    <mergeCell ref="D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5:G11"/>
  <sheetViews>
    <sheetView workbookViewId="0">
      <selection activeCell="F31" sqref="F31"/>
    </sheetView>
  </sheetViews>
  <sheetFormatPr defaultRowHeight="15" x14ac:dyDescent="0.25"/>
  <cols>
    <col min="5" max="5" width="15.5703125" customWidth="1"/>
    <col min="6" max="6" width="13.7109375" customWidth="1"/>
    <col min="7" max="7" width="11.140625" customWidth="1"/>
  </cols>
  <sheetData>
    <row r="5" spans="5:7" x14ac:dyDescent="0.25">
      <c r="E5" s="93"/>
      <c r="F5" s="100" t="s">
        <v>128</v>
      </c>
      <c r="G5" s="100"/>
    </row>
    <row r="6" spans="5:7" x14ac:dyDescent="0.25">
      <c r="E6" s="93" t="s">
        <v>127</v>
      </c>
      <c r="F6" s="93" t="s">
        <v>129</v>
      </c>
      <c r="G6" s="93" t="s">
        <v>130</v>
      </c>
    </row>
    <row r="7" spans="5:7" x14ac:dyDescent="0.25">
      <c r="E7" s="93" t="s">
        <v>5</v>
      </c>
      <c r="F7" s="93">
        <f>ROUND(G7/'5-РКПСиОК'!E2, 2)</f>
        <v>402.84</v>
      </c>
      <c r="G7" s="93">
        <f>'5-РКПСиОК'!F7</f>
        <v>20142</v>
      </c>
    </row>
    <row r="8" spans="5:7" x14ac:dyDescent="0.25">
      <c r="E8" s="93" t="s">
        <v>6</v>
      </c>
      <c r="F8" s="93">
        <f>ROUND(G8/'5-РКПСиОК'!E8, 2)</f>
        <v>204.43</v>
      </c>
      <c r="G8" s="93">
        <f>'5-РКПСиОК'!F13</f>
        <v>8177</v>
      </c>
    </row>
    <row r="9" spans="5:7" x14ac:dyDescent="0.25">
      <c r="E9" s="93" t="s">
        <v>7</v>
      </c>
      <c r="F9" s="93">
        <f>ROUND(G9/'5-РКПСиОК'!E14, 2)</f>
        <v>366.67</v>
      </c>
      <c r="G9" s="93">
        <f>'5-РКПСиОК'!F19</f>
        <v>16500</v>
      </c>
    </row>
    <row r="10" spans="5:7" x14ac:dyDescent="0.25">
      <c r="E10" s="93" t="s">
        <v>8</v>
      </c>
      <c r="F10" s="93">
        <f>ROUND(G10/'5-РКПСиОК'!E20, 2)</f>
        <v>190.02</v>
      </c>
      <c r="G10" s="93">
        <f>'5-РКПСиОК'!F25</f>
        <v>10451</v>
      </c>
    </row>
    <row r="11" spans="5:7" x14ac:dyDescent="0.25">
      <c r="E11" s="93" t="s">
        <v>9</v>
      </c>
      <c r="F11" s="93">
        <f>ROUND(G11/'5-РКПСиОК'!E26,2)</f>
        <v>452</v>
      </c>
      <c r="G11" s="93">
        <f>'5-РКПСиОК'!F31</f>
        <v>27120</v>
      </c>
    </row>
  </sheetData>
  <mergeCells count="1">
    <mergeCell ref="F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4"/>
  <sheetViews>
    <sheetView workbookViewId="0">
      <selection activeCell="N30" sqref="N30"/>
    </sheetView>
  </sheetViews>
  <sheetFormatPr defaultRowHeight="15" x14ac:dyDescent="0.25"/>
  <cols>
    <col min="2" max="2" width="18.5703125" customWidth="1"/>
    <col min="3" max="3" width="6.140625" customWidth="1"/>
    <col min="4" max="4" width="8.85546875" customWidth="1"/>
    <col min="6" max="6" width="14.5703125" customWidth="1"/>
    <col min="9" max="9" width="13.7109375" customWidth="1"/>
    <col min="14" max="14" width="14.85546875" customWidth="1"/>
    <col min="15" max="15" width="17.28515625" customWidth="1"/>
    <col min="17" max="17" width="18.42578125" customWidth="1"/>
  </cols>
  <sheetData>
    <row r="1" spans="1:27" ht="15.75" thickBot="1" x14ac:dyDescent="0.3">
      <c r="A1" s="13"/>
      <c r="B1" s="101" t="s">
        <v>119</v>
      </c>
      <c r="C1" s="101"/>
      <c r="D1" s="101"/>
      <c r="E1" s="101"/>
      <c r="F1" s="101"/>
      <c r="G1" s="101"/>
      <c r="H1" s="13"/>
      <c r="I1" s="101" t="s">
        <v>80</v>
      </c>
      <c r="J1" s="101"/>
      <c r="K1" s="101"/>
      <c r="L1" s="101"/>
      <c r="M1" s="101"/>
      <c r="N1" s="101"/>
      <c r="O1" s="101"/>
      <c r="P1" s="101"/>
      <c r="Q1" s="101"/>
      <c r="R1" s="101"/>
      <c r="T1" s="102" t="s">
        <v>120</v>
      </c>
      <c r="U1" s="102"/>
      <c r="V1" s="102"/>
      <c r="W1" s="102"/>
      <c r="X1" s="102"/>
      <c r="Y1" s="102"/>
      <c r="Z1" s="102"/>
      <c r="AA1" s="102"/>
    </row>
    <row r="2" spans="1:27" ht="18.75" customHeight="1" thickBot="1" x14ac:dyDescent="0.3">
      <c r="B2" s="4">
        <v>1</v>
      </c>
      <c r="C2" s="2">
        <v>1</v>
      </c>
      <c r="D2" s="2" t="s">
        <v>105</v>
      </c>
      <c r="E2" s="2">
        <v>12</v>
      </c>
      <c r="F2" s="79" t="s">
        <v>106</v>
      </c>
      <c r="G2" s="2">
        <v>190</v>
      </c>
      <c r="I2" s="1">
        <v>1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>
        <v>24</v>
      </c>
      <c r="Q2" s="37">
        <v>40940</v>
      </c>
      <c r="R2" s="2">
        <v>1418</v>
      </c>
      <c r="T2" s="4">
        <v>1</v>
      </c>
      <c r="U2" s="2" t="s">
        <v>96</v>
      </c>
      <c r="V2" s="2">
        <v>2011</v>
      </c>
      <c r="W2" s="2">
        <v>1</v>
      </c>
      <c r="X2" s="2" t="s">
        <v>97</v>
      </c>
      <c r="Y2" s="2">
        <v>4096</v>
      </c>
      <c r="Z2" s="2" t="s">
        <v>98</v>
      </c>
      <c r="AA2" s="2">
        <v>260</v>
      </c>
    </row>
    <row r="3" spans="1:27" ht="32.25" customHeight="1" thickBot="1" x14ac:dyDescent="0.3">
      <c r="B3" s="5">
        <v>2</v>
      </c>
      <c r="C3" s="3">
        <v>1</v>
      </c>
      <c r="D3" s="3" t="s">
        <v>31</v>
      </c>
      <c r="E3" s="3">
        <v>12</v>
      </c>
      <c r="F3" s="36" t="s">
        <v>32</v>
      </c>
      <c r="G3" s="3">
        <v>210</v>
      </c>
      <c r="T3" s="5">
        <v>2</v>
      </c>
      <c r="U3" s="3" t="s">
        <v>107</v>
      </c>
      <c r="V3" s="62">
        <v>9.6999999999999993</v>
      </c>
      <c r="W3" s="3">
        <v>2</v>
      </c>
      <c r="X3" s="3" t="s">
        <v>108</v>
      </c>
      <c r="Y3" s="3">
        <v>512</v>
      </c>
      <c r="Z3" s="3" t="s">
        <v>99</v>
      </c>
      <c r="AA3" s="3">
        <v>50</v>
      </c>
    </row>
    <row r="4" spans="1:27" ht="26.25" thickBot="1" x14ac:dyDescent="0.3">
      <c r="T4" s="5">
        <v>3</v>
      </c>
      <c r="U4" s="3" t="s">
        <v>100</v>
      </c>
      <c r="V4" s="3">
        <v>2007</v>
      </c>
      <c r="W4" s="3">
        <v>2</v>
      </c>
      <c r="X4" s="3" t="s">
        <v>101</v>
      </c>
      <c r="Y4" s="3">
        <v>1024</v>
      </c>
      <c r="Z4" s="3" t="s">
        <v>102</v>
      </c>
      <c r="AA4" s="3">
        <v>240</v>
      </c>
    </row>
  </sheetData>
  <mergeCells count="3">
    <mergeCell ref="B1:G1"/>
    <mergeCell ref="I1:R1"/>
    <mergeCell ref="T1:A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>
      <selection activeCell="C31" sqref="C31"/>
    </sheetView>
  </sheetViews>
  <sheetFormatPr defaultRowHeight="15" x14ac:dyDescent="0.25"/>
  <cols>
    <col min="1" max="1" width="35.85546875" customWidth="1"/>
    <col min="3" max="3" width="10.5703125" customWidth="1"/>
    <col min="9" max="9" width="14.42578125" customWidth="1"/>
  </cols>
  <sheetData>
    <row r="1" spans="1:12" x14ac:dyDescent="0.25">
      <c r="B1" t="s">
        <v>109</v>
      </c>
    </row>
    <row r="2" spans="1:12" x14ac:dyDescent="0.25">
      <c r="A2" t="s">
        <v>21</v>
      </c>
      <c r="B2" s="12">
        <v>1</v>
      </c>
      <c r="C2" s="12">
        <f>SUM(H7:H15)</f>
        <v>42</v>
      </c>
      <c r="D2" s="12">
        <f>SUM(K7:K14)</f>
        <v>3</v>
      </c>
      <c r="E2" s="12" t="s">
        <v>22</v>
      </c>
      <c r="F2">
        <f>SUM(B2:D2)</f>
        <v>46</v>
      </c>
    </row>
    <row r="3" spans="1:12" x14ac:dyDescent="0.25">
      <c r="B3" t="s">
        <v>116</v>
      </c>
    </row>
    <row r="4" spans="1:12" x14ac:dyDescent="0.25">
      <c r="B4">
        <f>SUM(H7:H11) + SUM(K7:K11) + 1</f>
        <v>46</v>
      </c>
    </row>
    <row r="5" spans="1:12" x14ac:dyDescent="0.25">
      <c r="G5" t="s">
        <v>23</v>
      </c>
      <c r="J5" t="s">
        <v>29</v>
      </c>
    </row>
    <row r="6" spans="1:12" ht="15.75" thickBot="1" x14ac:dyDescent="0.3"/>
    <row r="7" spans="1:12" ht="16.5" thickTop="1" thickBot="1" x14ac:dyDescent="0.3">
      <c r="G7" t="s">
        <v>24</v>
      </c>
      <c r="H7" s="24">
        <v>11</v>
      </c>
      <c r="I7" s="83" t="str">
        <f xml:space="preserve"> "1 -  " &amp; H7</f>
        <v>1 -  11</v>
      </c>
      <c r="J7" t="s">
        <v>30</v>
      </c>
      <c r="K7" s="24">
        <v>3</v>
      </c>
      <c r="L7" t="str">
        <f xml:space="preserve">  H8 + H7 + H9 + H10 + H11 + 1 &amp; " - " &amp; H8 + H7 + H9 + H10 + H11 + K7</f>
        <v>43 - 45</v>
      </c>
    </row>
    <row r="8" spans="1:12" ht="16.5" thickTop="1" thickBot="1" x14ac:dyDescent="0.3">
      <c r="G8" t="s">
        <v>25</v>
      </c>
      <c r="H8" s="42">
        <v>7</v>
      </c>
      <c r="I8" t="str">
        <f xml:space="preserve">  H7 + 1 &amp; " - " &amp; H7 +H8</f>
        <v>12 - 18</v>
      </c>
    </row>
    <row r="9" spans="1:12" ht="16.5" thickTop="1" thickBot="1" x14ac:dyDescent="0.3">
      <c r="G9" t="s">
        <v>26</v>
      </c>
      <c r="H9" s="24">
        <v>8</v>
      </c>
      <c r="I9" t="str">
        <f xml:space="preserve">  H8 + H7 + 1 &amp; " - " &amp; H8 + H7 + H9</f>
        <v>19 - 26</v>
      </c>
    </row>
    <row r="10" spans="1:12" ht="16.5" thickTop="1" thickBot="1" x14ac:dyDescent="0.3">
      <c r="G10" t="s">
        <v>27</v>
      </c>
      <c r="H10" s="42">
        <v>8</v>
      </c>
      <c r="I10" t="str">
        <f xml:space="preserve">  H8 + H7 + H9 + 1 &amp; " - " &amp; H8 + H7 + H9 + H10</f>
        <v>27 - 34</v>
      </c>
    </row>
    <row r="11" spans="1:12" ht="16.5" thickTop="1" thickBot="1" x14ac:dyDescent="0.3">
      <c r="G11" t="s">
        <v>28</v>
      </c>
      <c r="H11" s="42">
        <v>8</v>
      </c>
      <c r="I11" t="str">
        <f xml:space="preserve">  H8 + H7 + H9 + H10 + 1 &amp; " - " &amp; H8 + H7 + H9 + H10 +H11</f>
        <v>35 - 42</v>
      </c>
    </row>
    <row r="12" spans="1:12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2"/>
  <sheetViews>
    <sheetView workbookViewId="0">
      <selection activeCell="F7" sqref="F7"/>
    </sheetView>
  </sheetViews>
  <sheetFormatPr defaultRowHeight="15" x14ac:dyDescent="0.25"/>
  <cols>
    <col min="1" max="1" width="14.85546875" customWidth="1"/>
    <col min="2" max="2" width="24.7109375" customWidth="1"/>
    <col min="3" max="3" width="19.28515625" customWidth="1"/>
    <col min="4" max="4" width="18.28515625" customWidth="1"/>
    <col min="5" max="5" width="12" customWidth="1"/>
    <col min="6" max="6" width="16" customWidth="1"/>
  </cols>
  <sheetData>
    <row r="1" spans="1:11" ht="14.25" customHeight="1" thickTop="1" thickBot="1" x14ac:dyDescent="0.3">
      <c r="A1" s="24" t="s">
        <v>20</v>
      </c>
      <c r="B1" s="21" t="s">
        <v>15</v>
      </c>
      <c r="C1" s="21" t="s">
        <v>16</v>
      </c>
      <c r="D1" s="22" t="s">
        <v>17</v>
      </c>
      <c r="E1" s="23" t="s">
        <v>18</v>
      </c>
      <c r="F1" s="24" t="s">
        <v>19</v>
      </c>
      <c r="G1" s="7"/>
    </row>
    <row r="2" spans="1:11" ht="16.5" thickTop="1" thickBot="1" x14ac:dyDescent="0.3">
      <c r="A2" s="105" t="s">
        <v>5</v>
      </c>
      <c r="B2" s="25" t="s">
        <v>0</v>
      </c>
      <c r="C2" s="1">
        <v>230</v>
      </c>
      <c r="D2" s="40">
        <v>7</v>
      </c>
      <c r="E2" s="40">
        <v>50</v>
      </c>
      <c r="F2" s="19">
        <f>ROUND(C2*E2/D2, 0)</f>
        <v>1643</v>
      </c>
      <c r="G2" s="8"/>
      <c r="H2" s="8"/>
      <c r="I2" s="8"/>
      <c r="J2" s="8"/>
    </row>
    <row r="3" spans="1:11" ht="15.75" thickBot="1" x14ac:dyDescent="0.3">
      <c r="A3" s="106"/>
      <c r="B3" s="30" t="s">
        <v>1</v>
      </c>
      <c r="C3" s="43">
        <v>590</v>
      </c>
      <c r="D3" s="44">
        <v>7</v>
      </c>
      <c r="E3" s="44">
        <v>50</v>
      </c>
      <c r="F3" s="34">
        <f t="shared" ref="F3:F4" si="0">ROUND(C3*E3/D3, 0)</f>
        <v>4214</v>
      </c>
      <c r="G3" s="8"/>
      <c r="H3" s="8"/>
      <c r="I3" s="8"/>
      <c r="J3" s="8"/>
    </row>
    <row r="4" spans="1:11" ht="15.75" thickBot="1" x14ac:dyDescent="0.3">
      <c r="A4" s="106"/>
      <c r="B4" s="30" t="s">
        <v>2</v>
      </c>
      <c r="C4" s="43">
        <v>710</v>
      </c>
      <c r="D4" s="44">
        <v>7</v>
      </c>
      <c r="E4" s="44">
        <v>50</v>
      </c>
      <c r="F4" s="27">
        <f t="shared" si="0"/>
        <v>5071</v>
      </c>
      <c r="G4" s="8"/>
      <c r="H4" s="8"/>
      <c r="I4" s="8"/>
      <c r="J4" s="8"/>
    </row>
    <row r="5" spans="1:11" ht="15.75" thickBot="1" x14ac:dyDescent="0.3">
      <c r="A5" s="106"/>
      <c r="B5" s="9" t="s">
        <v>3</v>
      </c>
      <c r="C5" s="43">
        <v>400</v>
      </c>
      <c r="D5" s="44">
        <v>7</v>
      </c>
      <c r="E5" s="44">
        <v>50</v>
      </c>
      <c r="F5" s="27">
        <f>ROUND(C5*E5/D5, 0)</f>
        <v>2857</v>
      </c>
      <c r="G5" s="8"/>
      <c r="H5" s="8"/>
      <c r="I5" s="8"/>
      <c r="J5" s="8"/>
    </row>
    <row r="6" spans="1:11" ht="15.75" thickBot="1" x14ac:dyDescent="0.3">
      <c r="A6" s="107"/>
      <c r="B6" s="33" t="s">
        <v>4</v>
      </c>
      <c r="C6" s="43">
        <v>890</v>
      </c>
      <c r="D6" s="44">
        <v>7</v>
      </c>
      <c r="E6" s="44">
        <v>50</v>
      </c>
      <c r="F6" s="28">
        <f t="shared" ref="F6" si="1">ROUND(C6*E6/D6, 0)</f>
        <v>6357</v>
      </c>
      <c r="G6" s="8"/>
      <c r="H6" s="8"/>
      <c r="I6" s="8"/>
      <c r="J6" s="8"/>
    </row>
    <row r="7" spans="1:11" ht="16.5" thickTop="1" thickBot="1" x14ac:dyDescent="0.3">
      <c r="A7" s="103" t="s">
        <v>10</v>
      </c>
      <c r="B7" s="104"/>
      <c r="C7" s="104"/>
      <c r="D7" s="104"/>
      <c r="E7" s="104"/>
      <c r="F7" s="16">
        <f>SUM(F2:F6)</f>
        <v>20142</v>
      </c>
      <c r="G7" s="7"/>
      <c r="H7" s="7"/>
      <c r="K7" s="6"/>
    </row>
    <row r="8" spans="1:11" ht="16.5" thickTop="1" thickBot="1" x14ac:dyDescent="0.3">
      <c r="A8" s="105" t="s">
        <v>6</v>
      </c>
      <c r="B8" s="9" t="s">
        <v>0</v>
      </c>
      <c r="C8" s="1">
        <v>300</v>
      </c>
      <c r="D8" s="2">
        <v>9</v>
      </c>
      <c r="E8" s="2">
        <v>40</v>
      </c>
      <c r="F8" s="20">
        <f t="shared" ref="F8:F12" si="2">ROUND(C8*E8/D8, 0)</f>
        <v>1333</v>
      </c>
      <c r="G8" s="8"/>
      <c r="H8" s="8"/>
      <c r="I8" s="10"/>
      <c r="J8" s="10"/>
    </row>
    <row r="9" spans="1:11" ht="15.75" thickBot="1" x14ac:dyDescent="0.3">
      <c r="A9" s="106"/>
      <c r="B9" s="26" t="s">
        <v>1</v>
      </c>
      <c r="C9" s="43">
        <v>310</v>
      </c>
      <c r="D9" s="3">
        <v>9</v>
      </c>
      <c r="E9" s="3">
        <v>40</v>
      </c>
      <c r="F9" s="32">
        <f t="shared" si="2"/>
        <v>1378</v>
      </c>
      <c r="G9" s="8"/>
      <c r="H9" s="8"/>
      <c r="I9" s="10"/>
      <c r="J9" s="10"/>
    </row>
    <row r="10" spans="1:11" ht="15.75" thickBot="1" x14ac:dyDescent="0.3">
      <c r="A10" s="106"/>
      <c r="B10" s="26" t="s">
        <v>2</v>
      </c>
      <c r="C10" s="43">
        <v>340</v>
      </c>
      <c r="D10" s="3">
        <v>9</v>
      </c>
      <c r="E10" s="3">
        <v>40</v>
      </c>
      <c r="F10" s="20">
        <f t="shared" si="2"/>
        <v>1511</v>
      </c>
      <c r="G10" s="8"/>
      <c r="H10" s="8"/>
      <c r="I10" s="10"/>
      <c r="J10" s="10"/>
      <c r="K10" s="7"/>
    </row>
    <row r="11" spans="1:11" ht="15.75" thickBot="1" x14ac:dyDescent="0.3">
      <c r="A11" s="106"/>
      <c r="B11" s="26" t="s">
        <v>3</v>
      </c>
      <c r="C11" s="43">
        <v>590</v>
      </c>
      <c r="D11" s="3">
        <v>9</v>
      </c>
      <c r="E11" s="3">
        <v>40</v>
      </c>
      <c r="F11" s="32">
        <f t="shared" si="2"/>
        <v>2622</v>
      </c>
      <c r="G11" s="8"/>
      <c r="H11" s="8"/>
      <c r="I11" s="10"/>
      <c r="J11" s="10"/>
      <c r="K11" s="7"/>
    </row>
    <row r="12" spans="1:11" ht="15.75" thickBot="1" x14ac:dyDescent="0.3">
      <c r="A12" s="107"/>
      <c r="B12" s="33" t="s">
        <v>4</v>
      </c>
      <c r="C12" s="43">
        <v>300</v>
      </c>
      <c r="D12" s="3">
        <v>9</v>
      </c>
      <c r="E12" s="3">
        <v>40</v>
      </c>
      <c r="F12" s="20">
        <f t="shared" si="2"/>
        <v>1333</v>
      </c>
      <c r="G12" s="8"/>
      <c r="H12" s="8"/>
      <c r="I12" s="10"/>
      <c r="J12" s="10"/>
    </row>
    <row r="13" spans="1:11" ht="16.5" thickTop="1" thickBot="1" x14ac:dyDescent="0.3">
      <c r="A13" s="103" t="s">
        <v>11</v>
      </c>
      <c r="B13" s="104"/>
      <c r="C13" s="104"/>
      <c r="D13" s="104"/>
      <c r="E13" s="104"/>
      <c r="F13" s="17">
        <f>SUM(F8:F12)</f>
        <v>8177</v>
      </c>
    </row>
    <row r="14" spans="1:11" ht="16.5" thickTop="1" thickBot="1" x14ac:dyDescent="0.3">
      <c r="A14" s="105" t="s">
        <v>7</v>
      </c>
      <c r="B14" s="25" t="s">
        <v>0</v>
      </c>
      <c r="C14" s="1">
        <v>130</v>
      </c>
      <c r="D14" s="2">
        <v>6</v>
      </c>
      <c r="E14" s="2">
        <v>45</v>
      </c>
      <c r="F14" s="20">
        <f>ROUND(C14*E14/D14, 0)</f>
        <v>975</v>
      </c>
      <c r="G14" s="8"/>
      <c r="H14" s="8"/>
      <c r="I14" s="10"/>
      <c r="J14" s="10"/>
    </row>
    <row r="15" spans="1:11" ht="15.75" thickBot="1" x14ac:dyDescent="0.3">
      <c r="A15" s="106"/>
      <c r="B15" s="30" t="s">
        <v>1</v>
      </c>
      <c r="C15" s="43">
        <v>340</v>
      </c>
      <c r="D15" s="3">
        <v>6</v>
      </c>
      <c r="E15" s="3">
        <v>45</v>
      </c>
      <c r="F15" s="32">
        <f>ROUND(C15*E15/D15, 0)</f>
        <v>2550</v>
      </c>
      <c r="G15" s="8"/>
      <c r="H15" s="8"/>
      <c r="I15" s="10"/>
      <c r="J15" s="10"/>
    </row>
    <row r="16" spans="1:11" ht="15.75" thickBot="1" x14ac:dyDescent="0.3">
      <c r="A16" s="106"/>
      <c r="B16" s="9" t="s">
        <v>2</v>
      </c>
      <c r="C16" s="43">
        <v>590</v>
      </c>
      <c r="D16" s="3">
        <v>6</v>
      </c>
      <c r="E16" s="3">
        <v>45</v>
      </c>
      <c r="F16" s="32">
        <f>ROUND(C16*E16/D16, 0)</f>
        <v>4425</v>
      </c>
      <c r="G16" s="8"/>
      <c r="H16" s="8"/>
      <c r="I16" s="10"/>
      <c r="J16" s="10"/>
    </row>
    <row r="17" spans="1:13" ht="15.75" thickBot="1" x14ac:dyDescent="0.3">
      <c r="A17" s="106"/>
      <c r="B17" s="26" t="s">
        <v>3</v>
      </c>
      <c r="C17" s="43">
        <v>840</v>
      </c>
      <c r="D17" s="3">
        <v>6</v>
      </c>
      <c r="E17" s="3">
        <v>45</v>
      </c>
      <c r="F17" s="32">
        <f>ROUND(C17*E17/D17, 0)</f>
        <v>6300</v>
      </c>
      <c r="G17" s="8"/>
      <c r="H17" s="8"/>
      <c r="I17" s="10"/>
      <c r="J17" s="10"/>
    </row>
    <row r="18" spans="1:13" ht="15.75" thickBot="1" x14ac:dyDescent="0.3">
      <c r="A18" s="107"/>
      <c r="B18" s="9" t="s">
        <v>4</v>
      </c>
      <c r="C18" s="43">
        <v>300</v>
      </c>
      <c r="D18" s="3">
        <v>6</v>
      </c>
      <c r="E18" s="3">
        <v>45</v>
      </c>
      <c r="F18" s="31">
        <f>ROUND(C18*E18/D18, 0)</f>
        <v>2250</v>
      </c>
      <c r="G18" s="8"/>
      <c r="H18" s="8"/>
      <c r="I18" s="10"/>
      <c r="J18" s="10"/>
      <c r="K18" s="7"/>
    </row>
    <row r="19" spans="1:13" ht="16.5" thickTop="1" thickBot="1" x14ac:dyDescent="0.3">
      <c r="A19" s="103" t="s">
        <v>12</v>
      </c>
      <c r="B19" s="104"/>
      <c r="C19" s="104"/>
      <c r="D19" s="104"/>
      <c r="E19" s="104"/>
      <c r="F19" s="17">
        <f>SUM(F14:F18)</f>
        <v>16500</v>
      </c>
      <c r="G19" s="7"/>
      <c r="H19" s="7"/>
      <c r="I19" s="7"/>
      <c r="J19" s="7"/>
    </row>
    <row r="20" spans="1:13" ht="16.5" thickTop="1" thickBot="1" x14ac:dyDescent="0.3">
      <c r="A20" s="105" t="s">
        <v>8</v>
      </c>
      <c r="B20" s="25" t="s">
        <v>0</v>
      </c>
      <c r="C20" s="1">
        <v>100</v>
      </c>
      <c r="D20" s="2">
        <v>8</v>
      </c>
      <c r="E20" s="2">
        <v>55</v>
      </c>
      <c r="F20" s="19">
        <f>ROUND(C20*E20/D20, 0)</f>
        <v>688</v>
      </c>
      <c r="G20" s="8"/>
    </row>
    <row r="21" spans="1:13" ht="15.75" thickBot="1" x14ac:dyDescent="0.3">
      <c r="A21" s="106"/>
      <c r="B21" s="30" t="s">
        <v>1</v>
      </c>
      <c r="C21" s="43">
        <v>200</v>
      </c>
      <c r="D21" s="3">
        <v>8</v>
      </c>
      <c r="E21" s="3">
        <v>55</v>
      </c>
      <c r="F21" s="27">
        <f t="shared" ref="F21:F24" si="3">ROUND(C21*E21/D21, 0)</f>
        <v>1375</v>
      </c>
      <c r="G21" s="8"/>
    </row>
    <row r="22" spans="1:13" ht="15.75" thickBot="1" x14ac:dyDescent="0.3">
      <c r="A22" s="106"/>
      <c r="B22" s="9" t="s">
        <v>2</v>
      </c>
      <c r="C22" s="43">
        <v>600</v>
      </c>
      <c r="D22" s="3">
        <v>8</v>
      </c>
      <c r="E22" s="3">
        <v>55</v>
      </c>
      <c r="F22" s="27">
        <f t="shared" si="3"/>
        <v>4125</v>
      </c>
      <c r="G22" s="8"/>
      <c r="H22" s="7"/>
    </row>
    <row r="23" spans="1:13" ht="15.75" thickBot="1" x14ac:dyDescent="0.3">
      <c r="A23" s="106"/>
      <c r="B23" s="26" t="s">
        <v>3</v>
      </c>
      <c r="C23" s="43">
        <v>520</v>
      </c>
      <c r="D23" s="3">
        <v>8</v>
      </c>
      <c r="E23" s="3">
        <v>55</v>
      </c>
      <c r="F23" s="19">
        <f t="shared" si="3"/>
        <v>3575</v>
      </c>
      <c r="G23" s="8"/>
    </row>
    <row r="24" spans="1:13" ht="15.75" thickBot="1" x14ac:dyDescent="0.3">
      <c r="A24" s="107"/>
      <c r="B24" s="9" t="s">
        <v>4</v>
      </c>
      <c r="C24" s="43">
        <v>100</v>
      </c>
      <c r="D24" s="3">
        <v>8</v>
      </c>
      <c r="E24" s="3">
        <v>55</v>
      </c>
      <c r="F24" s="28">
        <f t="shared" si="3"/>
        <v>688</v>
      </c>
      <c r="G24" s="8"/>
      <c r="H24" s="7"/>
    </row>
    <row r="25" spans="1:13" ht="16.5" thickTop="1" thickBot="1" x14ac:dyDescent="0.3">
      <c r="A25" s="103" t="s">
        <v>13</v>
      </c>
      <c r="B25" s="104"/>
      <c r="C25" s="104"/>
      <c r="D25" s="104"/>
      <c r="E25" s="104"/>
      <c r="F25" s="18">
        <f>SUM(F20:F24)</f>
        <v>10451</v>
      </c>
      <c r="G25" s="7"/>
    </row>
    <row r="26" spans="1:13" ht="16.5" thickTop="1" thickBot="1" x14ac:dyDescent="0.3">
      <c r="A26" s="105" t="s">
        <v>9</v>
      </c>
      <c r="B26" s="25" t="s">
        <v>0</v>
      </c>
      <c r="C26" s="1">
        <v>540</v>
      </c>
      <c r="D26" s="2">
        <v>5</v>
      </c>
      <c r="E26" s="2">
        <v>60</v>
      </c>
      <c r="F26" s="29">
        <f>ROUND(C26*E26/D26, 0)</f>
        <v>6480</v>
      </c>
      <c r="G26" s="8"/>
      <c r="M26" s="11"/>
    </row>
    <row r="27" spans="1:13" ht="15.75" thickBot="1" x14ac:dyDescent="0.3">
      <c r="A27" s="106"/>
      <c r="B27" s="26" t="s">
        <v>1</v>
      </c>
      <c r="C27" s="43">
        <v>760</v>
      </c>
      <c r="D27" s="3">
        <v>5</v>
      </c>
      <c r="E27" s="3">
        <v>60</v>
      </c>
      <c r="F27" s="29">
        <f>ROUND(C27*E27/D27, 0)</f>
        <v>9120</v>
      </c>
      <c r="G27" s="8"/>
    </row>
    <row r="28" spans="1:13" ht="15.75" thickBot="1" x14ac:dyDescent="0.3">
      <c r="A28" s="106"/>
      <c r="B28" s="26" t="s">
        <v>2</v>
      </c>
      <c r="C28" s="43">
        <v>500</v>
      </c>
      <c r="D28" s="3">
        <v>5</v>
      </c>
      <c r="E28" s="3">
        <v>60</v>
      </c>
      <c r="F28" s="29">
        <f t="shared" ref="F28:F30" si="4">ROUND(C28*E28/D28, 0)</f>
        <v>6000</v>
      </c>
      <c r="G28" s="8"/>
    </row>
    <row r="29" spans="1:13" ht="15.75" thickBot="1" x14ac:dyDescent="0.3">
      <c r="A29" s="106"/>
      <c r="B29" s="26" t="s">
        <v>3</v>
      </c>
      <c r="C29" s="43">
        <v>330</v>
      </c>
      <c r="D29" s="3">
        <v>5</v>
      </c>
      <c r="E29" s="3">
        <v>60</v>
      </c>
      <c r="F29" s="29">
        <f t="shared" si="4"/>
        <v>3960</v>
      </c>
      <c r="G29" s="8"/>
    </row>
    <row r="30" spans="1:13" ht="15.75" thickBot="1" x14ac:dyDescent="0.3">
      <c r="A30" s="107"/>
      <c r="B30" s="9" t="s">
        <v>4</v>
      </c>
      <c r="C30" s="43">
        <v>130</v>
      </c>
      <c r="D30" s="3">
        <v>5</v>
      </c>
      <c r="E30" s="3">
        <v>60</v>
      </c>
      <c r="F30" s="29">
        <f t="shared" si="4"/>
        <v>1560</v>
      </c>
      <c r="G30" s="8"/>
    </row>
    <row r="31" spans="1:13" ht="16.5" thickTop="1" thickBot="1" x14ac:dyDescent="0.3">
      <c r="A31" s="103" t="s">
        <v>14</v>
      </c>
      <c r="B31" s="104"/>
      <c r="C31" s="104"/>
      <c r="D31" s="104"/>
      <c r="E31" s="104"/>
      <c r="F31" s="15">
        <f>SUM(F26:F30)</f>
        <v>27120</v>
      </c>
      <c r="G31" s="7"/>
    </row>
    <row r="32" spans="1:13" ht="15.75" thickTop="1" x14ac:dyDescent="0.25"/>
  </sheetData>
  <mergeCells count="10">
    <mergeCell ref="A31:E31"/>
    <mergeCell ref="A2:A6"/>
    <mergeCell ref="A8:A12"/>
    <mergeCell ref="A14:A18"/>
    <mergeCell ref="A20:A24"/>
    <mergeCell ref="A26:A30"/>
    <mergeCell ref="A7:E7"/>
    <mergeCell ref="A19:E19"/>
    <mergeCell ref="A13:E13"/>
    <mergeCell ref="A25:E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L15"/>
  <sheetViews>
    <sheetView topLeftCell="B1" workbookViewId="0">
      <selection activeCell="L30" sqref="L30"/>
    </sheetView>
  </sheetViews>
  <sheetFormatPr defaultRowHeight="15" x14ac:dyDescent="0.25"/>
  <cols>
    <col min="2" max="2" width="28.7109375" customWidth="1"/>
    <col min="5" max="5" width="11.28515625" customWidth="1"/>
    <col min="6" max="6" width="10.140625" customWidth="1"/>
    <col min="8" max="8" width="11.28515625" customWidth="1"/>
  </cols>
  <sheetData>
    <row r="2" spans="2:12" x14ac:dyDescent="0.25">
      <c r="B2" s="39" t="s">
        <v>39</v>
      </c>
      <c r="C2" s="14">
        <v>2.94</v>
      </c>
      <c r="D2" s="14">
        <v>3.2000000000000001E-2</v>
      </c>
      <c r="E2" s="14">
        <f>E5</f>
        <v>490</v>
      </c>
      <c r="F2" s="14">
        <v>2.9</v>
      </c>
      <c r="G2" s="14">
        <f>F5</f>
        <v>120</v>
      </c>
      <c r="H2" s="14">
        <v>2.62</v>
      </c>
      <c r="I2" s="14">
        <f>G5</f>
        <v>120</v>
      </c>
      <c r="J2" s="14">
        <f>H5</f>
        <v>50</v>
      </c>
      <c r="K2" s="12" t="s">
        <v>22</v>
      </c>
      <c r="L2">
        <f>ROUND((C2+D2*E2+F2*G2+H2*I2)*J2, 0)</f>
        <v>34051</v>
      </c>
    </row>
    <row r="4" spans="2:12" ht="15.75" thickBot="1" x14ac:dyDescent="0.3">
      <c r="E4" t="s">
        <v>42</v>
      </c>
      <c r="F4" t="s">
        <v>43</v>
      </c>
      <c r="G4" t="s">
        <v>44</v>
      </c>
      <c r="H4" t="s">
        <v>40</v>
      </c>
    </row>
    <row r="5" spans="2:12" ht="15.75" thickBot="1" x14ac:dyDescent="0.3">
      <c r="C5" s="38"/>
      <c r="D5" s="38"/>
      <c r="E5" s="1">
        <v>490</v>
      </c>
      <c r="F5" s="40">
        <v>120</v>
      </c>
      <c r="G5" s="40">
        <v>120</v>
      </c>
      <c r="H5" s="12">
        <v>50</v>
      </c>
    </row>
    <row r="7" spans="2:12" x14ac:dyDescent="0.25">
      <c r="B7" s="39" t="s">
        <v>41</v>
      </c>
      <c r="C7" s="14">
        <f>D10</f>
        <v>13680</v>
      </c>
      <c r="D7" s="14">
        <f>E10</f>
        <v>20</v>
      </c>
      <c r="E7" s="14">
        <f>F10</f>
        <v>8</v>
      </c>
      <c r="F7" s="14" t="s">
        <v>22</v>
      </c>
      <c r="G7" s="14">
        <f>C7*D7/E7</f>
        <v>34200</v>
      </c>
    </row>
    <row r="9" spans="2:12" ht="57.75" customHeight="1" thickBot="1" x14ac:dyDescent="0.3">
      <c r="C9" s="38"/>
      <c r="D9" s="35" t="s">
        <v>51</v>
      </c>
      <c r="E9" s="14" t="s">
        <v>45</v>
      </c>
      <c r="F9" s="35" t="s">
        <v>46</v>
      </c>
      <c r="H9" s="35" t="s">
        <v>47</v>
      </c>
      <c r="I9" s="35" t="s">
        <v>48</v>
      </c>
      <c r="J9" s="35" t="s">
        <v>49</v>
      </c>
      <c r="K9" s="35"/>
    </row>
    <row r="10" spans="2:12" ht="15.75" thickBot="1" x14ac:dyDescent="0.3">
      <c r="D10">
        <f>PRODUCT(H10:J10)</f>
        <v>13680</v>
      </c>
      <c r="E10" s="12">
        <v>20</v>
      </c>
      <c r="F10" s="12">
        <v>8</v>
      </c>
      <c r="G10" s="12"/>
      <c r="H10" s="1">
        <v>30</v>
      </c>
      <c r="I10" s="41">
        <v>3.8</v>
      </c>
      <c r="J10" s="40">
        <v>120</v>
      </c>
    </row>
    <row r="11" spans="2:12" x14ac:dyDescent="0.25">
      <c r="C11" s="38"/>
      <c r="D11" s="38"/>
    </row>
    <row r="12" spans="2:12" x14ac:dyDescent="0.25">
      <c r="B12" s="39" t="s">
        <v>50</v>
      </c>
      <c r="C12" s="14">
        <f>D15</f>
        <v>10120.000000000002</v>
      </c>
      <c r="D12" s="14">
        <f>E15</f>
        <v>20</v>
      </c>
      <c r="E12" s="14">
        <f>F15</f>
        <v>8</v>
      </c>
      <c r="F12" s="14" t="s">
        <v>22</v>
      </c>
      <c r="G12" s="14">
        <f>C12*D12/E12</f>
        <v>25300.000000000004</v>
      </c>
    </row>
    <row r="14" spans="2:12" ht="60.75" thickBot="1" x14ac:dyDescent="0.3">
      <c r="C14" s="38"/>
      <c r="D14" s="35" t="s">
        <v>51</v>
      </c>
      <c r="E14" s="14" t="s">
        <v>45</v>
      </c>
      <c r="F14" s="35" t="s">
        <v>46</v>
      </c>
      <c r="H14" s="35" t="s">
        <v>47</v>
      </c>
      <c r="I14" s="35" t="s">
        <v>48</v>
      </c>
      <c r="J14" s="35" t="s">
        <v>49</v>
      </c>
    </row>
    <row r="15" spans="2:12" ht="15.75" thickBot="1" x14ac:dyDescent="0.3">
      <c r="D15">
        <f>PRODUCT(H15:J15)</f>
        <v>10120.000000000002</v>
      </c>
      <c r="E15" s="12">
        <v>20</v>
      </c>
      <c r="F15" s="12">
        <v>8</v>
      </c>
      <c r="G15" s="12"/>
      <c r="H15" s="1">
        <v>50</v>
      </c>
      <c r="I15" s="41">
        <v>4.4000000000000004</v>
      </c>
      <c r="J15" s="40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4"/>
  <sheetViews>
    <sheetView zoomScale="115" zoomScaleNormal="115" workbookViewId="0">
      <selection activeCell="E12" sqref="E12"/>
    </sheetView>
  </sheetViews>
  <sheetFormatPr defaultRowHeight="15" x14ac:dyDescent="0.25"/>
  <cols>
    <col min="4" max="4" width="16.140625" customWidth="1"/>
    <col min="5" max="5" width="13.5703125" customWidth="1"/>
    <col min="6" max="6" width="14.42578125" customWidth="1"/>
    <col min="7" max="7" width="14.7109375" customWidth="1"/>
    <col min="8" max="8" width="13.5703125" customWidth="1"/>
    <col min="9" max="9" width="13.85546875" customWidth="1"/>
    <col min="10" max="10" width="14.140625" customWidth="1"/>
    <col min="11" max="11" width="15.28515625" customWidth="1"/>
    <col min="12" max="12" width="10.85546875" customWidth="1"/>
    <col min="14" max="14" width="10.28515625" customWidth="1"/>
  </cols>
  <sheetData>
    <row r="1" spans="1:17" x14ac:dyDescent="0.25">
      <c r="A1" s="125" t="s">
        <v>52</v>
      </c>
      <c r="B1" s="136" t="s">
        <v>58</v>
      </c>
      <c r="C1" s="137"/>
      <c r="D1" s="138"/>
      <c r="E1" s="130" t="s">
        <v>57</v>
      </c>
      <c r="F1" s="131"/>
      <c r="G1" s="131"/>
      <c r="H1" s="131"/>
      <c r="I1" s="131"/>
      <c r="J1" s="132"/>
      <c r="K1" s="127" t="s">
        <v>59</v>
      </c>
      <c r="L1" s="125" t="s">
        <v>60</v>
      </c>
    </row>
    <row r="2" spans="1:17" x14ac:dyDescent="0.25">
      <c r="A2" s="125"/>
      <c r="B2" s="136"/>
      <c r="C2" s="137"/>
      <c r="D2" s="138"/>
      <c r="E2" s="76" t="s">
        <v>5</v>
      </c>
      <c r="F2" s="78" t="s">
        <v>6</v>
      </c>
      <c r="G2" s="61" t="s">
        <v>7</v>
      </c>
      <c r="H2" s="78" t="s">
        <v>8</v>
      </c>
      <c r="I2" s="61" t="s">
        <v>9</v>
      </c>
      <c r="J2" s="77" t="s">
        <v>110</v>
      </c>
      <c r="K2" s="127"/>
      <c r="L2" s="125"/>
    </row>
    <row r="3" spans="1:17" x14ac:dyDescent="0.25">
      <c r="A3" s="125"/>
      <c r="B3" s="136"/>
      <c r="C3" s="137"/>
      <c r="D3" s="138"/>
      <c r="E3" s="133" t="s">
        <v>104</v>
      </c>
      <c r="F3" s="134"/>
      <c r="G3" s="134"/>
      <c r="H3" s="134"/>
      <c r="I3" s="134"/>
      <c r="J3" s="135"/>
      <c r="K3" s="127"/>
      <c r="L3" s="125"/>
    </row>
    <row r="4" spans="1:17" ht="15.75" thickBot="1" x14ac:dyDescent="0.3">
      <c r="A4" s="126"/>
      <c r="B4" s="139"/>
      <c r="C4" s="140"/>
      <c r="D4" s="141"/>
      <c r="E4" s="84" t="str">
        <f>'4-ОМК'!I7</f>
        <v>1 -  11</v>
      </c>
      <c r="F4" s="85" t="str">
        <f>'4-ОМК'!I8</f>
        <v>12 - 18</v>
      </c>
      <c r="G4" s="86" t="str">
        <f>'4-ОМК'!I9</f>
        <v>19 - 26</v>
      </c>
      <c r="H4" s="86" t="str">
        <f>'4-ОМК'!I10</f>
        <v>27 - 34</v>
      </c>
      <c r="I4" s="86" t="str">
        <f>'4-ОМК'!I11</f>
        <v>35 - 42</v>
      </c>
      <c r="J4" s="87" t="str">
        <f>'4-ОМК'!L7</f>
        <v>43 - 45</v>
      </c>
      <c r="K4" s="54">
        <f>'4-ОМК'!B4</f>
        <v>46</v>
      </c>
      <c r="L4" s="48">
        <f>'4-ОМК'!F2</f>
        <v>46</v>
      </c>
    </row>
    <row r="5" spans="1:17" ht="14.25" customHeight="1" thickTop="1" x14ac:dyDescent="0.25">
      <c r="A5" s="46">
        <v>1</v>
      </c>
      <c r="B5" s="112" t="s">
        <v>53</v>
      </c>
      <c r="C5" s="112"/>
      <c r="D5" s="127"/>
      <c r="E5" s="66" t="s">
        <v>56</v>
      </c>
      <c r="F5" s="74" t="s">
        <v>56</v>
      </c>
      <c r="G5" s="74" t="s">
        <v>56</v>
      </c>
      <c r="H5" s="74" t="s">
        <v>56</v>
      </c>
      <c r="I5" s="74" t="s">
        <v>56</v>
      </c>
      <c r="J5" s="55" t="s">
        <v>56</v>
      </c>
      <c r="K5" s="55" t="s">
        <v>56</v>
      </c>
      <c r="L5" s="51" t="s">
        <v>56</v>
      </c>
    </row>
    <row r="6" spans="1:17" x14ac:dyDescent="0.25">
      <c r="A6" s="46">
        <v>2</v>
      </c>
      <c r="B6" s="112" t="s">
        <v>53</v>
      </c>
      <c r="C6" s="112"/>
      <c r="D6" s="127"/>
      <c r="E6" s="65" t="s">
        <v>56</v>
      </c>
      <c r="F6" s="70" t="s">
        <v>56</v>
      </c>
      <c r="G6" s="70" t="s">
        <v>56</v>
      </c>
      <c r="H6" s="70" t="s">
        <v>56</v>
      </c>
      <c r="I6" s="70" t="s">
        <v>56</v>
      </c>
      <c r="J6" s="55" t="s">
        <v>56</v>
      </c>
      <c r="K6" s="55" t="s">
        <v>56</v>
      </c>
      <c r="L6" s="46" t="s">
        <v>56</v>
      </c>
    </row>
    <row r="7" spans="1:17" x14ac:dyDescent="0.25">
      <c r="A7" s="46">
        <v>3</v>
      </c>
      <c r="B7" s="112" t="s">
        <v>54</v>
      </c>
      <c r="C7" s="112"/>
      <c r="D7" s="127"/>
      <c r="E7" s="88" t="str">
        <f>E4</f>
        <v>1 -  11</v>
      </c>
      <c r="F7" s="89" t="str">
        <f t="shared" ref="F7:K7" si="0">F4</f>
        <v>12 - 18</v>
      </c>
      <c r="G7" s="89" t="str">
        <f t="shared" si="0"/>
        <v>19 - 26</v>
      </c>
      <c r="H7" s="89" t="str">
        <f t="shared" si="0"/>
        <v>27 - 34</v>
      </c>
      <c r="I7" s="89" t="str">
        <f t="shared" si="0"/>
        <v>35 - 42</v>
      </c>
      <c r="J7" s="90" t="str">
        <f t="shared" si="0"/>
        <v>43 - 45</v>
      </c>
      <c r="K7" s="56">
        <f t="shared" si="0"/>
        <v>46</v>
      </c>
      <c r="L7" s="46" t="s">
        <v>56</v>
      </c>
    </row>
    <row r="8" spans="1:17" ht="27" customHeight="1" thickBot="1" x14ac:dyDescent="0.3">
      <c r="A8" s="46">
        <v>4</v>
      </c>
      <c r="B8" s="128" t="s">
        <v>55</v>
      </c>
      <c r="C8" s="128"/>
      <c r="D8" s="129"/>
      <c r="E8" s="67">
        <v>2</v>
      </c>
      <c r="F8" s="71">
        <v>2</v>
      </c>
      <c r="G8" s="71">
        <v>2</v>
      </c>
      <c r="H8" s="71">
        <v>2</v>
      </c>
      <c r="I8" s="71">
        <v>2</v>
      </c>
      <c r="J8" s="58">
        <v>2</v>
      </c>
      <c r="K8" s="58">
        <v>1</v>
      </c>
      <c r="L8" s="52" t="s">
        <v>56</v>
      </c>
    </row>
    <row r="9" spans="1:17" x14ac:dyDescent="0.25">
      <c r="A9" s="46">
        <v>5</v>
      </c>
      <c r="B9" s="116" t="s">
        <v>67</v>
      </c>
      <c r="C9" s="100" t="s">
        <v>63</v>
      </c>
      <c r="D9" s="55" t="s">
        <v>61</v>
      </c>
      <c r="E9" s="80" t="s">
        <v>78</v>
      </c>
      <c r="F9" s="73" t="s">
        <v>78</v>
      </c>
      <c r="G9" s="81" t="s">
        <v>78</v>
      </c>
      <c r="H9" s="73" t="s">
        <v>78</v>
      </c>
      <c r="I9" s="81" t="s">
        <v>78</v>
      </c>
      <c r="J9" s="57" t="s">
        <v>78</v>
      </c>
      <c r="K9" s="82" t="s">
        <v>78</v>
      </c>
      <c r="L9" s="46" t="s">
        <v>56</v>
      </c>
    </row>
    <row r="10" spans="1:17" x14ac:dyDescent="0.25">
      <c r="A10" s="46">
        <v>6</v>
      </c>
      <c r="B10" s="124"/>
      <c r="C10" s="100"/>
      <c r="D10" s="55" t="s">
        <v>62</v>
      </c>
      <c r="E10" s="68">
        <f>'4-ОМК'!H7*Каталоги!AA2</f>
        <v>2860</v>
      </c>
      <c r="F10" s="72">
        <f>'4-ОМК'!H8*Каталоги!AA2</f>
        <v>1820</v>
      </c>
      <c r="G10" s="72">
        <f>'4-ОМК'!H9*Каталоги!AA2</f>
        <v>2080</v>
      </c>
      <c r="H10" s="72">
        <f>'4-ОМК'!H10*Каталоги!AA2</f>
        <v>2080</v>
      </c>
      <c r="I10" s="72">
        <f>'4-ОМК'!H11*Каталоги!AA2</f>
        <v>2080</v>
      </c>
      <c r="J10" s="63">
        <f>'4-ОМК'!K7*Каталоги!AA2</f>
        <v>780</v>
      </c>
      <c r="K10" s="55">
        <f>Каталоги!AA2</f>
        <v>260</v>
      </c>
      <c r="L10" s="46">
        <f>SUM(E10:K10)</f>
        <v>11960</v>
      </c>
    </row>
    <row r="11" spans="1:17" x14ac:dyDescent="0.25">
      <c r="A11" s="46">
        <v>7</v>
      </c>
      <c r="B11" s="124"/>
      <c r="C11" s="100" t="s">
        <v>64</v>
      </c>
      <c r="D11" s="55" t="s">
        <v>65</v>
      </c>
      <c r="E11" s="68" t="s">
        <v>94</v>
      </c>
      <c r="F11" s="72" t="s">
        <v>94</v>
      </c>
      <c r="G11" s="72" t="s">
        <v>94</v>
      </c>
      <c r="H11" s="72" t="s">
        <v>94</v>
      </c>
      <c r="I11" s="72" t="s">
        <v>94</v>
      </c>
      <c r="J11" s="63" t="s">
        <v>94</v>
      </c>
      <c r="K11" s="55" t="s">
        <v>107</v>
      </c>
      <c r="L11" s="46" t="s">
        <v>56</v>
      </c>
    </row>
    <row r="12" spans="1:17" x14ac:dyDescent="0.25">
      <c r="A12" s="46">
        <v>8</v>
      </c>
      <c r="B12" s="124"/>
      <c r="C12" s="100"/>
      <c r="D12" s="55" t="s">
        <v>66</v>
      </c>
      <c r="E12" s="65">
        <f>'4-ОМК'!H7*(SUM(Каталоги!AA3:AA4))</f>
        <v>3190</v>
      </c>
      <c r="F12" s="70">
        <f>'4-ОМК'!H8*(SUM(Каталоги!AA3:AA4))</f>
        <v>2030</v>
      </c>
      <c r="G12" s="70">
        <f>'4-ОМК'!H9*(SUM(Каталоги!AA3:AA4))</f>
        <v>2320</v>
      </c>
      <c r="H12" s="70">
        <f>'4-ОМК'!H10*(SUM(Каталоги!AA3:AA4))</f>
        <v>2320</v>
      </c>
      <c r="I12" s="70">
        <f>'4-ОМК'!H11*(SUM(Каталоги!AA3:AA4))</f>
        <v>2320</v>
      </c>
      <c r="J12" s="55">
        <f>'4-ОМК'!K7*(SUM(Каталоги!AA3:AA4))</f>
        <v>870</v>
      </c>
      <c r="K12" s="55">
        <f>Каталоги!AA3</f>
        <v>50</v>
      </c>
      <c r="L12" s="46">
        <f>SUM(E12:K12)</f>
        <v>13100</v>
      </c>
    </row>
    <row r="13" spans="1:17" x14ac:dyDescent="0.25">
      <c r="A13" s="46">
        <v>9</v>
      </c>
      <c r="B13" s="124"/>
      <c r="C13" s="112" t="s">
        <v>67</v>
      </c>
      <c r="D13" s="55" t="s">
        <v>74</v>
      </c>
      <c r="E13" s="65" t="s">
        <v>111</v>
      </c>
      <c r="F13" s="70" t="s">
        <v>112</v>
      </c>
      <c r="G13" s="70" t="s">
        <v>113</v>
      </c>
      <c r="H13" s="70" t="s">
        <v>114</v>
      </c>
      <c r="I13" s="70" t="s">
        <v>115</v>
      </c>
      <c r="J13" s="55" t="s">
        <v>56</v>
      </c>
      <c r="K13" s="55" t="s">
        <v>56</v>
      </c>
      <c r="L13" s="46" t="s">
        <v>56</v>
      </c>
    </row>
    <row r="14" spans="1:17" ht="15.75" thickBot="1" x14ac:dyDescent="0.3">
      <c r="A14" s="46">
        <v>10</v>
      </c>
      <c r="B14" s="119"/>
      <c r="C14" s="101"/>
      <c r="D14" s="58" t="s">
        <v>73</v>
      </c>
      <c r="E14" s="67">
        <f>'5-РКПСиОК'!F7</f>
        <v>20142</v>
      </c>
      <c r="F14" s="71">
        <f>'5-РКПСиОК'!F13</f>
        <v>8177</v>
      </c>
      <c r="G14" s="71">
        <f>'5-РКПСиОК'!F19</f>
        <v>16500</v>
      </c>
      <c r="H14" s="75">
        <f>'5-РКПСиОК'!F25</f>
        <v>10451</v>
      </c>
      <c r="I14" s="71">
        <f>'5-РКПСиОК'!F31</f>
        <v>27120</v>
      </c>
      <c r="J14" s="58" t="s">
        <v>56</v>
      </c>
      <c r="K14" s="58" t="s">
        <v>56</v>
      </c>
      <c r="L14" s="52">
        <f>SUM(E14:K14)</f>
        <v>82390</v>
      </c>
    </row>
    <row r="15" spans="1:17" x14ac:dyDescent="0.25">
      <c r="A15" s="46">
        <v>11</v>
      </c>
      <c r="B15" s="116" t="s">
        <v>75</v>
      </c>
      <c r="C15" s="112" t="s">
        <v>68</v>
      </c>
      <c r="D15" s="55" t="s">
        <v>76</v>
      </c>
      <c r="E15" s="65" t="s">
        <v>56</v>
      </c>
      <c r="F15" s="70" t="s">
        <v>56</v>
      </c>
      <c r="G15" s="70" t="s">
        <v>56</v>
      </c>
      <c r="H15" s="70" t="s">
        <v>56</v>
      </c>
      <c r="I15" s="70" t="s">
        <v>56</v>
      </c>
      <c r="J15" s="55" t="s">
        <v>56</v>
      </c>
      <c r="K15" s="55" t="s">
        <v>88</v>
      </c>
      <c r="L15" s="53" t="s">
        <v>56</v>
      </c>
      <c r="Q15" s="11"/>
    </row>
    <row r="16" spans="1:17" x14ac:dyDescent="0.25">
      <c r="A16" s="46">
        <v>12</v>
      </c>
      <c r="B16" s="124"/>
      <c r="C16" s="112"/>
      <c r="D16" s="55" t="s">
        <v>77</v>
      </c>
      <c r="E16" s="65" t="s">
        <v>56</v>
      </c>
      <c r="F16" s="70" t="s">
        <v>56</v>
      </c>
      <c r="G16" s="70" t="s">
        <v>56</v>
      </c>
      <c r="H16" s="70" t="s">
        <v>56</v>
      </c>
      <c r="I16" s="70" t="s">
        <v>56</v>
      </c>
      <c r="J16" s="55" t="s">
        <v>56</v>
      </c>
      <c r="K16" s="55">
        <f>'6-РКИСиРК'!L2</f>
        <v>34051</v>
      </c>
      <c r="L16" s="46">
        <f>SUM(E16:K16)</f>
        <v>34051</v>
      </c>
    </row>
    <row r="17" spans="1:19" x14ac:dyDescent="0.25">
      <c r="A17" s="46">
        <v>13</v>
      </c>
      <c r="B17" s="124"/>
      <c r="C17" s="47" t="s">
        <v>69</v>
      </c>
      <c r="D17" s="55" t="s">
        <v>71</v>
      </c>
      <c r="E17" s="65" t="s">
        <v>56</v>
      </c>
      <c r="F17" s="70" t="s">
        <v>56</v>
      </c>
      <c r="G17" s="70" t="s">
        <v>56</v>
      </c>
      <c r="H17" s="70" t="s">
        <v>56</v>
      </c>
      <c r="I17" s="70" t="s">
        <v>56</v>
      </c>
      <c r="J17" s="55" t="s">
        <v>56</v>
      </c>
      <c r="K17" s="55">
        <f>'6-РКИСиРК'!G7</f>
        <v>34200</v>
      </c>
      <c r="L17" s="46">
        <f>SUM(E17:K17)</f>
        <v>34200</v>
      </c>
    </row>
    <row r="18" spans="1:19" ht="15.75" thickBot="1" x14ac:dyDescent="0.3">
      <c r="A18" s="46">
        <v>14</v>
      </c>
      <c r="B18" s="119"/>
      <c r="C18" s="50" t="s">
        <v>70</v>
      </c>
      <c r="D18" s="58" t="s">
        <v>72</v>
      </c>
      <c r="E18" s="67" t="s">
        <v>56</v>
      </c>
      <c r="F18" s="71" t="s">
        <v>56</v>
      </c>
      <c r="G18" s="71" t="s">
        <v>56</v>
      </c>
      <c r="H18" s="71" t="s">
        <v>56</v>
      </c>
      <c r="I18" s="71" t="s">
        <v>56</v>
      </c>
      <c r="J18" s="58" t="s">
        <v>56</v>
      </c>
      <c r="K18" s="58">
        <f>'6-РКИСиРК'!G12</f>
        <v>25300.000000000004</v>
      </c>
      <c r="L18" s="59">
        <f>SUM(E18:K18)</f>
        <v>25300.000000000004</v>
      </c>
      <c r="M18" s="11"/>
      <c r="N18" s="11"/>
    </row>
    <row r="19" spans="1:19" x14ac:dyDescent="0.25">
      <c r="A19" s="46">
        <v>15</v>
      </c>
      <c r="B19" s="113" t="s">
        <v>79</v>
      </c>
      <c r="C19" s="117" t="s">
        <v>80</v>
      </c>
      <c r="D19" s="55" t="s">
        <v>82</v>
      </c>
      <c r="E19" s="69" t="s">
        <v>86</v>
      </c>
      <c r="F19" s="73" t="s">
        <v>86</v>
      </c>
      <c r="G19" s="73" t="s">
        <v>86</v>
      </c>
      <c r="H19" s="73" t="s">
        <v>86</v>
      </c>
      <c r="I19" s="73" t="s">
        <v>86</v>
      </c>
      <c r="J19" s="57" t="s">
        <v>86</v>
      </c>
      <c r="K19" s="55" t="s">
        <v>86</v>
      </c>
      <c r="L19" s="46" t="s">
        <v>56</v>
      </c>
    </row>
    <row r="20" spans="1:19" x14ac:dyDescent="0.25">
      <c r="A20" s="46">
        <v>16</v>
      </c>
      <c r="B20" s="114"/>
      <c r="C20" s="112"/>
      <c r="D20" s="55" t="s">
        <v>83</v>
      </c>
      <c r="E20" s="65">
        <f>'4-ОМК'!H7*Каталоги!$R$2</f>
        <v>15598</v>
      </c>
      <c r="F20" s="70">
        <f>'4-ОМК'!H8*Каталоги!$R$2</f>
        <v>9926</v>
      </c>
      <c r="G20" s="70">
        <f>'4-ОМК'!H9*Каталоги!$R$2</f>
        <v>11344</v>
      </c>
      <c r="H20" s="70">
        <f>'4-ОМК'!H10*Каталоги!$R$2</f>
        <v>11344</v>
      </c>
      <c r="I20" s="70">
        <f>'4-ОМК'!H11*Каталоги!$R$2</f>
        <v>11344</v>
      </c>
      <c r="J20" s="55">
        <f>'4-ОМК'!K7*Каталоги!R2</f>
        <v>4254</v>
      </c>
      <c r="K20" s="55">
        <f>'4-ОМК'!B2*Каталоги!R2</f>
        <v>1418</v>
      </c>
      <c r="L20" s="46">
        <f>SUM(E20:K20)</f>
        <v>65228</v>
      </c>
      <c r="M20" s="7"/>
    </row>
    <row r="21" spans="1:19" x14ac:dyDescent="0.25">
      <c r="A21" s="46">
        <v>17</v>
      </c>
      <c r="B21" s="114"/>
      <c r="C21" s="112" t="s">
        <v>81</v>
      </c>
      <c r="D21" s="55" t="s">
        <v>84</v>
      </c>
      <c r="E21" s="65" t="s">
        <v>87</v>
      </c>
      <c r="F21" s="70" t="s">
        <v>87</v>
      </c>
      <c r="G21" s="70" t="s">
        <v>117</v>
      </c>
      <c r="H21" s="70" t="s">
        <v>87</v>
      </c>
      <c r="I21" s="70" t="s">
        <v>117</v>
      </c>
      <c r="J21" s="55" t="s">
        <v>87</v>
      </c>
      <c r="K21" s="55" t="s">
        <v>56</v>
      </c>
      <c r="L21" s="46" t="s">
        <v>56</v>
      </c>
    </row>
    <row r="22" spans="1:19" ht="15.75" thickBot="1" x14ac:dyDescent="0.3">
      <c r="A22" s="46">
        <v>18</v>
      </c>
      <c r="B22" s="115"/>
      <c r="C22" s="101"/>
      <c r="D22" s="58" t="s">
        <v>85</v>
      </c>
      <c r="E22" s="67">
        <f>6*Каталоги!$G$3</f>
        <v>1260</v>
      </c>
      <c r="F22" s="71">
        <f>4*Каталоги!$G$3</f>
        <v>840</v>
      </c>
      <c r="G22" s="71">
        <f>4*Каталоги!$G$2</f>
        <v>760</v>
      </c>
      <c r="H22" s="71">
        <f>4*Каталоги!$G$3</f>
        <v>840</v>
      </c>
      <c r="I22" s="71">
        <f>4*Каталоги!$G$2</f>
        <v>760</v>
      </c>
      <c r="J22" s="58">
        <f>2*Каталоги!G3</f>
        <v>420</v>
      </c>
      <c r="K22" s="58" t="s">
        <v>56</v>
      </c>
      <c r="L22" s="52">
        <f>SUM(E22:K22)</f>
        <v>4880</v>
      </c>
    </row>
    <row r="23" spans="1:19" x14ac:dyDescent="0.25">
      <c r="A23" s="46">
        <v>19</v>
      </c>
      <c r="B23" s="116" t="s">
        <v>103</v>
      </c>
      <c r="C23" s="117"/>
      <c r="D23" s="118"/>
      <c r="E23" s="65">
        <f>ROUND((E10+E12+E14+E20+E22)/'4-ОМК'!H7, 2)</f>
        <v>3913.64</v>
      </c>
      <c r="F23" s="70">
        <f>ROUND((F10+F12+F14+F20+F22)/'4-ОМК'!H8,2)</f>
        <v>3256.14</v>
      </c>
      <c r="G23" s="70">
        <f>ROUND((G10+G12+G14+G20+G22)/'4-ОМК'!H9,2)</f>
        <v>4125.5</v>
      </c>
      <c r="H23" s="70">
        <f>ROUND((H10+H12+H14+H20+H22)/'4-ОМК'!H10,2)</f>
        <v>3379.38</v>
      </c>
      <c r="I23" s="70">
        <f>ROUND((I10+I12+I14+I20+I22)/'4-ОМК'!H11,2)</f>
        <v>5453</v>
      </c>
      <c r="J23" s="91">
        <f>ROUND((J10+J12+J20+J22)/'4-ОМК'!K7,2)</f>
        <v>2108</v>
      </c>
      <c r="K23" s="55" t="s">
        <v>56</v>
      </c>
      <c r="L23" s="110">
        <f>SUM(E24:J24)+K25</f>
        <v>271109</v>
      </c>
      <c r="S23" s="11"/>
    </row>
    <row r="24" spans="1:19" ht="15.75" thickBot="1" x14ac:dyDescent="0.3">
      <c r="A24" s="46">
        <v>20</v>
      </c>
      <c r="B24" s="119" t="s">
        <v>89</v>
      </c>
      <c r="C24" s="101"/>
      <c r="D24" s="120"/>
      <c r="E24" s="67">
        <f>E10+E12+E14+E20+E22</f>
        <v>43050</v>
      </c>
      <c r="F24" s="71">
        <f t="shared" ref="F24:I24" si="1">F10+F12+F14+F20+F22</f>
        <v>22793</v>
      </c>
      <c r="G24" s="71">
        <f t="shared" si="1"/>
        <v>33004</v>
      </c>
      <c r="H24" s="71">
        <f t="shared" si="1"/>
        <v>27035</v>
      </c>
      <c r="I24" s="71">
        <f t="shared" si="1"/>
        <v>43624</v>
      </c>
      <c r="J24" s="92">
        <f>J10+J12+J20+J22</f>
        <v>6324</v>
      </c>
      <c r="K24" s="58" t="s">
        <v>56</v>
      </c>
      <c r="L24" s="111"/>
    </row>
    <row r="25" spans="1:19" ht="15.75" thickBot="1" x14ac:dyDescent="0.3">
      <c r="A25" s="46">
        <v>21</v>
      </c>
      <c r="B25" s="121" t="s">
        <v>91</v>
      </c>
      <c r="C25" s="122"/>
      <c r="D25" s="122"/>
      <c r="E25" s="122"/>
      <c r="F25" s="122"/>
      <c r="G25" s="122"/>
      <c r="H25" s="122"/>
      <c r="I25" s="122"/>
      <c r="J25" s="123"/>
      <c r="K25" s="64">
        <f>K20+K12+K10+SUM(K16:K18)</f>
        <v>95279</v>
      </c>
      <c r="L25" s="111"/>
    </row>
    <row r="26" spans="1:19" ht="16.5" thickTop="1" thickBot="1" x14ac:dyDescent="0.3">
      <c r="A26" s="48">
        <v>22</v>
      </c>
      <c r="B26" s="108" t="s">
        <v>90</v>
      </c>
      <c r="C26" s="109"/>
      <c r="D26" s="109"/>
      <c r="E26" s="109"/>
      <c r="F26" s="109"/>
      <c r="G26" s="109"/>
      <c r="H26" s="109"/>
      <c r="I26" s="109"/>
      <c r="J26" s="109"/>
      <c r="K26" s="109"/>
      <c r="L26" s="60">
        <f>L10+L12+L14+SUM(L16:L18)+L20+L22</f>
        <v>271109</v>
      </c>
    </row>
    <row r="27" spans="1:19" ht="15.75" thickTop="1" x14ac:dyDescent="0.25"/>
    <row r="28" spans="1:19" x14ac:dyDescent="0.25">
      <c r="K28" t="s">
        <v>95</v>
      </c>
      <c r="L28">
        <f>$L$26-$L$23</f>
        <v>0</v>
      </c>
      <c r="M28" s="49"/>
    </row>
    <row r="30" spans="1:19" x14ac:dyDescent="0.25">
      <c r="B30" s="99" t="s">
        <v>92</v>
      </c>
      <c r="C30" s="99"/>
      <c r="D30" s="14" t="s">
        <v>93</v>
      </c>
      <c r="E30" s="12" t="s">
        <v>22</v>
      </c>
      <c r="F30" s="99" t="s">
        <v>118</v>
      </c>
      <c r="G30" s="99"/>
      <c r="H30" s="99"/>
      <c r="I30" s="99"/>
      <c r="J30" s="99"/>
      <c r="K30" s="99"/>
      <c r="L30" s="99"/>
    </row>
    <row r="31" spans="1:19" x14ac:dyDescent="0.25">
      <c r="B31" s="38"/>
      <c r="C31" s="38"/>
      <c r="D31" s="38"/>
    </row>
    <row r="32" spans="1:19" x14ac:dyDescent="0.25">
      <c r="B32" s="38"/>
      <c r="C32" s="38"/>
      <c r="D32" s="38"/>
      <c r="J32" s="11"/>
    </row>
    <row r="33" spans="2:13" x14ac:dyDescent="0.25">
      <c r="B33" s="38"/>
      <c r="C33" s="38"/>
      <c r="D33" s="38"/>
    </row>
    <row r="34" spans="2:13" x14ac:dyDescent="0.25">
      <c r="B34" s="45"/>
      <c r="C34" s="45"/>
      <c r="D34" s="45"/>
      <c r="M34" s="11"/>
    </row>
  </sheetData>
  <mergeCells count="26">
    <mergeCell ref="K1:K3"/>
    <mergeCell ref="L1:L3"/>
    <mergeCell ref="E1:J1"/>
    <mergeCell ref="E3:J3"/>
    <mergeCell ref="B1:D4"/>
    <mergeCell ref="B15:B18"/>
    <mergeCell ref="A1:A4"/>
    <mergeCell ref="B6:D6"/>
    <mergeCell ref="B7:D7"/>
    <mergeCell ref="B8:D8"/>
    <mergeCell ref="C9:C10"/>
    <mergeCell ref="C11:C12"/>
    <mergeCell ref="C13:C14"/>
    <mergeCell ref="B5:D5"/>
    <mergeCell ref="B9:B14"/>
    <mergeCell ref="C15:C16"/>
    <mergeCell ref="B26:K26"/>
    <mergeCell ref="B30:C30"/>
    <mergeCell ref="F30:L30"/>
    <mergeCell ref="L23:L25"/>
    <mergeCell ref="C21:C22"/>
    <mergeCell ref="B19:B22"/>
    <mergeCell ref="B23:D23"/>
    <mergeCell ref="B24:D24"/>
    <mergeCell ref="B25:J25"/>
    <mergeCell ref="C19:C2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Lab3-TODO</vt:lpstr>
      <vt:lpstr>КаталогРазрабов</vt:lpstr>
      <vt:lpstr>ЭкспертныеДанные</vt:lpstr>
      <vt:lpstr>Каталоги</vt:lpstr>
      <vt:lpstr>4-ОМК</vt:lpstr>
      <vt:lpstr>5-РКПСиОК</vt:lpstr>
      <vt:lpstr>6-РКИСиРК</vt:lpstr>
      <vt:lpstr>8-ОКАСОИиК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2023-10-08T14:15:30Z</dcterms:created>
  <dcterms:modified xsi:type="dcterms:W3CDTF">2023-11-02T16:14:17Z</dcterms:modified>
</cp:coreProperties>
</file>