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trlProps/ctrlProp10.xml" ContentType="application/vnd.ms-excel.controlproperties+xml"/>
  <Override PartName="/xl/drawings/drawing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6.xml" ContentType="application/vnd.openxmlformats-officedocument.drawing+xml"/>
  <Override PartName="/xl/ctrlProps/ctrlProp14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자료\"/>
    </mc:Choice>
  </mc:AlternateContent>
  <xr:revisionPtr revIDLastSave="0" documentId="13_ncr:8001_{794DA67D-1C83-4DC9-8326-46C48A0F68F6}" xr6:coauthVersionLast="47" xr6:coauthVersionMax="47" xr10:uidLastSave="{00000000-0000-0000-0000-000000000000}"/>
  <bookViews>
    <workbookView xWindow="-57720" yWindow="-120" windowWidth="57840" windowHeight="32040" tabRatio="769" activeTab="6" xr2:uid="{00000000-000D-0000-FFFF-FFFF00000000}"/>
  </bookViews>
  <sheets>
    <sheet name="작성방법" sheetId="10" r:id="rId1"/>
    <sheet name="총괄_에너지및온실가스" sheetId="8" r:id="rId2"/>
    <sheet name="Sheet1" sheetId="12" r:id="rId3"/>
    <sheet name="가.에너지" sheetId="7" r:id="rId4"/>
    <sheet name="나.외부공급" sheetId="11" r:id="rId5"/>
    <sheet name="다.매립" sheetId="1" r:id="rId6"/>
    <sheet name="라.생물학적처리" sheetId="6" r:id="rId7"/>
    <sheet name="마.소각" sheetId="3" r:id="rId8"/>
    <sheet name="바.하수" sheetId="4" r:id="rId9"/>
    <sheet name="사.폐수" sheetId="5" r:id="rId10"/>
    <sheet name="Parameter" sheetId="2" r:id="rId11"/>
  </sheets>
  <definedNames>
    <definedName name="DOC_Indu" hidden="1">Parameter!$G$18:$G$30</definedName>
    <definedName name="DOC_MSW" hidden="1">Parameter!$G$5:$G$17</definedName>
    <definedName name="DOCf" hidden="1">Parameter!$G$33</definedName>
    <definedName name="EF_Comp_CH4" hidden="1">Parameter!$G$42</definedName>
    <definedName name="EF_Comp_N2O" hidden="1">Parameter!$G$43</definedName>
    <definedName name="EF_Digest_CH4" hidden="1">Parameter!$G$44</definedName>
    <definedName name="EF_Digest_N2O" hidden="1">Parameter!$G$45</definedName>
    <definedName name="EF_Elec_CH4" hidden="1">Parameter!$G$50</definedName>
    <definedName name="EF_Elec_CO2" hidden="1">Parameter!$G$49</definedName>
    <definedName name="EF_Elec_N2O" hidden="1">Parameter!$G$51</definedName>
    <definedName name="EF_Elec_year" hidden="1">Parameter!$AB$39:$AD$45</definedName>
    <definedName name="EF_Energy_f_gas" hidden="1">Parameter!$G$55:$I$55</definedName>
    <definedName name="EF_Energy_f_liquid" hidden="1">Parameter!$G$54:$I$54</definedName>
    <definedName name="EF_Energy_f_Solid" hidden="1">Parameter!$G$53:$I$53</definedName>
    <definedName name="EF_Energy_Mobile" hidden="1">Parameter!$P$40:$X$46</definedName>
    <definedName name="EF_Energy_stationary" hidden="1">Parameter!$P$6:$AE$34</definedName>
    <definedName name="EF_inciner_CH4" hidden="1">Parameter!$G$40</definedName>
    <definedName name="EF_Inciner_CH4_List" hidden="1">Parameter!$B$24:$B$29</definedName>
    <definedName name="EF_inciner_N2O" hidden="1">Parameter!$G$41</definedName>
    <definedName name="EF_Inciner_N2O_List" hidden="1">Parameter!$B$17:$B$22</definedName>
    <definedName name="EF_IWWater_CH4" hidden="1">Parameter!$G$48</definedName>
    <definedName name="EF_IWWater_CH4_List" hidden="1">Parameter!$B$34:$B$37</definedName>
    <definedName name="EF_SWDS_MCF_List" hidden="1">Parameter!$B$11:$B$15</definedName>
    <definedName name="EF_SWDS_OX_List" hidden="1">Parameter!$B$5:$B$6</definedName>
    <definedName name="EF_WWater_CH4" hidden="1">Parameter!$G$46</definedName>
    <definedName name="EF_WWater_N2O" hidden="1">Parameter!$G$47</definedName>
    <definedName name="EnergyList_mobile" hidden="1">Parameter!$P$40:$P$46</definedName>
    <definedName name="EnergyList_stationary" hidden="1">Parameter!$P$6:$P$34</definedName>
    <definedName name="EnergyList_고정연소" hidden="1">Parameter!$P$6:$P$34</definedName>
    <definedName name="EnergyList_이동연소" hidden="1">Parameter!$P$40:$P$46</definedName>
    <definedName name="F" hidden="1">Parameter!$G$35</definedName>
    <definedName name="GWP_CH4" hidden="1">Parameter!$F$61</definedName>
    <definedName name="GWP_CO2" hidden="1">Parameter!$F$60</definedName>
    <definedName name="GWP_N2O" hidden="1">Parameter!$F$62</definedName>
    <definedName name="input_가">가.에너지!$B$17:$E$35</definedName>
    <definedName name="input_나">나.외부공급!$B$16:$B$23,나.외부공급!$B$25:$B$32,나.외부공급!$D$16:$D$23,나.외부공급!$D$25:$D$32,나.외부공급!$H$25:$J$32</definedName>
    <definedName name="input_다">다.매립!$C$5:$C$7,다.매립!$C$17:$C$46,다.매립!$D$17:$Q$46</definedName>
    <definedName name="input_라">라.생물학적처리!$D$15:$E$26,라.생물학적처리!$F$18:$G$20,라.생물학적처리!$F$24:$G$26</definedName>
    <definedName name="input_마">마.소각!$D$15:$D$26</definedName>
    <definedName name="input_바">바.하수!$C$15:$I$20</definedName>
    <definedName name="input_사">사.폐수!$C$15:$G$20</definedName>
    <definedName name="k_Indu" hidden="1">Parameter!$H$18:$H$30</definedName>
    <definedName name="k_MSW" hidden="1">Parameter!$H$5:$H$17</definedName>
    <definedName name="MCF" hidden="1">Parameter!$G$34</definedName>
    <definedName name="OF" hidden="1">Parameter!$G$39</definedName>
    <definedName name="OX" hidden="1">Parameter!$G$36</definedName>
    <definedName name="Param_Indu" hidden="1">Parameter!$F$18:$N$30</definedName>
    <definedName name="Param_Indu_Inci">Parameter!$F$67:$N$80</definedName>
    <definedName name="Param_MSW" hidden="1">Parameter!$F$5:$N$17</definedName>
    <definedName name="_xlnm.Print_Area" localSheetId="3">가.에너지!$B$1:$T$35</definedName>
    <definedName name="_xlnm.Print_Area" localSheetId="4">나.외부공급!$B$1:$O$32</definedName>
    <definedName name="_xlnm.Print_Area" localSheetId="5">다.매립!$B$1:$U$46</definedName>
    <definedName name="_xlnm.Print_Area" localSheetId="6">라.생물학적처리!$B$1:$L$26</definedName>
    <definedName name="_xlnm.Print_Area" localSheetId="7">마.소각!$B$1:$Q$25</definedName>
    <definedName name="_xlnm.Print_Area" localSheetId="8">바.하수!$B$1:$P$20</definedName>
    <definedName name="_xlnm.Print_Area" localSheetId="0">작성방법!$A$2:$O$44</definedName>
    <definedName name="Source" hidden="1">Parameter!$E$5,Parameter!$E$18</definedName>
    <definedName name="Tier3_F_Solid" hidden="1">가.에너지!$C$10</definedName>
    <definedName name="Uint10">Parameter!$M$60:$M$61</definedName>
    <definedName name="Unit1" hidden="1">{"㎥/yr";"Ton/yr"}</definedName>
    <definedName name="Unit10" hidden="1">Parameter!$A$43:$A$46</definedName>
    <definedName name="Unit11" hidden="1">Parameter!$A$48:$A$53</definedName>
    <definedName name="Unit12" hidden="1">Parameter!$A$58:$A$59</definedName>
    <definedName name="Unit13" hidden="1">Parameter!$A$62:$A$64</definedName>
    <definedName name="Unit14" hidden="1">Parameter!$A$61:$A$64</definedName>
    <definedName name="Unit2" hidden="1">Parameter!$A$5:$A$6</definedName>
    <definedName name="Unit3" hidden="1">Parameter!$A$8:$A$9</definedName>
    <definedName name="Unit4" hidden="1">Parameter!$A$11:$A$15</definedName>
    <definedName name="Unit5" hidden="1">Parameter!$A$17:$A$22</definedName>
    <definedName name="Unit6" hidden="1">Parameter!$A$24:$A$29</definedName>
    <definedName name="Unit7" hidden="1">Parameter!$A$31:$A$32</definedName>
    <definedName name="Unit8" hidden="1">Parameter!$A$34:$A$37</definedName>
    <definedName name="Unit9" hidden="1">Parameter!$A$39:$A$41</definedName>
    <definedName name="배출계수_전력">Parameter!$AB$44:$AD$44</definedName>
    <definedName name="성상_Indu" hidden="1">Parameter!$F$18:$F$30</definedName>
    <definedName name="성상_Indu_Inci">Parameter!$F$67:$F$80</definedName>
    <definedName name="성상_MSW" hidden="1">Parameter!$F$5:$F$17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3" l="1"/>
  <c r="AX11" i="1"/>
  <c r="AK17" i="1"/>
  <c r="AX10" i="1"/>
  <c r="N47" i="2" a="1"/>
  <c r="N47" i="2" s="1"/>
  <c r="G41" i="2"/>
  <c r="A1" i="12"/>
  <c r="D14" i="3"/>
  <c r="B15" i="3" a="1"/>
  <c r="B17" i="3" s="1"/>
  <c r="G17" i="3" s="1"/>
  <c r="L80" i="2"/>
  <c r="L78" i="2"/>
  <c r="L77" i="2"/>
  <c r="L76" i="2"/>
  <c r="L75" i="2"/>
  <c r="L74" i="2"/>
  <c r="L73" i="2"/>
  <c r="L72" i="2"/>
  <c r="L71" i="2"/>
  <c r="L70" i="2"/>
  <c r="L69" i="2"/>
  <c r="L68" i="2"/>
  <c r="L67" i="2"/>
  <c r="H17" i="3" l="1"/>
  <c r="C17" i="3"/>
  <c r="F17" i="3"/>
  <c r="B26" i="3"/>
  <c r="B22" i="3"/>
  <c r="B18" i="3"/>
  <c r="B27" i="3"/>
  <c r="B23" i="3"/>
  <c r="B19" i="3"/>
  <c r="B15" i="3"/>
  <c r="B24" i="3"/>
  <c r="B20" i="3"/>
  <c r="B16" i="3"/>
  <c r="B25" i="3"/>
  <c r="B21" i="3"/>
  <c r="F20" i="3" l="1"/>
  <c r="H20" i="3"/>
  <c r="G20" i="3"/>
  <c r="C20" i="3"/>
  <c r="C23" i="3"/>
  <c r="H23" i="3"/>
  <c r="G23" i="3"/>
  <c r="F23" i="3"/>
  <c r="H26" i="3"/>
  <c r="G26" i="3"/>
  <c r="C26" i="3"/>
  <c r="F26" i="3"/>
  <c r="H16" i="3"/>
  <c r="F16" i="3"/>
  <c r="G16" i="3"/>
  <c r="C16" i="3"/>
  <c r="C19" i="3"/>
  <c r="H19" i="3"/>
  <c r="G19" i="3"/>
  <c r="F19" i="3"/>
  <c r="H22" i="3"/>
  <c r="G22" i="3"/>
  <c r="C22" i="3"/>
  <c r="F22" i="3"/>
  <c r="G21" i="3"/>
  <c r="F21" i="3"/>
  <c r="C21" i="3"/>
  <c r="H21" i="3"/>
  <c r="F24" i="3"/>
  <c r="H24" i="3"/>
  <c r="G24" i="3"/>
  <c r="C24" i="3"/>
  <c r="C27" i="3"/>
  <c r="H27" i="3"/>
  <c r="G27" i="3"/>
  <c r="F27" i="3"/>
  <c r="G25" i="3"/>
  <c r="F25" i="3"/>
  <c r="C25" i="3"/>
  <c r="H25" i="3"/>
  <c r="G15" i="3"/>
  <c r="H15" i="3"/>
  <c r="C15" i="3"/>
  <c r="F15" i="3"/>
  <c r="H18" i="3"/>
  <c r="G18" i="3"/>
  <c r="C18" i="3"/>
  <c r="F18" i="3"/>
  <c r="E27" i="3" l="1"/>
  <c r="I27" i="3"/>
  <c r="J27" i="3"/>
  <c r="F17" i="7"/>
  <c r="T42" i="2"/>
  <c r="S42" i="2"/>
  <c r="G40" i="2"/>
  <c r="L14" i="3" s="1"/>
  <c r="K20" i="7"/>
  <c r="CA76" i="1" a="1"/>
  <c r="CA76" i="1" s="1"/>
  <c r="U21" i="7"/>
  <c r="V21" i="7" s="1"/>
  <c r="U22" i="7"/>
  <c r="V22" i="7" s="1"/>
  <c r="U23" i="7"/>
  <c r="V23" i="7" s="1"/>
  <c r="U24" i="7"/>
  <c r="V24" i="7" s="1"/>
  <c r="U25" i="7"/>
  <c r="V25" i="7" s="1"/>
  <c r="U26" i="7"/>
  <c r="V26" i="7" s="1"/>
  <c r="U27" i="7"/>
  <c r="V27" i="7" s="1"/>
  <c r="U28" i="7"/>
  <c r="V28" i="7" s="1"/>
  <c r="U29" i="7"/>
  <c r="V29" i="7" s="1"/>
  <c r="U30" i="7"/>
  <c r="V30" i="7" s="1"/>
  <c r="U31" i="7"/>
  <c r="V31" i="7" s="1"/>
  <c r="U32" i="7"/>
  <c r="V32" i="7" s="1"/>
  <c r="U33" i="7"/>
  <c r="V33" i="7" s="1"/>
  <c r="U34" i="7"/>
  <c r="V34" i="7" s="1"/>
  <c r="U35" i="7"/>
  <c r="V35" i="7" s="1"/>
  <c r="X2" i="2"/>
  <c r="X46" i="2"/>
  <c r="X45" i="2"/>
  <c r="X44" i="2"/>
  <c r="X43" i="2"/>
  <c r="X42" i="2"/>
  <c r="X41" i="2"/>
  <c r="X40" i="2"/>
  <c r="O15" i="7"/>
  <c r="N15" i="7"/>
  <c r="M15" i="7"/>
  <c r="O25" i="7"/>
  <c r="O26" i="7"/>
  <c r="O27" i="7"/>
  <c r="O28" i="7"/>
  <c r="O29" i="7"/>
  <c r="O30" i="7"/>
  <c r="O31" i="7"/>
  <c r="O32" i="7"/>
  <c r="O33" i="7"/>
  <c r="O34" i="7"/>
  <c r="O35" i="7"/>
  <c r="M25" i="7"/>
  <c r="N25" i="7"/>
  <c r="M26" i="7"/>
  <c r="N26" i="7"/>
  <c r="M27" i="7"/>
  <c r="N27" i="7"/>
  <c r="M28" i="7"/>
  <c r="N28" i="7"/>
  <c r="M29" i="7"/>
  <c r="N29" i="7"/>
  <c r="M30" i="7"/>
  <c r="N30" i="7"/>
  <c r="M31" i="7"/>
  <c r="N31" i="7"/>
  <c r="M32" i="7"/>
  <c r="N32" i="7"/>
  <c r="M33" i="7"/>
  <c r="N33" i="7"/>
  <c r="M34" i="7"/>
  <c r="N34" i="7"/>
  <c r="M35" i="7"/>
  <c r="N35" i="7"/>
  <c r="I55" i="2"/>
  <c r="H55" i="2"/>
  <c r="I54" i="2"/>
  <c r="H54" i="2"/>
  <c r="I53" i="2"/>
  <c r="H53" i="2"/>
  <c r="G55" i="2"/>
  <c r="G54" i="2"/>
  <c r="G53" i="2"/>
  <c r="H18" i="6"/>
  <c r="I18" i="6" s="1"/>
  <c r="J18" i="6" s="1"/>
  <c r="L18" i="6" s="1"/>
  <c r="H19" i="6"/>
  <c r="I19" i="6" s="1"/>
  <c r="J19" i="6" s="1"/>
  <c r="L19" i="6" s="1"/>
  <c r="H20" i="6"/>
  <c r="I20" i="6" s="1"/>
  <c r="J20" i="6" s="1"/>
  <c r="L20" i="6" s="1"/>
  <c r="H24" i="6"/>
  <c r="I24" i="6" s="1"/>
  <c r="J24" i="6" s="1"/>
  <c r="L24" i="6" s="1"/>
  <c r="H25" i="6"/>
  <c r="I25" i="6" s="1"/>
  <c r="J25" i="6" s="1"/>
  <c r="L25" i="6" s="1"/>
  <c r="H26" i="6"/>
  <c r="I26" i="6" s="1"/>
  <c r="J26" i="6" s="1"/>
  <c r="L26" i="6" s="1"/>
  <c r="K18" i="6"/>
  <c r="K19" i="6"/>
  <c r="K20" i="6"/>
  <c r="K24" i="6"/>
  <c r="K25" i="6"/>
  <c r="K26" i="6"/>
  <c r="O26" i="11"/>
  <c r="O27" i="11"/>
  <c r="O28" i="11"/>
  <c r="O29" i="11"/>
  <c r="O30" i="11"/>
  <c r="O31" i="11"/>
  <c r="O32" i="11"/>
  <c r="O25" i="11"/>
  <c r="G51" i="2"/>
  <c r="J16" i="11" s="1"/>
  <c r="M16" i="11" s="1"/>
  <c r="J18" i="11"/>
  <c r="M18" i="11" s="1"/>
  <c r="G50" i="2"/>
  <c r="I16" i="11" s="1"/>
  <c r="L16" i="11" s="1"/>
  <c r="G49" i="2"/>
  <c r="H18" i="11"/>
  <c r="K18" i="11" s="1"/>
  <c r="B15" i="10"/>
  <c r="B16" i="10"/>
  <c r="B17" i="10"/>
  <c r="B18" i="10"/>
  <c r="B19" i="10"/>
  <c r="B20" i="10"/>
  <c r="B21" i="10"/>
  <c r="B22" i="10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G34" i="2"/>
  <c r="G36" i="2"/>
  <c r="AL11" i="1" s="1"/>
  <c r="M14" i="3"/>
  <c r="G42" i="2"/>
  <c r="F15" i="6" s="1"/>
  <c r="G43" i="2"/>
  <c r="G17" i="6" s="1"/>
  <c r="K17" i="6" s="1"/>
  <c r="G44" i="2"/>
  <c r="F21" i="6" s="1"/>
  <c r="H21" i="6" s="1"/>
  <c r="I21" i="6" s="1"/>
  <c r="J21" i="6" s="1"/>
  <c r="G45" i="2"/>
  <c r="G22" i="6" s="1"/>
  <c r="K22" i="6" s="1"/>
  <c r="G48" i="2"/>
  <c r="H15" i="5" s="1"/>
  <c r="I15" i="5" s="1"/>
  <c r="J17" i="11"/>
  <c r="M17" i="11" s="1"/>
  <c r="J15" i="4"/>
  <c r="L15" i="4" s="1"/>
  <c r="K15" i="4"/>
  <c r="O15" i="4" s="1"/>
  <c r="J16" i="4"/>
  <c r="L16" i="4" s="1"/>
  <c r="M16" i="4" s="1"/>
  <c r="N16" i="4" s="1"/>
  <c r="K16" i="4"/>
  <c r="O16" i="4" s="1"/>
  <c r="J17" i="4"/>
  <c r="L17" i="4" s="1"/>
  <c r="M17" i="4" s="1"/>
  <c r="N17" i="4" s="1"/>
  <c r="K17" i="4"/>
  <c r="O17" i="4" s="1"/>
  <c r="J18" i="4"/>
  <c r="L18" i="4" s="1"/>
  <c r="M18" i="4" s="1"/>
  <c r="N18" i="4" s="1"/>
  <c r="K18" i="4"/>
  <c r="O18" i="4" s="1"/>
  <c r="J19" i="4"/>
  <c r="L19" i="4" s="1"/>
  <c r="M19" i="4" s="1"/>
  <c r="N19" i="4" s="1"/>
  <c r="K19" i="4"/>
  <c r="O19" i="4" s="1"/>
  <c r="J20" i="4"/>
  <c r="L20" i="4" s="1"/>
  <c r="M20" i="4" s="1"/>
  <c r="N20" i="4" s="1"/>
  <c r="K20" i="4"/>
  <c r="O20" i="4" s="1"/>
  <c r="E18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D15" i="6"/>
  <c r="AL4" i="1" a="1"/>
  <c r="AT4" i="1" s="1"/>
  <c r="AL5" i="1" a="1"/>
  <c r="AL5" i="1" s="1"/>
  <c r="AL6" i="1" a="1"/>
  <c r="AL6" i="1" s="1"/>
  <c r="AL8" i="1"/>
  <c r="AL10" i="1"/>
  <c r="D15" i="1" a="1"/>
  <c r="J15" i="1" s="1"/>
  <c r="BD15" i="1" s="1"/>
  <c r="AJ16" i="1"/>
  <c r="B17" i="1"/>
  <c r="B18" i="1" s="1"/>
  <c r="E16" i="11"/>
  <c r="F16" i="11"/>
  <c r="O16" i="11" s="1"/>
  <c r="G16" i="11"/>
  <c r="E17" i="11"/>
  <c r="F17" i="11"/>
  <c r="O17" i="11" s="1"/>
  <c r="G17" i="11"/>
  <c r="E18" i="11"/>
  <c r="F18" i="11"/>
  <c r="O18" i="11" s="1"/>
  <c r="G18" i="11"/>
  <c r="E19" i="11"/>
  <c r="F19" i="11"/>
  <c r="O19" i="11" s="1"/>
  <c r="G19" i="11"/>
  <c r="E20" i="11"/>
  <c r="F20" i="11"/>
  <c r="O20" i="11" s="1"/>
  <c r="G20" i="11"/>
  <c r="E21" i="11"/>
  <c r="F21" i="11"/>
  <c r="O21" i="11" s="1"/>
  <c r="G21" i="11"/>
  <c r="H21" i="11"/>
  <c r="K21" i="11" s="1"/>
  <c r="I21" i="11"/>
  <c r="L21" i="11" s="1"/>
  <c r="J21" i="11"/>
  <c r="M21" i="11" s="1"/>
  <c r="E22" i="11"/>
  <c r="F22" i="11"/>
  <c r="O22" i="11" s="1"/>
  <c r="G22" i="11"/>
  <c r="H22" i="11"/>
  <c r="K22" i="11" s="1"/>
  <c r="I22" i="11"/>
  <c r="L22" i="11" s="1"/>
  <c r="J22" i="11"/>
  <c r="M22" i="11" s="1"/>
  <c r="E23" i="11"/>
  <c r="F23" i="11"/>
  <c r="O23" i="11" s="1"/>
  <c r="G23" i="11"/>
  <c r="H23" i="11"/>
  <c r="K23" i="11" s="1"/>
  <c r="I23" i="11"/>
  <c r="L23" i="11" s="1"/>
  <c r="J23" i="11"/>
  <c r="M23" i="11" s="1"/>
  <c r="K25" i="11"/>
  <c r="N25" i="11" s="1"/>
  <c r="L25" i="11"/>
  <c r="M25" i="11"/>
  <c r="K26" i="11"/>
  <c r="L26" i="11"/>
  <c r="L24" i="11" s="1"/>
  <c r="F18" i="8" s="1"/>
  <c r="M26" i="11"/>
  <c r="K27" i="11"/>
  <c r="L27" i="11"/>
  <c r="N27" i="11" s="1"/>
  <c r="M27" i="11"/>
  <c r="K28" i="11"/>
  <c r="N28" i="11" s="1"/>
  <c r="L28" i="11"/>
  <c r="M28" i="11"/>
  <c r="K29" i="11"/>
  <c r="N29" i="11" s="1"/>
  <c r="L29" i="11"/>
  <c r="M29" i="11"/>
  <c r="K30" i="11"/>
  <c r="N30" i="11" s="1"/>
  <c r="L30" i="11"/>
  <c r="M30" i="11"/>
  <c r="K31" i="11"/>
  <c r="L31" i="11"/>
  <c r="N31" i="11" s="1"/>
  <c r="M31" i="11"/>
  <c r="K32" i="11"/>
  <c r="N32" i="11" s="1"/>
  <c r="L32" i="11"/>
  <c r="M32" i="11"/>
  <c r="G17" i="7"/>
  <c r="H17" i="7"/>
  <c r="I17" i="7"/>
  <c r="J17" i="7"/>
  <c r="K17" i="7"/>
  <c r="L17" i="7"/>
  <c r="F18" i="7"/>
  <c r="G18" i="7"/>
  <c r="T18" i="7" s="1"/>
  <c r="H18" i="7"/>
  <c r="I18" i="7"/>
  <c r="J18" i="7"/>
  <c r="K18" i="7"/>
  <c r="L18" i="7"/>
  <c r="F19" i="7"/>
  <c r="G19" i="7"/>
  <c r="T19" i="7" s="1"/>
  <c r="H19" i="7"/>
  <c r="I19" i="7"/>
  <c r="J19" i="7"/>
  <c r="K19" i="7"/>
  <c r="L19" i="7"/>
  <c r="F20" i="7"/>
  <c r="G20" i="7"/>
  <c r="H20" i="7"/>
  <c r="I20" i="7"/>
  <c r="J20" i="7"/>
  <c r="L20" i="7"/>
  <c r="F21" i="7"/>
  <c r="G21" i="7"/>
  <c r="T21" i="7" s="1"/>
  <c r="H21" i="7"/>
  <c r="I21" i="7"/>
  <c r="J21" i="7"/>
  <c r="K21" i="7"/>
  <c r="L21" i="7"/>
  <c r="F22" i="7"/>
  <c r="G22" i="7"/>
  <c r="T22" i="7" s="1"/>
  <c r="H22" i="7"/>
  <c r="I22" i="7"/>
  <c r="J22" i="7"/>
  <c r="K22" i="7"/>
  <c r="L22" i="7"/>
  <c r="F23" i="7"/>
  <c r="G23" i="7"/>
  <c r="T23" i="7" s="1"/>
  <c r="H23" i="7"/>
  <c r="I23" i="7"/>
  <c r="J23" i="7"/>
  <c r="K23" i="7"/>
  <c r="L23" i="7"/>
  <c r="F24" i="7"/>
  <c r="G24" i="7"/>
  <c r="T24" i="7" s="1"/>
  <c r="H24" i="7"/>
  <c r="I24" i="7"/>
  <c r="J24" i="7"/>
  <c r="K24" i="7"/>
  <c r="L24" i="7"/>
  <c r="F25" i="7"/>
  <c r="G25" i="7"/>
  <c r="T25" i="7" s="1"/>
  <c r="H25" i="7"/>
  <c r="I25" i="7"/>
  <c r="J25" i="7"/>
  <c r="K25" i="7"/>
  <c r="L25" i="7"/>
  <c r="F26" i="7"/>
  <c r="G26" i="7"/>
  <c r="T26" i="7" s="1"/>
  <c r="H26" i="7"/>
  <c r="I26" i="7"/>
  <c r="J26" i="7"/>
  <c r="K26" i="7"/>
  <c r="L26" i="7"/>
  <c r="F27" i="7"/>
  <c r="G27" i="7"/>
  <c r="T27" i="7" s="1"/>
  <c r="H27" i="7"/>
  <c r="I27" i="7"/>
  <c r="J27" i="7"/>
  <c r="K27" i="7"/>
  <c r="L27" i="7"/>
  <c r="F28" i="7"/>
  <c r="G28" i="7"/>
  <c r="T28" i="7" s="1"/>
  <c r="H28" i="7"/>
  <c r="I28" i="7"/>
  <c r="J28" i="7"/>
  <c r="K28" i="7"/>
  <c r="L28" i="7"/>
  <c r="F29" i="7"/>
  <c r="G29" i="7"/>
  <c r="T29" i="7" s="1"/>
  <c r="H29" i="7"/>
  <c r="I29" i="7"/>
  <c r="J29" i="7"/>
  <c r="K29" i="7"/>
  <c r="L29" i="7"/>
  <c r="F30" i="7"/>
  <c r="G30" i="7"/>
  <c r="T30" i="7" s="1"/>
  <c r="H30" i="7"/>
  <c r="I30" i="7"/>
  <c r="J30" i="7"/>
  <c r="K30" i="7"/>
  <c r="L30" i="7"/>
  <c r="F31" i="7"/>
  <c r="G31" i="7"/>
  <c r="T31" i="7" s="1"/>
  <c r="H31" i="7"/>
  <c r="I31" i="7"/>
  <c r="J31" i="7"/>
  <c r="K31" i="7"/>
  <c r="L31" i="7"/>
  <c r="F32" i="7"/>
  <c r="G32" i="7"/>
  <c r="T32" i="7" s="1"/>
  <c r="H32" i="7"/>
  <c r="I32" i="7"/>
  <c r="J32" i="7"/>
  <c r="K32" i="7"/>
  <c r="L32" i="7"/>
  <c r="F33" i="7"/>
  <c r="G33" i="7"/>
  <c r="T33" i="7" s="1"/>
  <c r="H33" i="7"/>
  <c r="I33" i="7"/>
  <c r="J33" i="7"/>
  <c r="K33" i="7"/>
  <c r="L33" i="7"/>
  <c r="F34" i="7"/>
  <c r="G34" i="7"/>
  <c r="T34" i="7" s="1"/>
  <c r="H34" i="7"/>
  <c r="I34" i="7"/>
  <c r="J34" i="7"/>
  <c r="K34" i="7"/>
  <c r="L34" i="7"/>
  <c r="F35" i="7"/>
  <c r="G35" i="7"/>
  <c r="T35" i="7" s="1"/>
  <c r="H35" i="7"/>
  <c r="I35" i="7"/>
  <c r="J35" i="7"/>
  <c r="K35" i="7"/>
  <c r="L35" i="7"/>
  <c r="H17" i="11"/>
  <c r="K17" i="11" s="1"/>
  <c r="I17" i="11"/>
  <c r="L17" i="11" s="1"/>
  <c r="O24" i="11"/>
  <c r="I18" i="8" s="1"/>
  <c r="J19" i="11"/>
  <c r="M19" i="11" s="1"/>
  <c r="J20" i="11"/>
  <c r="M20" i="11" s="1"/>
  <c r="H16" i="11"/>
  <c r="K16" i="11" s="1"/>
  <c r="H20" i="11"/>
  <c r="K20" i="11" s="1"/>
  <c r="H19" i="11"/>
  <c r="K19" i="11" s="1"/>
  <c r="I18" i="11"/>
  <c r="L18" i="11" s="1"/>
  <c r="I20" i="11"/>
  <c r="L20" i="11" s="1"/>
  <c r="I19" i="11"/>
  <c r="L19" i="11" s="1"/>
  <c r="O21" i="7"/>
  <c r="O24" i="7"/>
  <c r="O22" i="7"/>
  <c r="N21" i="7"/>
  <c r="M23" i="7"/>
  <c r="M22" i="7"/>
  <c r="N23" i="7"/>
  <c r="M21" i="7"/>
  <c r="N22" i="7"/>
  <c r="M24" i="7"/>
  <c r="N24" i="7"/>
  <c r="O23" i="7"/>
  <c r="E23" i="3"/>
  <c r="O20" i="7"/>
  <c r="N19" i="7"/>
  <c r="M20" i="7"/>
  <c r="N20" i="7"/>
  <c r="O19" i="7"/>
  <c r="M19" i="7"/>
  <c r="N18" i="7"/>
  <c r="M18" i="7"/>
  <c r="O18" i="7"/>
  <c r="M17" i="7"/>
  <c r="N17" i="7"/>
  <c r="O17" i="7"/>
  <c r="V17" i="1" l="1"/>
  <c r="AA17" i="1" s="1"/>
  <c r="AL4" i="1"/>
  <c r="V18" i="1"/>
  <c r="AF18" i="1" s="1"/>
  <c r="B19" i="1"/>
  <c r="M24" i="11"/>
  <c r="G18" i="8" s="1"/>
  <c r="N26" i="11"/>
  <c r="K24" i="11"/>
  <c r="E18" i="8" s="1"/>
  <c r="H15" i="6"/>
  <c r="I15" i="6" s="1"/>
  <c r="J15" i="6" s="1"/>
  <c r="AG17" i="1"/>
  <c r="AB17" i="1"/>
  <c r="Z17" i="1"/>
  <c r="AI17" i="1"/>
  <c r="AH17" i="1"/>
  <c r="X17" i="1"/>
  <c r="H18" i="8"/>
  <c r="N27" i="3"/>
  <c r="K27" i="3"/>
  <c r="AO4" i="1"/>
  <c r="AU4" i="1"/>
  <c r="F22" i="6"/>
  <c r="H22" i="6" s="1"/>
  <c r="I22" i="6" s="1"/>
  <c r="J22" i="6" s="1"/>
  <c r="L22" i="6" s="1"/>
  <c r="H20" i="5"/>
  <c r="I20" i="5" s="1"/>
  <c r="J20" i="5" s="1"/>
  <c r="K20" i="5" s="1"/>
  <c r="L20" i="5" s="1"/>
  <c r="AR4" i="1"/>
  <c r="I15" i="1"/>
  <c r="AP15" i="1" s="1"/>
  <c r="F17" i="6"/>
  <c r="H17" i="6" s="1"/>
  <c r="I17" i="6" s="1"/>
  <c r="J17" i="6" s="1"/>
  <c r="L17" i="6" s="1"/>
  <c r="F16" i="6"/>
  <c r="H16" i="6" s="1"/>
  <c r="I16" i="6" s="1"/>
  <c r="J16" i="6" s="1"/>
  <c r="M15" i="1"/>
  <c r="AT15" i="1" s="1"/>
  <c r="F23" i="6"/>
  <c r="H23" i="6" s="1"/>
  <c r="I23" i="6" s="1"/>
  <c r="J23" i="6" s="1"/>
  <c r="K15" i="1"/>
  <c r="BS15" i="1" s="1"/>
  <c r="BS76" i="1" s="1"/>
  <c r="H16" i="5"/>
  <c r="I16" i="5" s="1"/>
  <c r="J16" i="5" s="1"/>
  <c r="K16" i="5" s="1"/>
  <c r="L16" i="5" s="1"/>
  <c r="N15" i="1"/>
  <c r="BV15" i="1" s="1"/>
  <c r="BV76" i="1" s="1"/>
  <c r="P19" i="4"/>
  <c r="AS4" i="1"/>
  <c r="AQ4" i="1"/>
  <c r="AX4" i="1"/>
  <c r="AP4" i="1"/>
  <c r="AM4" i="1"/>
  <c r="N23" i="11"/>
  <c r="AW4" i="1"/>
  <c r="AV4" i="1"/>
  <c r="AN4" i="1"/>
  <c r="N21" i="11"/>
  <c r="P17" i="4"/>
  <c r="N17" i="11"/>
  <c r="H19" i="5"/>
  <c r="I19" i="5" s="1"/>
  <c r="J19" i="5" s="1"/>
  <c r="K19" i="5" s="1"/>
  <c r="L19" i="5" s="1"/>
  <c r="H18" i="5"/>
  <c r="I18" i="5" s="1"/>
  <c r="J18" i="5" s="1"/>
  <c r="K18" i="5" s="1"/>
  <c r="L18" i="5" s="1"/>
  <c r="P20" i="4"/>
  <c r="H17" i="5"/>
  <c r="I17" i="5" s="1"/>
  <c r="J17" i="5" s="1"/>
  <c r="K17" i="5" s="1"/>
  <c r="L17" i="5" s="1"/>
  <c r="N24" i="11"/>
  <c r="P18" i="4"/>
  <c r="P15" i="1"/>
  <c r="AW15" i="1" s="1"/>
  <c r="O14" i="4"/>
  <c r="G12" i="8" s="1"/>
  <c r="O15" i="1"/>
  <c r="D15" i="1"/>
  <c r="G23" i="6"/>
  <c r="K23" i="6" s="1"/>
  <c r="P16" i="4"/>
  <c r="L15" i="1"/>
  <c r="BT15" i="1" s="1"/>
  <c r="BT76" i="1" s="1"/>
  <c r="H15" i="1"/>
  <c r="AO15" i="1" s="1"/>
  <c r="E15" i="1"/>
  <c r="BM15" i="1" s="1"/>
  <c r="G15" i="1"/>
  <c r="BO15" i="1" s="1"/>
  <c r="BO76" i="1" s="1"/>
  <c r="F15" i="1"/>
  <c r="F16" i="1" s="1"/>
  <c r="N20" i="11"/>
  <c r="G21" i="6"/>
  <c r="K21" i="6" s="1"/>
  <c r="L21" i="6" s="1"/>
  <c r="E26" i="3"/>
  <c r="E16" i="3"/>
  <c r="P14" i="3"/>
  <c r="G11" i="8" s="1"/>
  <c r="AM6" i="1"/>
  <c r="AQ6" i="1"/>
  <c r="AP6" i="1"/>
  <c r="N19" i="11"/>
  <c r="M15" i="11"/>
  <c r="M14" i="11" s="1"/>
  <c r="N18" i="11"/>
  <c r="O14" i="3"/>
  <c r="F11" i="8" s="1"/>
  <c r="E21" i="3"/>
  <c r="E25" i="3"/>
  <c r="E17" i="3"/>
  <c r="E19" i="3"/>
  <c r="E22" i="3"/>
  <c r="E24" i="3"/>
  <c r="E15" i="3"/>
  <c r="E20" i="3"/>
  <c r="AS6" i="1"/>
  <c r="AW6" i="1"/>
  <c r="AX6" i="1"/>
  <c r="AR6" i="1"/>
  <c r="AV6" i="1"/>
  <c r="AU6" i="1"/>
  <c r="AN6" i="1"/>
  <c r="AO6" i="1"/>
  <c r="AT6" i="1"/>
  <c r="O15" i="11"/>
  <c r="I17" i="8" s="1"/>
  <c r="I16" i="8" s="1"/>
  <c r="J15" i="5"/>
  <c r="AQ15" i="1"/>
  <c r="BR15" i="1"/>
  <c r="BR76" i="1" s="1"/>
  <c r="J16" i="1"/>
  <c r="AX5" i="1"/>
  <c r="AW5" i="1"/>
  <c r="AV5" i="1"/>
  <c r="AO5" i="1"/>
  <c r="AM5" i="1"/>
  <c r="AT5" i="1"/>
  <c r="AR5" i="1"/>
  <c r="AU5" i="1"/>
  <c r="AN5" i="1"/>
  <c r="AS5" i="1"/>
  <c r="AQ5" i="1"/>
  <c r="AP5" i="1"/>
  <c r="G15" i="6"/>
  <c r="K15" i="6" s="1"/>
  <c r="G16" i="6"/>
  <c r="K16" i="6" s="1"/>
  <c r="L15" i="11"/>
  <c r="K15" i="11"/>
  <c r="N16" i="11"/>
  <c r="L14" i="4"/>
  <c r="M15" i="4"/>
  <c r="AC15" i="1"/>
  <c r="AL9" i="1"/>
  <c r="N22" i="11"/>
  <c r="Q26" i="7"/>
  <c r="P31" i="7"/>
  <c r="Q30" i="7"/>
  <c r="U20" i="7"/>
  <c r="V20" i="7" s="1"/>
  <c r="U18" i="7"/>
  <c r="V18" i="7" s="1"/>
  <c r="P32" i="7"/>
  <c r="Q24" i="7"/>
  <c r="T20" i="7"/>
  <c r="Q35" i="7"/>
  <c r="P24" i="7"/>
  <c r="P33" i="7"/>
  <c r="Q29" i="7"/>
  <c r="Q25" i="7"/>
  <c r="U17" i="7"/>
  <c r="V17" i="7" s="1"/>
  <c r="R32" i="7"/>
  <c r="Q34" i="7"/>
  <c r="P30" i="7"/>
  <c r="R26" i="7"/>
  <c r="Q22" i="7"/>
  <c r="U19" i="7"/>
  <c r="V19" i="7" s="1"/>
  <c r="R31" i="7"/>
  <c r="R35" i="7"/>
  <c r="Q32" i="7"/>
  <c r="P28" i="7"/>
  <c r="R25" i="7"/>
  <c r="P26" i="7"/>
  <c r="R23" i="7"/>
  <c r="R33" i="7"/>
  <c r="R29" i="7"/>
  <c r="P25" i="7"/>
  <c r="P35" i="7"/>
  <c r="P27" i="7"/>
  <c r="R24" i="7"/>
  <c r="R22" i="7"/>
  <c r="T17" i="7"/>
  <c r="Q21" i="7"/>
  <c r="R34" i="7"/>
  <c r="R30" i="7"/>
  <c r="R28" i="7"/>
  <c r="P22" i="7"/>
  <c r="Q28" i="7"/>
  <c r="Q33" i="7"/>
  <c r="P29" i="7"/>
  <c r="P21" i="7"/>
  <c r="P17" i="7"/>
  <c r="Q17" i="7"/>
  <c r="R17" i="7"/>
  <c r="P20" i="7"/>
  <c r="Q20" i="7"/>
  <c r="R20" i="7"/>
  <c r="P19" i="7"/>
  <c r="Q19" i="7"/>
  <c r="R19" i="7"/>
  <c r="R18" i="7"/>
  <c r="Q18" i="7"/>
  <c r="P18" i="7"/>
  <c r="R21" i="7"/>
  <c r="P23" i="7"/>
  <c r="Q27" i="7"/>
  <c r="Q31" i="7"/>
  <c r="Q23" i="7"/>
  <c r="P34" i="7"/>
  <c r="R27" i="7"/>
  <c r="AB18" i="1" l="1"/>
  <c r="AD17" i="1"/>
  <c r="AF17" i="1"/>
  <c r="AE17" i="1"/>
  <c r="Y17" i="1"/>
  <c r="AJ17" i="1" s="1"/>
  <c r="AC17" i="1"/>
  <c r="W17" i="1"/>
  <c r="AE18" i="1"/>
  <c r="Z18" i="1"/>
  <c r="AD18" i="1"/>
  <c r="AT18" i="1"/>
  <c r="AA18" i="1"/>
  <c r="AI18" i="1"/>
  <c r="Y18" i="1"/>
  <c r="AG18" i="1"/>
  <c r="B20" i="1"/>
  <c r="V19" i="1"/>
  <c r="AO19" i="1" s="1"/>
  <c r="X18" i="1"/>
  <c r="AH18" i="1"/>
  <c r="W18" i="1"/>
  <c r="AC18" i="1"/>
  <c r="AP17" i="1"/>
  <c r="AO17" i="1"/>
  <c r="AW17" i="1"/>
  <c r="AQ17" i="1"/>
  <c r="AT17" i="1"/>
  <c r="E14" i="3"/>
  <c r="BX15" i="1"/>
  <c r="BX76" i="1" s="1"/>
  <c r="AB15" i="1"/>
  <c r="BE15" i="1"/>
  <c r="H14" i="6"/>
  <c r="BB15" i="1"/>
  <c r="P16" i="1"/>
  <c r="AU15" i="1"/>
  <c r="N16" i="1"/>
  <c r="L23" i="6"/>
  <c r="BQ15" i="1"/>
  <c r="BQ76" i="1" s="1"/>
  <c r="I16" i="1"/>
  <c r="BC15" i="1"/>
  <c r="M16" i="1"/>
  <c r="BG15" i="1"/>
  <c r="BU15" i="1"/>
  <c r="BU76" i="1" s="1"/>
  <c r="AF15" i="1"/>
  <c r="BH15" i="1"/>
  <c r="AG15" i="1"/>
  <c r="I14" i="6"/>
  <c r="K16" i="1"/>
  <c r="L16" i="6"/>
  <c r="AD15" i="1"/>
  <c r="AR15" i="1"/>
  <c r="AM15" i="1"/>
  <c r="BJ15" i="1"/>
  <c r="AP18" i="1"/>
  <c r="AL15" i="1"/>
  <c r="I14" i="5"/>
  <c r="L16" i="1"/>
  <c r="AE15" i="1"/>
  <c r="G16" i="1"/>
  <c r="AN15" i="1"/>
  <c r="BA15" i="1"/>
  <c r="Z15" i="1"/>
  <c r="W15" i="1"/>
  <c r="D16" i="1"/>
  <c r="AK15" i="1"/>
  <c r="AX15" i="1"/>
  <c r="BL15" i="1"/>
  <c r="BL76" i="1" s="1"/>
  <c r="AI15" i="1"/>
  <c r="AS15" i="1"/>
  <c r="Y15" i="1"/>
  <c r="AZ15" i="1"/>
  <c r="BN15" i="1"/>
  <c r="BN76" i="1" s="1"/>
  <c r="BP15" i="1"/>
  <c r="BP76" i="1" s="1"/>
  <c r="AA15" i="1"/>
  <c r="H16" i="1"/>
  <c r="E16" i="1"/>
  <c r="X15" i="1"/>
  <c r="AY15" i="1"/>
  <c r="AV15" i="1"/>
  <c r="BI15" i="1"/>
  <c r="AH15" i="1"/>
  <c r="O16" i="1"/>
  <c r="BW15" i="1"/>
  <c r="BW76" i="1" s="1"/>
  <c r="BF15" i="1"/>
  <c r="G17" i="8"/>
  <c r="G16" i="8" s="1"/>
  <c r="N15" i="11"/>
  <c r="N14" i="11" s="1"/>
  <c r="K15" i="3"/>
  <c r="K26" i="3"/>
  <c r="N26" i="3"/>
  <c r="O14" i="11"/>
  <c r="AO18" i="1"/>
  <c r="L14" i="11"/>
  <c r="F17" i="8"/>
  <c r="F16" i="8" s="1"/>
  <c r="J14" i="6"/>
  <c r="F10" i="8" s="1"/>
  <c r="L15" i="6"/>
  <c r="BM76" i="1"/>
  <c r="AQ18" i="1"/>
  <c r="N15" i="4"/>
  <c r="M14" i="4"/>
  <c r="K14" i="11"/>
  <c r="E17" i="8"/>
  <c r="J14" i="5"/>
  <c r="K15" i="5"/>
  <c r="AW18" i="1"/>
  <c r="K14" i="6"/>
  <c r="G10" i="8" s="1"/>
  <c r="S26" i="7"/>
  <c r="S29" i="7"/>
  <c r="S32" i="7"/>
  <c r="S31" i="7"/>
  <c r="S34" i="7"/>
  <c r="S33" i="7"/>
  <c r="S24" i="7"/>
  <c r="S21" i="7"/>
  <c r="S28" i="7"/>
  <c r="V16" i="7"/>
  <c r="S30" i="7"/>
  <c r="S25" i="7"/>
  <c r="S35" i="7"/>
  <c r="I15" i="8"/>
  <c r="I14" i="8"/>
  <c r="T16" i="7"/>
  <c r="S22" i="7"/>
  <c r="S27" i="7"/>
  <c r="P16" i="7" a="1"/>
  <c r="P16" i="7" s="1"/>
  <c r="E14" i="8"/>
  <c r="S17" i="7"/>
  <c r="E15" i="8"/>
  <c r="F14" i="8"/>
  <c r="Q16" i="7" a="1"/>
  <c r="Q16" i="7" s="1"/>
  <c r="F15" i="8"/>
  <c r="G15" i="8"/>
  <c r="R16" i="7" a="1"/>
  <c r="R16" i="7" s="1"/>
  <c r="G14" i="8"/>
  <c r="S19" i="7"/>
  <c r="S23" i="7"/>
  <c r="S18" i="7"/>
  <c r="S20" i="7"/>
  <c r="AT19" i="1" l="1"/>
  <c r="AQ19" i="1"/>
  <c r="AW19" i="1"/>
  <c r="AJ18" i="1"/>
  <c r="H10" i="8"/>
  <c r="AB19" i="1"/>
  <c r="Z19" i="1"/>
  <c r="AC19" i="1"/>
  <c r="W19" i="1"/>
  <c r="Y19" i="1"/>
  <c r="AA19" i="1"/>
  <c r="X19" i="1"/>
  <c r="AE19" i="1"/>
  <c r="AI19" i="1"/>
  <c r="AH19" i="1"/>
  <c r="AF19" i="1"/>
  <c r="AG19" i="1"/>
  <c r="AD19" i="1"/>
  <c r="B21" i="1"/>
  <c r="V20" i="1"/>
  <c r="AU20" i="1" s="1"/>
  <c r="AP19" i="1"/>
  <c r="AS18" i="1"/>
  <c r="AS17" i="1"/>
  <c r="AU18" i="1"/>
  <c r="AU17" i="1"/>
  <c r="AN17" i="1"/>
  <c r="AM19" i="1"/>
  <c r="AM17" i="1"/>
  <c r="AV17" i="1"/>
  <c r="AL18" i="1"/>
  <c r="AL17" i="1"/>
  <c r="AR19" i="1"/>
  <c r="AR17" i="1"/>
  <c r="AL19" i="1"/>
  <c r="AU19" i="1"/>
  <c r="L14" i="6"/>
  <c r="AR18" i="1"/>
  <c r="AM18" i="1"/>
  <c r="K25" i="3"/>
  <c r="AS19" i="1"/>
  <c r="BY76" i="1"/>
  <c r="CB76" i="1" s="1"/>
  <c r="R76" i="1" s="1"/>
  <c r="S76" i="1" s="1"/>
  <c r="T76" i="1" s="1"/>
  <c r="U76" i="1" s="1"/>
  <c r="AN18" i="1"/>
  <c r="AN19" i="1"/>
  <c r="AK19" i="1"/>
  <c r="AK18" i="1"/>
  <c r="AV19" i="1"/>
  <c r="AV18" i="1"/>
  <c r="N20" i="3"/>
  <c r="N24" i="3"/>
  <c r="K19" i="3"/>
  <c r="N19" i="3"/>
  <c r="K20" i="3"/>
  <c r="K23" i="3"/>
  <c r="K21" i="3"/>
  <c r="N22" i="3"/>
  <c r="N17" i="3"/>
  <c r="K24" i="3"/>
  <c r="N23" i="3"/>
  <c r="K22" i="3"/>
  <c r="N18" i="3"/>
  <c r="N21" i="3"/>
  <c r="K17" i="3"/>
  <c r="K18" i="3"/>
  <c r="N25" i="3"/>
  <c r="N15" i="3"/>
  <c r="K16" i="3"/>
  <c r="E16" i="8"/>
  <c r="H17" i="8"/>
  <c r="H16" i="8" s="1"/>
  <c r="N14" i="4"/>
  <c r="F12" i="8" s="1"/>
  <c r="H12" i="8" s="1"/>
  <c r="P15" i="4"/>
  <c r="P14" i="4" s="1"/>
  <c r="L15" i="5"/>
  <c r="L14" i="5" s="1"/>
  <c r="K14" i="5"/>
  <c r="F13" i="8" s="1"/>
  <c r="H13" i="8" s="1"/>
  <c r="I8" i="8"/>
  <c r="I7" i="8" s="1"/>
  <c r="G8" i="8"/>
  <c r="G7" i="8" s="1"/>
  <c r="H14" i="8"/>
  <c r="S16" i="7"/>
  <c r="H15" i="8"/>
  <c r="AL20" i="1" l="1"/>
  <c r="AR20" i="1"/>
  <c r="AN20" i="1"/>
  <c r="AJ19" i="1"/>
  <c r="AD20" i="1"/>
  <c r="AI20" i="1"/>
  <c r="X20" i="1"/>
  <c r="AC20" i="1"/>
  <c r="Z20" i="1"/>
  <c r="Y20" i="1"/>
  <c r="AF20" i="1"/>
  <c r="AB20" i="1"/>
  <c r="W20" i="1"/>
  <c r="AG20" i="1"/>
  <c r="AE20" i="1"/>
  <c r="AH20" i="1"/>
  <c r="AA20" i="1"/>
  <c r="AW20" i="1"/>
  <c r="AT20" i="1"/>
  <c r="AQ20" i="1"/>
  <c r="AP20" i="1"/>
  <c r="AO20" i="1"/>
  <c r="B22" i="1"/>
  <c r="V21" i="1"/>
  <c r="AV20" i="1"/>
  <c r="AM20" i="1"/>
  <c r="AK20" i="1"/>
  <c r="AS20" i="1"/>
  <c r="N14" i="3"/>
  <c r="E11" i="8" l="1"/>
  <c r="H11" i="8" s="1"/>
  <c r="AD21" i="1"/>
  <c r="AF21" i="1"/>
  <c r="AG21" i="1"/>
  <c r="AH21" i="1"/>
  <c r="W21" i="1"/>
  <c r="AB21" i="1"/>
  <c r="AC21" i="1"/>
  <c r="Y21" i="1"/>
  <c r="X21" i="1"/>
  <c r="Z21" i="1"/>
  <c r="AE21" i="1"/>
  <c r="AA21" i="1"/>
  <c r="AI21" i="1"/>
  <c r="AQ21" i="1"/>
  <c r="AT21" i="1"/>
  <c r="AO21" i="1"/>
  <c r="AW21" i="1"/>
  <c r="AP21" i="1"/>
  <c r="AR21" i="1"/>
  <c r="AS21" i="1"/>
  <c r="AU21" i="1"/>
  <c r="AM21" i="1"/>
  <c r="AK21" i="1"/>
  <c r="AV21" i="1"/>
  <c r="AL21" i="1"/>
  <c r="AN21" i="1"/>
  <c r="AJ20" i="1"/>
  <c r="V22" i="1"/>
  <c r="B23" i="1"/>
  <c r="Q14" i="3"/>
  <c r="E8" i="8"/>
  <c r="E7" i="8" s="1"/>
  <c r="V23" i="1" l="1"/>
  <c r="B24" i="1"/>
  <c r="AG22" i="1"/>
  <c r="AE22" i="1"/>
  <c r="AD22" i="1"/>
  <c r="Z22" i="1"/>
  <c r="W22" i="1"/>
  <c r="AC22" i="1"/>
  <c r="AF22" i="1"/>
  <c r="AA22" i="1"/>
  <c r="AH22" i="1"/>
  <c r="AI22" i="1"/>
  <c r="X22" i="1"/>
  <c r="AB22" i="1"/>
  <c r="Y22" i="1"/>
  <c r="AW22" i="1"/>
  <c r="AQ22" i="1"/>
  <c r="AO22" i="1"/>
  <c r="AT22" i="1"/>
  <c r="AP22" i="1"/>
  <c r="AM22" i="1"/>
  <c r="AK22" i="1"/>
  <c r="AV22" i="1"/>
  <c r="AU22" i="1"/>
  <c r="AN22" i="1"/>
  <c r="AR22" i="1"/>
  <c r="AL22" i="1"/>
  <c r="AS22" i="1"/>
  <c r="AJ21" i="1"/>
  <c r="AJ22" i="1" l="1"/>
  <c r="V24" i="1"/>
  <c r="B25" i="1"/>
  <c r="AH23" i="1"/>
  <c r="AK23" i="1"/>
  <c r="AC23" i="1"/>
  <c r="W23" i="1"/>
  <c r="AM23" i="1"/>
  <c r="AG23" i="1"/>
  <c r="AT23" i="1"/>
  <c r="AL23" i="1"/>
  <c r="AI23" i="1"/>
  <c r="AA23" i="1"/>
  <c r="AW23" i="1"/>
  <c r="AU23" i="1"/>
  <c r="AO23" i="1"/>
  <c r="AQ23" i="1"/>
  <c r="AS23" i="1"/>
  <c r="Y23" i="1"/>
  <c r="AE23" i="1"/>
  <c r="AP23" i="1"/>
  <c r="AB23" i="1"/>
  <c r="AV23" i="1"/>
  <c r="AD23" i="1"/>
  <c r="AN23" i="1"/>
  <c r="AF23" i="1"/>
  <c r="AR23" i="1"/>
  <c r="X23" i="1"/>
  <c r="Z23" i="1"/>
  <c r="AJ23" i="1" l="1"/>
  <c r="B26" i="1"/>
  <c r="V25" i="1"/>
  <c r="AM24" i="1"/>
  <c r="AF24" i="1"/>
  <c r="X24" i="1"/>
  <c r="AH24" i="1"/>
  <c r="AR24" i="1"/>
  <c r="AI24" i="1"/>
  <c r="AO24" i="1"/>
  <c r="AG24" i="1"/>
  <c r="AK24" i="1"/>
  <c r="AB24" i="1"/>
  <c r="AN24" i="1"/>
  <c r="AL24" i="1"/>
  <c r="AC24" i="1"/>
  <c r="W24" i="1"/>
  <c r="AU24" i="1"/>
  <c r="Y24" i="1"/>
  <c r="AQ24" i="1"/>
  <c r="AA24" i="1"/>
  <c r="AP24" i="1"/>
  <c r="AT24" i="1"/>
  <c r="AV24" i="1"/>
  <c r="AW24" i="1"/>
  <c r="AS24" i="1"/>
  <c r="AE24" i="1"/>
  <c r="AD24" i="1"/>
  <c r="Z24" i="1"/>
  <c r="AJ24" i="1" l="1"/>
  <c r="AP25" i="1"/>
  <c r="AK25" i="1"/>
  <c r="AC25" i="1"/>
  <c r="AN25" i="1"/>
  <c r="W25" i="1"/>
  <c r="Z25" i="1"/>
  <c r="AI25" i="1"/>
  <c r="AA25" i="1"/>
  <c r="AQ25" i="1"/>
  <c r="AV25" i="1"/>
  <c r="AF25" i="1"/>
  <c r="AU25" i="1"/>
  <c r="AM25" i="1"/>
  <c r="AS25" i="1"/>
  <c r="AO25" i="1"/>
  <c r="AW25" i="1"/>
  <c r="Y25" i="1"/>
  <c r="AB25" i="1"/>
  <c r="AR25" i="1"/>
  <c r="AH25" i="1"/>
  <c r="AL25" i="1"/>
  <c r="AD25" i="1"/>
  <c r="AG25" i="1"/>
  <c r="AE25" i="1"/>
  <c r="X25" i="1"/>
  <c r="AT25" i="1"/>
  <c r="B27" i="1"/>
  <c r="V26" i="1"/>
  <c r="B28" i="1" l="1"/>
  <c r="V27" i="1"/>
  <c r="X26" i="1"/>
  <c r="AC26" i="1"/>
  <c r="W26" i="1"/>
  <c r="AM26" i="1"/>
  <c r="Y26" i="1"/>
  <c r="AE26" i="1"/>
  <c r="AF26" i="1"/>
  <c r="AV26" i="1"/>
  <c r="AO26" i="1"/>
  <c r="AD26" i="1"/>
  <c r="AL26" i="1"/>
  <c r="AP26" i="1"/>
  <c r="AQ26" i="1"/>
  <c r="Z26" i="1"/>
  <c r="AS26" i="1"/>
  <c r="AH26" i="1"/>
  <c r="AR26" i="1"/>
  <c r="AT26" i="1"/>
  <c r="AK26" i="1"/>
  <c r="AN26" i="1"/>
  <c r="AI26" i="1"/>
  <c r="AA26" i="1"/>
  <c r="AB26" i="1"/>
  <c r="AG26" i="1"/>
  <c r="AU26" i="1"/>
  <c r="AW26" i="1"/>
  <c r="AJ25" i="1"/>
  <c r="AJ26" i="1" l="1"/>
  <c r="AL27" i="1"/>
  <c r="Z27" i="1"/>
  <c r="AR27" i="1"/>
  <c r="AM27" i="1"/>
  <c r="Y27" i="1"/>
  <c r="AW27" i="1"/>
  <c r="AP27" i="1"/>
  <c r="AV27" i="1"/>
  <c r="X27" i="1"/>
  <c r="AT27" i="1"/>
  <c r="AQ27" i="1"/>
  <c r="AB27" i="1"/>
  <c r="AG27" i="1"/>
  <c r="AF27" i="1"/>
  <c r="AN27" i="1"/>
  <c r="AI27" i="1"/>
  <c r="AD27" i="1"/>
  <c r="AA27" i="1"/>
  <c r="AU27" i="1"/>
  <c r="AE27" i="1"/>
  <c r="AH27" i="1"/>
  <c r="AC27" i="1"/>
  <c r="AO27" i="1"/>
  <c r="W27" i="1"/>
  <c r="AS27" i="1"/>
  <c r="AK27" i="1"/>
  <c r="B29" i="1"/>
  <c r="V28" i="1"/>
  <c r="AB28" i="1" l="1"/>
  <c r="AS28" i="1"/>
  <c r="W28" i="1"/>
  <c r="AR28" i="1"/>
  <c r="AA28" i="1"/>
  <c r="AM28" i="1"/>
  <c r="AO28" i="1"/>
  <c r="AF28" i="1"/>
  <c r="AV28" i="1"/>
  <c r="AD28" i="1"/>
  <c r="Z28" i="1"/>
  <c r="AC28" i="1"/>
  <c r="AW28" i="1"/>
  <c r="Y28" i="1"/>
  <c r="AH28" i="1"/>
  <c r="AQ28" i="1"/>
  <c r="AI28" i="1"/>
  <c r="AN28" i="1"/>
  <c r="AG28" i="1"/>
  <c r="X28" i="1"/>
  <c r="AT28" i="1"/>
  <c r="AL28" i="1"/>
  <c r="AU28" i="1"/>
  <c r="AK28" i="1"/>
  <c r="AP28" i="1"/>
  <c r="AE28" i="1"/>
  <c r="AJ27" i="1"/>
  <c r="B30" i="1"/>
  <c r="V29" i="1"/>
  <c r="AV29" i="1" l="1"/>
  <c r="AS29" i="1"/>
  <c r="X29" i="1"/>
  <c r="AE29" i="1"/>
  <c r="Y29" i="1"/>
  <c r="AN29" i="1"/>
  <c r="AU29" i="1"/>
  <c r="AA29" i="1"/>
  <c r="AR29" i="1"/>
  <c r="W29" i="1"/>
  <c r="Z29" i="1"/>
  <c r="AD29" i="1"/>
  <c r="AC29" i="1"/>
  <c r="AF29" i="1"/>
  <c r="AG29" i="1"/>
  <c r="AP29" i="1"/>
  <c r="AI29" i="1"/>
  <c r="AW29" i="1"/>
  <c r="AT29" i="1"/>
  <c r="AO29" i="1"/>
  <c r="AH29" i="1"/>
  <c r="AB29" i="1"/>
  <c r="AL29" i="1"/>
  <c r="AM29" i="1"/>
  <c r="AK29" i="1"/>
  <c r="AQ29" i="1"/>
  <c r="AJ28" i="1"/>
  <c r="B31" i="1"/>
  <c r="V30" i="1"/>
  <c r="AJ29" i="1" l="1"/>
  <c r="AD30" i="1"/>
  <c r="AO30" i="1"/>
  <c r="AG30" i="1"/>
  <c r="AV30" i="1"/>
  <c r="AR30" i="1"/>
  <c r="AI30" i="1"/>
  <c r="AU30" i="1"/>
  <c r="AF30" i="1"/>
  <c r="AK30" i="1"/>
  <c r="Z30" i="1"/>
  <c r="AN30" i="1"/>
  <c r="AH30" i="1"/>
  <c r="AW30" i="1"/>
  <c r="W30" i="1"/>
  <c r="Y30" i="1"/>
  <c r="AL30" i="1"/>
  <c r="AQ30" i="1"/>
  <c r="AC30" i="1"/>
  <c r="AP30" i="1"/>
  <c r="AM30" i="1"/>
  <c r="AE30" i="1"/>
  <c r="AB30" i="1"/>
  <c r="AS30" i="1"/>
  <c r="AT30" i="1"/>
  <c r="X30" i="1"/>
  <c r="AA30" i="1"/>
  <c r="B32" i="1"/>
  <c r="V31" i="1"/>
  <c r="AB31" i="1" l="1"/>
  <c r="AO31" i="1"/>
  <c r="AW31" i="1"/>
  <c r="AC31" i="1"/>
  <c r="X31" i="1"/>
  <c r="AQ31" i="1"/>
  <c r="AE31" i="1"/>
  <c r="AU31" i="1"/>
  <c r="AI31" i="1"/>
  <c r="AA31" i="1"/>
  <c r="AG31" i="1"/>
  <c r="AD31" i="1"/>
  <c r="AF31" i="1"/>
  <c r="AM31" i="1"/>
  <c r="AN31" i="1"/>
  <c r="AV31" i="1"/>
  <c r="AK31" i="1"/>
  <c r="AL31" i="1"/>
  <c r="AT31" i="1"/>
  <c r="Z31" i="1"/>
  <c r="W31" i="1"/>
  <c r="AP31" i="1"/>
  <c r="AR31" i="1"/>
  <c r="AH31" i="1"/>
  <c r="AS31" i="1"/>
  <c r="Y31" i="1"/>
  <c r="AJ30" i="1"/>
  <c r="B33" i="1"/>
  <c r="V32" i="1"/>
  <c r="B34" i="1" l="1"/>
  <c r="V33" i="1"/>
  <c r="AJ31" i="1"/>
  <c r="AF32" i="1"/>
  <c r="AK32" i="1"/>
  <c r="AV32" i="1"/>
  <c r="AS32" i="1"/>
  <c r="X32" i="1"/>
  <c r="AH32" i="1"/>
  <c r="AE32" i="1"/>
  <c r="AN32" i="1"/>
  <c r="AM32" i="1"/>
  <c r="Y32" i="1"/>
  <c r="AT32" i="1"/>
  <c r="AP32" i="1"/>
  <c r="W32" i="1"/>
  <c r="AJ32" i="1" s="1"/>
  <c r="AU32" i="1"/>
  <c r="AO32" i="1"/>
  <c r="AD32" i="1"/>
  <c r="AC32" i="1"/>
  <c r="AQ32" i="1"/>
  <c r="AL32" i="1"/>
  <c r="AW32" i="1"/>
  <c r="Z32" i="1"/>
  <c r="AA32" i="1"/>
  <c r="AI32" i="1"/>
  <c r="AR32" i="1"/>
  <c r="AG32" i="1"/>
  <c r="AB32" i="1"/>
  <c r="AU33" i="1" l="1"/>
  <c r="W33" i="1"/>
  <c r="AD33" i="1"/>
  <c r="AS33" i="1"/>
  <c r="AA33" i="1"/>
  <c r="AP33" i="1"/>
  <c r="AK33" i="1"/>
  <c r="Z33" i="1"/>
  <c r="AT33" i="1"/>
  <c r="AN33" i="1"/>
  <c r="AG33" i="1"/>
  <c r="AQ33" i="1"/>
  <c r="AR33" i="1"/>
  <c r="AO33" i="1"/>
  <c r="AE33" i="1"/>
  <c r="AF33" i="1"/>
  <c r="AL33" i="1"/>
  <c r="AH33" i="1"/>
  <c r="AI33" i="1"/>
  <c r="Y33" i="1"/>
  <c r="AV33" i="1"/>
  <c r="AW33" i="1"/>
  <c r="X33" i="1"/>
  <c r="AC33" i="1"/>
  <c r="AM33" i="1"/>
  <c r="AB33" i="1"/>
  <c r="B35" i="1"/>
  <c r="V34" i="1"/>
  <c r="V35" i="1" l="1"/>
  <c r="B36" i="1"/>
  <c r="AQ34" i="1"/>
  <c r="AC34" i="1"/>
  <c r="X34" i="1"/>
  <c r="AG34" i="1"/>
  <c r="AI34" i="1"/>
  <c r="AE34" i="1"/>
  <c r="AF34" i="1"/>
  <c r="AK34" i="1"/>
  <c r="AS34" i="1"/>
  <c r="AL34" i="1"/>
  <c r="AH34" i="1"/>
  <c r="AU34" i="1"/>
  <c r="AV34" i="1"/>
  <c r="AN34" i="1"/>
  <c r="AP34" i="1"/>
  <c r="AD34" i="1"/>
  <c r="Z34" i="1"/>
  <c r="AA34" i="1"/>
  <c r="AO34" i="1"/>
  <c r="AR34" i="1"/>
  <c r="AB34" i="1"/>
  <c r="AT34" i="1"/>
  <c r="AM34" i="1"/>
  <c r="AW34" i="1"/>
  <c r="Y34" i="1"/>
  <c r="W34" i="1"/>
  <c r="AJ33" i="1"/>
  <c r="AJ34" i="1" l="1"/>
  <c r="V36" i="1"/>
  <c r="B37" i="1"/>
  <c r="AK35" i="1"/>
  <c r="AR35" i="1"/>
  <c r="Y35" i="1"/>
  <c r="AN35" i="1"/>
  <c r="AB35" i="1"/>
  <c r="AD35" i="1"/>
  <c r="AO35" i="1"/>
  <c r="AS35" i="1"/>
  <c r="AE35" i="1"/>
  <c r="AQ35" i="1"/>
  <c r="AU35" i="1"/>
  <c r="AH35" i="1"/>
  <c r="AP35" i="1"/>
  <c r="AA35" i="1"/>
  <c r="AC35" i="1"/>
  <c r="AW35" i="1"/>
  <c r="X35" i="1"/>
  <c r="AI35" i="1"/>
  <c r="AV35" i="1"/>
  <c r="AG35" i="1"/>
  <c r="AM35" i="1"/>
  <c r="AT35" i="1"/>
  <c r="AL35" i="1"/>
  <c r="AF35" i="1"/>
  <c r="W35" i="1"/>
  <c r="Z35" i="1"/>
  <c r="V37" i="1" l="1"/>
  <c r="B38" i="1"/>
  <c r="AJ35" i="1"/>
  <c r="AC36" i="1"/>
  <c r="AU36" i="1"/>
  <c r="AP36" i="1"/>
  <c r="Z36" i="1"/>
  <c r="AD36" i="1"/>
  <c r="AH36" i="1"/>
  <c r="Y36" i="1"/>
  <c r="AM36" i="1"/>
  <c r="AR36" i="1"/>
  <c r="AI36" i="1"/>
  <c r="AL36" i="1"/>
  <c r="AB36" i="1"/>
  <c r="AO36" i="1"/>
  <c r="AW36" i="1"/>
  <c r="AQ36" i="1"/>
  <c r="AF36" i="1"/>
  <c r="AV36" i="1"/>
  <c r="AN36" i="1"/>
  <c r="AE36" i="1"/>
  <c r="X36" i="1"/>
  <c r="AS36" i="1"/>
  <c r="W36" i="1"/>
  <c r="AA36" i="1"/>
  <c r="AK36" i="1"/>
  <c r="AG36" i="1"/>
  <c r="AT36" i="1"/>
  <c r="AJ36" i="1" l="1"/>
  <c r="V38" i="1"/>
  <c r="B39" i="1"/>
  <c r="AT37" i="1"/>
  <c r="AE37" i="1"/>
  <c r="AF37" i="1"/>
  <c r="Z37" i="1"/>
  <c r="AM37" i="1"/>
  <c r="AI37" i="1"/>
  <c r="AP37" i="1"/>
  <c r="Y37" i="1"/>
  <c r="AC37" i="1"/>
  <c r="AN37" i="1"/>
  <c r="AS37" i="1"/>
  <c r="AW37" i="1"/>
  <c r="AU37" i="1"/>
  <c r="AG37" i="1"/>
  <c r="X37" i="1"/>
  <c r="W37" i="1"/>
  <c r="AO37" i="1"/>
  <c r="AR37" i="1"/>
  <c r="AK37" i="1"/>
  <c r="AQ37" i="1"/>
  <c r="AH37" i="1"/>
  <c r="AA37" i="1"/>
  <c r="AB37" i="1"/>
  <c r="AL37" i="1"/>
  <c r="AD37" i="1"/>
  <c r="AV37" i="1"/>
  <c r="AJ37" i="1" l="1"/>
  <c r="B40" i="1"/>
  <c r="V39" i="1"/>
  <c r="AQ38" i="1"/>
  <c r="AM38" i="1"/>
  <c r="AE38" i="1"/>
  <c r="AV38" i="1"/>
  <c r="AN38" i="1"/>
  <c r="AT38" i="1"/>
  <c r="AL38" i="1"/>
  <c r="X38" i="1"/>
  <c r="AC38" i="1"/>
  <c r="Y38" i="1"/>
  <c r="W38" i="1"/>
  <c r="AW38" i="1"/>
  <c r="AF38" i="1"/>
  <c r="AP38" i="1"/>
  <c r="Z38" i="1"/>
  <c r="AK38" i="1"/>
  <c r="AI38" i="1"/>
  <c r="AO38" i="1"/>
  <c r="AS38" i="1"/>
  <c r="AG38" i="1"/>
  <c r="AH38" i="1"/>
  <c r="AD38" i="1"/>
  <c r="AR38" i="1"/>
  <c r="AB38" i="1"/>
  <c r="AU38" i="1"/>
  <c r="AA38" i="1"/>
  <c r="Z39" i="1" l="1"/>
  <c r="AH39" i="1"/>
  <c r="AU39" i="1"/>
  <c r="AR39" i="1"/>
  <c r="AB39" i="1"/>
  <c r="AO39" i="1"/>
  <c r="AT39" i="1"/>
  <c r="AN39" i="1"/>
  <c r="AV39" i="1"/>
  <c r="AQ39" i="1"/>
  <c r="AA39" i="1"/>
  <c r="AC39" i="1"/>
  <c r="Y39" i="1"/>
  <c r="X39" i="1"/>
  <c r="AS39" i="1"/>
  <c r="AM39" i="1"/>
  <c r="W39" i="1"/>
  <c r="AK39" i="1"/>
  <c r="AL39" i="1"/>
  <c r="AI39" i="1"/>
  <c r="AD39" i="1"/>
  <c r="AP39" i="1"/>
  <c r="AF39" i="1"/>
  <c r="AW39" i="1"/>
  <c r="AG39" i="1"/>
  <c r="AE39" i="1"/>
  <c r="AJ38" i="1"/>
  <c r="B41" i="1"/>
  <c r="V40" i="1"/>
  <c r="V41" i="1" l="1"/>
  <c r="B42" i="1"/>
  <c r="AE40" i="1"/>
  <c r="AF40" i="1"/>
  <c r="AD40" i="1"/>
  <c r="AT40" i="1"/>
  <c r="AW40" i="1"/>
  <c r="AP40" i="1"/>
  <c r="AQ40" i="1"/>
  <c r="AR40" i="1"/>
  <c r="AG40" i="1"/>
  <c r="AC40" i="1"/>
  <c r="AS40" i="1"/>
  <c r="AB40" i="1"/>
  <c r="AA40" i="1"/>
  <c r="W40" i="1"/>
  <c r="Y40" i="1"/>
  <c r="AK40" i="1"/>
  <c r="X40" i="1"/>
  <c r="AU40" i="1"/>
  <c r="AV40" i="1"/>
  <c r="AH40" i="1"/>
  <c r="AI40" i="1"/>
  <c r="AM40" i="1"/>
  <c r="AO40" i="1"/>
  <c r="AN40" i="1"/>
  <c r="AL40" i="1"/>
  <c r="Z40" i="1"/>
  <c r="AJ39" i="1"/>
  <c r="AJ40" i="1" l="1"/>
  <c r="B43" i="1"/>
  <c r="V42" i="1"/>
  <c r="AR41" i="1"/>
  <c r="AI41" i="1"/>
  <c r="AE41" i="1"/>
  <c r="Y41" i="1"/>
  <c r="AP41" i="1"/>
  <c r="AO41" i="1"/>
  <c r="AT41" i="1"/>
  <c r="AK41" i="1"/>
  <c r="AA41" i="1"/>
  <c r="AL41" i="1"/>
  <c r="AH41" i="1"/>
  <c r="AM41" i="1"/>
  <c r="AW41" i="1"/>
  <c r="Z41" i="1"/>
  <c r="AS41" i="1"/>
  <c r="AU41" i="1"/>
  <c r="AV41" i="1"/>
  <c r="AB41" i="1"/>
  <c r="AG41" i="1"/>
  <c r="AN41" i="1"/>
  <c r="AF41" i="1"/>
  <c r="AC41" i="1"/>
  <c r="W41" i="1"/>
  <c r="AQ41" i="1"/>
  <c r="X41" i="1"/>
  <c r="AD41" i="1"/>
  <c r="AJ41" i="1" l="1"/>
  <c r="AA42" i="1"/>
  <c r="Z42" i="1"/>
  <c r="AC42" i="1"/>
  <c r="AG42" i="1"/>
  <c r="AH42" i="1"/>
  <c r="AW42" i="1"/>
  <c r="AS42" i="1"/>
  <c r="AO42" i="1"/>
  <c r="AP42" i="1"/>
  <c r="AE42" i="1"/>
  <c r="AV42" i="1"/>
  <c r="AI42" i="1"/>
  <c r="W42" i="1"/>
  <c r="AK42" i="1"/>
  <c r="AF42" i="1"/>
  <c r="Y42" i="1"/>
  <c r="AB42" i="1"/>
  <c r="AQ42" i="1"/>
  <c r="AM42" i="1"/>
  <c r="AN42" i="1"/>
  <c r="AD42" i="1"/>
  <c r="X42" i="1"/>
  <c r="AR42" i="1"/>
  <c r="AU42" i="1"/>
  <c r="AL42" i="1"/>
  <c r="AT42" i="1"/>
  <c r="B44" i="1"/>
  <c r="V43" i="1"/>
  <c r="AJ42" i="1" l="1"/>
  <c r="AE43" i="1"/>
  <c r="AK43" i="1"/>
  <c r="AH43" i="1"/>
  <c r="Z43" i="1"/>
  <c r="AW43" i="1"/>
  <c r="AM43" i="1"/>
  <c r="AO43" i="1"/>
  <c r="W43" i="1"/>
  <c r="AU43" i="1"/>
  <c r="AA43" i="1"/>
  <c r="AR43" i="1"/>
  <c r="AF43" i="1"/>
  <c r="AT43" i="1"/>
  <c r="AB43" i="1"/>
  <c r="AV43" i="1"/>
  <c r="AL43" i="1"/>
  <c r="AI43" i="1"/>
  <c r="AC43" i="1"/>
  <c r="AD43" i="1"/>
  <c r="X43" i="1"/>
  <c r="AN43" i="1"/>
  <c r="AS43" i="1"/>
  <c r="Y43" i="1"/>
  <c r="AG43" i="1"/>
  <c r="AQ43" i="1"/>
  <c r="AP43" i="1"/>
  <c r="V44" i="1"/>
  <c r="B45" i="1"/>
  <c r="AO44" i="1" l="1"/>
  <c r="Z44" i="1"/>
  <c r="AE44" i="1"/>
  <c r="AH44" i="1"/>
  <c r="AB44" i="1"/>
  <c r="AG44" i="1"/>
  <c r="AI44" i="1"/>
  <c r="AM44" i="1"/>
  <c r="AR44" i="1"/>
  <c r="AD44" i="1"/>
  <c r="AT44" i="1"/>
  <c r="X44" i="1"/>
  <c r="AA44" i="1"/>
  <c r="AL44" i="1"/>
  <c r="AP44" i="1"/>
  <c r="AW44" i="1"/>
  <c r="AU44" i="1"/>
  <c r="AN44" i="1"/>
  <c r="AS44" i="1"/>
  <c r="AC44" i="1"/>
  <c r="AK44" i="1"/>
  <c r="AF44" i="1"/>
  <c r="AV44" i="1"/>
  <c r="AQ44" i="1"/>
  <c r="W44" i="1"/>
  <c r="Y44" i="1"/>
  <c r="AJ43" i="1"/>
  <c r="V45" i="1"/>
  <c r="B46" i="1"/>
  <c r="AP45" i="1" l="1"/>
  <c r="AC45" i="1"/>
  <c r="AR45" i="1"/>
  <c r="X45" i="1"/>
  <c r="AK45" i="1"/>
  <c r="AO45" i="1"/>
  <c r="AE45" i="1"/>
  <c r="AB45" i="1"/>
  <c r="AT45" i="1"/>
  <c r="AD45" i="1"/>
  <c r="W45" i="1"/>
  <c r="AF45" i="1"/>
  <c r="AW45" i="1"/>
  <c r="Z45" i="1"/>
  <c r="AG45" i="1"/>
  <c r="AU45" i="1"/>
  <c r="AQ45" i="1"/>
  <c r="AL45" i="1"/>
  <c r="AH45" i="1"/>
  <c r="AA45" i="1"/>
  <c r="AN45" i="1"/>
  <c r="AS45" i="1"/>
  <c r="AV45" i="1"/>
  <c r="Y45" i="1"/>
  <c r="AI45" i="1"/>
  <c r="AM45" i="1"/>
  <c r="V46" i="1"/>
  <c r="B47" i="1"/>
  <c r="AJ44" i="1"/>
  <c r="B48" i="1" l="1"/>
  <c r="V47" i="1"/>
  <c r="AJ45" i="1"/>
  <c r="AH46" i="1"/>
  <c r="AS46" i="1"/>
  <c r="AD46" i="1"/>
  <c r="AN46" i="1"/>
  <c r="AK46" i="1"/>
  <c r="AV46" i="1"/>
  <c r="AI46" i="1"/>
  <c r="AG46" i="1"/>
  <c r="AB46" i="1"/>
  <c r="AM46" i="1"/>
  <c r="AR46" i="1"/>
  <c r="AO46" i="1"/>
  <c r="Z46" i="1"/>
  <c r="AE46" i="1"/>
  <c r="AC46" i="1"/>
  <c r="AQ46" i="1"/>
  <c r="X46" i="1"/>
  <c r="W46" i="1"/>
  <c r="AU46" i="1"/>
  <c r="AW46" i="1"/>
  <c r="AP46" i="1"/>
  <c r="AL46" i="1"/>
  <c r="AA46" i="1"/>
  <c r="AF46" i="1"/>
  <c r="Y46" i="1"/>
  <c r="AT46" i="1"/>
  <c r="X47" i="1" l="1"/>
  <c r="AS47" i="1"/>
  <c r="AD47" i="1"/>
  <c r="W47" i="1"/>
  <c r="AK47" i="1"/>
  <c r="AE47" i="1"/>
  <c r="AL47" i="1"/>
  <c r="AG47" i="1"/>
  <c r="AO47" i="1"/>
  <c r="AB47" i="1"/>
  <c r="AN47" i="1"/>
  <c r="AH47" i="1"/>
  <c r="AT47" i="1"/>
  <c r="AM47" i="1"/>
  <c r="AC47" i="1"/>
  <c r="AQ47" i="1"/>
  <c r="AU47" i="1"/>
  <c r="AP47" i="1"/>
  <c r="AF47" i="1"/>
  <c r="AV47" i="1"/>
  <c r="AI47" i="1"/>
  <c r="AW47" i="1"/>
  <c r="AR47" i="1"/>
  <c r="Z47" i="1"/>
  <c r="AA47" i="1"/>
  <c r="Y47" i="1"/>
  <c r="AJ46" i="1"/>
  <c r="B49" i="1"/>
  <c r="V48" i="1"/>
  <c r="AB48" i="1" l="1"/>
  <c r="AR48" i="1"/>
  <c r="AN48" i="1"/>
  <c r="AK48" i="1"/>
  <c r="AM48" i="1"/>
  <c r="AV48" i="1"/>
  <c r="AE48" i="1"/>
  <c r="AL48" i="1"/>
  <c r="AD48" i="1"/>
  <c r="AA48" i="1"/>
  <c r="AC48" i="1"/>
  <c r="Z48" i="1"/>
  <c r="AI48" i="1"/>
  <c r="AH48" i="1"/>
  <c r="AG48" i="1"/>
  <c r="AU48" i="1"/>
  <c r="AW48" i="1"/>
  <c r="Y48" i="1"/>
  <c r="AQ48" i="1"/>
  <c r="AS48" i="1"/>
  <c r="AO48" i="1"/>
  <c r="AP48" i="1"/>
  <c r="AT48" i="1"/>
  <c r="W48" i="1"/>
  <c r="X48" i="1"/>
  <c r="AF48" i="1"/>
  <c r="AJ47" i="1"/>
  <c r="V49" i="1"/>
  <c r="B50" i="1"/>
  <c r="V50" i="1" l="1"/>
  <c r="B51" i="1"/>
  <c r="AJ48" i="1"/>
  <c r="AE49" i="1"/>
  <c r="AM49" i="1"/>
  <c r="W49" i="1"/>
  <c r="AO49" i="1"/>
  <c r="AI49" i="1"/>
  <c r="AF49" i="1"/>
  <c r="AN49" i="1"/>
  <c r="AB49" i="1"/>
  <c r="AK49" i="1"/>
  <c r="AV49" i="1"/>
  <c r="AQ49" i="1"/>
  <c r="AW49" i="1"/>
  <c r="AD49" i="1"/>
  <c r="AT49" i="1"/>
  <c r="Y49" i="1"/>
  <c r="AG49" i="1"/>
  <c r="AA49" i="1"/>
  <c r="AR49" i="1"/>
  <c r="X49" i="1"/>
  <c r="AL49" i="1"/>
  <c r="AH49" i="1"/>
  <c r="AP49" i="1"/>
  <c r="AS49" i="1"/>
  <c r="AU49" i="1"/>
  <c r="AC49" i="1"/>
  <c r="Z49" i="1"/>
  <c r="AJ49" i="1" l="1"/>
  <c r="B52" i="1"/>
  <c r="V51" i="1"/>
  <c r="AR50" i="1"/>
  <c r="AV50" i="1"/>
  <c r="AQ50" i="1"/>
  <c r="X50" i="1"/>
  <c r="AK50" i="1"/>
  <c r="AF50" i="1"/>
  <c r="AU50" i="1"/>
  <c r="AG50" i="1"/>
  <c r="AO50" i="1"/>
  <c r="AM50" i="1"/>
  <c r="AW50" i="1"/>
  <c r="AN50" i="1"/>
  <c r="AL50" i="1"/>
  <c r="AI50" i="1"/>
  <c r="AC50" i="1"/>
  <c r="Y50" i="1"/>
  <c r="AB50" i="1"/>
  <c r="AA50" i="1"/>
  <c r="AP50" i="1"/>
  <c r="Z50" i="1"/>
  <c r="AS50" i="1"/>
  <c r="AH50" i="1"/>
  <c r="W50" i="1"/>
  <c r="AD50" i="1"/>
  <c r="AE50" i="1"/>
  <c r="AT50" i="1"/>
  <c r="AQ51" i="1" l="1"/>
  <c r="AP51" i="1"/>
  <c r="W51" i="1"/>
  <c r="AK51" i="1"/>
  <c r="AH51" i="1"/>
  <c r="AG51" i="1"/>
  <c r="AA51" i="1"/>
  <c r="AO51" i="1"/>
  <c r="AL51" i="1"/>
  <c r="AM51" i="1"/>
  <c r="AV51" i="1"/>
  <c r="AN51" i="1"/>
  <c r="AE51" i="1"/>
  <c r="Y51" i="1"/>
  <c r="AF51" i="1"/>
  <c r="AD51" i="1"/>
  <c r="AR51" i="1"/>
  <c r="AI51" i="1"/>
  <c r="AS51" i="1"/>
  <c r="AW51" i="1"/>
  <c r="AB51" i="1"/>
  <c r="X51" i="1"/>
  <c r="AC51" i="1"/>
  <c r="Z51" i="1"/>
  <c r="AT51" i="1"/>
  <c r="AU51" i="1"/>
  <c r="AJ50" i="1"/>
  <c r="B53" i="1"/>
  <c r="V52" i="1"/>
  <c r="AJ51" i="1" l="1"/>
  <c r="AL52" i="1"/>
  <c r="AS52" i="1"/>
  <c r="AA52" i="1"/>
  <c r="AR52" i="1"/>
  <c r="AW52" i="1"/>
  <c r="AD52" i="1"/>
  <c r="AU52" i="1"/>
  <c r="AH52" i="1"/>
  <c r="AT52" i="1"/>
  <c r="AG52" i="1"/>
  <c r="X52" i="1"/>
  <c r="Z52" i="1"/>
  <c r="AE52" i="1"/>
  <c r="W52" i="1"/>
  <c r="AC52" i="1"/>
  <c r="AQ52" i="1"/>
  <c r="AB52" i="1"/>
  <c r="AO52" i="1"/>
  <c r="AV52" i="1"/>
  <c r="AN52" i="1"/>
  <c r="AI52" i="1"/>
  <c r="AM52" i="1"/>
  <c r="AF52" i="1"/>
  <c r="Y52" i="1"/>
  <c r="AK52" i="1"/>
  <c r="AP52" i="1"/>
  <c r="V53" i="1"/>
  <c r="B54" i="1"/>
  <c r="AJ52" i="1" l="1"/>
  <c r="B55" i="1"/>
  <c r="V54" i="1"/>
  <c r="Z53" i="1"/>
  <c r="AE53" i="1"/>
  <c r="W53" i="1"/>
  <c r="AF53" i="1"/>
  <c r="AL53" i="1"/>
  <c r="AR53" i="1"/>
  <c r="AV53" i="1"/>
  <c r="AG53" i="1"/>
  <c r="AU53" i="1"/>
  <c r="AN53" i="1"/>
  <c r="AK53" i="1"/>
  <c r="AO53" i="1"/>
  <c r="X53" i="1"/>
  <c r="AP53" i="1"/>
  <c r="AD53" i="1"/>
  <c r="AT53" i="1"/>
  <c r="AQ53" i="1"/>
  <c r="AH53" i="1"/>
  <c r="AI53" i="1"/>
  <c r="AA53" i="1"/>
  <c r="Y53" i="1"/>
  <c r="AM53" i="1"/>
  <c r="AS53" i="1"/>
  <c r="AC53" i="1"/>
  <c r="AB53" i="1"/>
  <c r="AW53" i="1"/>
  <c r="AH54" i="1" l="1"/>
  <c r="AP54" i="1"/>
  <c r="AC54" i="1"/>
  <c r="AO54" i="1"/>
  <c r="AW54" i="1"/>
  <c r="X54" i="1"/>
  <c r="AQ54" i="1"/>
  <c r="Z54" i="1"/>
  <c r="AV54" i="1"/>
  <c r="AM54" i="1"/>
  <c r="AT54" i="1"/>
  <c r="AN54" i="1"/>
  <c r="AA54" i="1"/>
  <c r="AL54" i="1"/>
  <c r="AU54" i="1"/>
  <c r="AR54" i="1"/>
  <c r="AF54" i="1"/>
  <c r="AD54" i="1"/>
  <c r="W54" i="1"/>
  <c r="AE54" i="1"/>
  <c r="AB54" i="1"/>
  <c r="AK54" i="1"/>
  <c r="Y54" i="1"/>
  <c r="AS54" i="1"/>
  <c r="AI54" i="1"/>
  <c r="AG54" i="1"/>
  <c r="V55" i="1"/>
  <c r="B56" i="1"/>
  <c r="AJ53" i="1"/>
  <c r="AA55" i="1" l="1"/>
  <c r="AI55" i="1"/>
  <c r="AS55" i="1"/>
  <c r="AL55" i="1"/>
  <c r="AP55" i="1"/>
  <c r="Y55" i="1"/>
  <c r="AK55" i="1"/>
  <c r="AF55" i="1"/>
  <c r="Z55" i="1"/>
  <c r="AB55" i="1"/>
  <c r="AR55" i="1"/>
  <c r="AO55" i="1"/>
  <c r="AH55" i="1"/>
  <c r="AW55" i="1"/>
  <c r="X55" i="1"/>
  <c r="AT55" i="1"/>
  <c r="AM55" i="1"/>
  <c r="AG55" i="1"/>
  <c r="AD55" i="1"/>
  <c r="AE55" i="1"/>
  <c r="AC55" i="1"/>
  <c r="AU55" i="1"/>
  <c r="AQ55" i="1"/>
  <c r="AV55" i="1"/>
  <c r="AN55" i="1"/>
  <c r="W55" i="1"/>
  <c r="AJ54" i="1"/>
  <c r="V56" i="1"/>
  <c r="B57" i="1"/>
  <c r="AJ55" i="1" l="1"/>
  <c r="AN56" i="1"/>
  <c r="AH56" i="1"/>
  <c r="AS56" i="1"/>
  <c r="AO56" i="1"/>
  <c r="AK56" i="1"/>
  <c r="AW56" i="1"/>
  <c r="AB56" i="1"/>
  <c r="AU56" i="1"/>
  <c r="AE56" i="1"/>
  <c r="AD56" i="1"/>
  <c r="W56" i="1"/>
  <c r="AF56" i="1"/>
  <c r="AG56" i="1"/>
  <c r="AL56" i="1"/>
  <c r="AR56" i="1"/>
  <c r="AT56" i="1"/>
  <c r="AQ56" i="1"/>
  <c r="AC56" i="1"/>
  <c r="X56" i="1"/>
  <c r="AV56" i="1"/>
  <c r="AI56" i="1"/>
  <c r="Y56" i="1"/>
  <c r="AA56" i="1"/>
  <c r="AP56" i="1"/>
  <c r="AM56" i="1"/>
  <c r="Z56" i="1"/>
  <c r="V57" i="1"/>
  <c r="B58" i="1"/>
  <c r="V58" i="1" l="1"/>
  <c r="B59" i="1"/>
  <c r="AB57" i="1"/>
  <c r="AE57" i="1"/>
  <c r="AI57" i="1"/>
  <c r="AD57" i="1"/>
  <c r="AL57" i="1"/>
  <c r="AM57" i="1"/>
  <c r="AT57" i="1"/>
  <c r="AA57" i="1"/>
  <c r="AP57" i="1"/>
  <c r="AK57" i="1"/>
  <c r="W57" i="1"/>
  <c r="AG57" i="1"/>
  <c r="X57" i="1"/>
  <c r="AW57" i="1"/>
  <c r="AF57" i="1"/>
  <c r="AC57" i="1"/>
  <c r="AN57" i="1"/>
  <c r="AU57" i="1"/>
  <c r="AH57" i="1"/>
  <c r="Z57" i="1"/>
  <c r="AQ57" i="1"/>
  <c r="AV57" i="1"/>
  <c r="Y57" i="1"/>
  <c r="AR57" i="1"/>
  <c r="AO57" i="1"/>
  <c r="AS57" i="1"/>
  <c r="AJ56" i="1"/>
  <c r="AJ57" i="1" l="1"/>
  <c r="V59" i="1"/>
  <c r="B60" i="1"/>
  <c r="AG58" i="1"/>
  <c r="AK58" i="1"/>
  <c r="AD58" i="1"/>
  <c r="X58" i="1"/>
  <c r="AF58" i="1"/>
  <c r="AB58" i="1"/>
  <c r="AH58" i="1"/>
  <c r="AL58" i="1"/>
  <c r="Z58" i="1"/>
  <c r="AP58" i="1"/>
  <c r="AO58" i="1"/>
  <c r="Y58" i="1"/>
  <c r="AV58" i="1"/>
  <c r="AU58" i="1"/>
  <c r="AA58" i="1"/>
  <c r="AT58" i="1"/>
  <c r="AR58" i="1"/>
  <c r="AS58" i="1"/>
  <c r="AI58" i="1"/>
  <c r="AC58" i="1"/>
  <c r="AE58" i="1"/>
  <c r="AM58" i="1"/>
  <c r="AQ58" i="1"/>
  <c r="AN58" i="1"/>
  <c r="AW58" i="1"/>
  <c r="W58" i="1"/>
  <c r="AJ58" i="1" l="1"/>
  <c r="V60" i="1"/>
  <c r="B61" i="1"/>
  <c r="AK59" i="1"/>
  <c r="Y59" i="1"/>
  <c r="AH59" i="1"/>
  <c r="AO59" i="1"/>
  <c r="AP59" i="1"/>
  <c r="AN59" i="1"/>
  <c r="AG59" i="1"/>
  <c r="AM59" i="1"/>
  <c r="Z59" i="1"/>
  <c r="AT59" i="1"/>
  <c r="AR59" i="1"/>
  <c r="AL59" i="1"/>
  <c r="AD59" i="1"/>
  <c r="W59" i="1"/>
  <c r="AW59" i="1"/>
  <c r="AQ59" i="1"/>
  <c r="AV59" i="1"/>
  <c r="AI59" i="1"/>
  <c r="AA59" i="1"/>
  <c r="AS59" i="1"/>
  <c r="AB59" i="1"/>
  <c r="X59" i="1"/>
  <c r="AC59" i="1"/>
  <c r="AF59" i="1"/>
  <c r="AE59" i="1"/>
  <c r="AU59" i="1"/>
  <c r="B62" i="1" l="1"/>
  <c r="V61" i="1"/>
  <c r="AJ59" i="1"/>
  <c r="AO60" i="1"/>
  <c r="AP60" i="1"/>
  <c r="Y60" i="1"/>
  <c r="AI60" i="1"/>
  <c r="AF60" i="1"/>
  <c r="AU60" i="1"/>
  <c r="AQ60" i="1"/>
  <c r="AK60" i="1"/>
  <c r="AT60" i="1"/>
  <c r="AL60" i="1"/>
  <c r="AG60" i="1"/>
  <c r="AN60" i="1"/>
  <c r="Z60" i="1"/>
  <c r="W60" i="1"/>
  <c r="AS60" i="1"/>
  <c r="AV60" i="1"/>
  <c r="AR60" i="1"/>
  <c r="AM60" i="1"/>
  <c r="AD60" i="1"/>
  <c r="AB60" i="1"/>
  <c r="AE60" i="1"/>
  <c r="AH60" i="1"/>
  <c r="AA60" i="1"/>
  <c r="AW60" i="1"/>
  <c r="X60" i="1"/>
  <c r="AC60" i="1"/>
  <c r="AJ60" i="1" l="1"/>
  <c r="AS61" i="1"/>
  <c r="AL61" i="1"/>
  <c r="X61" i="1"/>
  <c r="AG61" i="1"/>
  <c r="AW61" i="1"/>
  <c r="AQ61" i="1"/>
  <c r="AT61" i="1"/>
  <c r="AP61" i="1"/>
  <c r="AF61" i="1"/>
  <c r="AC61" i="1"/>
  <c r="AO61" i="1"/>
  <c r="W61" i="1"/>
  <c r="AU61" i="1"/>
  <c r="Y61" i="1"/>
  <c r="Z61" i="1"/>
  <c r="AA61" i="1"/>
  <c r="AD61" i="1"/>
  <c r="AB61" i="1"/>
  <c r="AK61" i="1"/>
  <c r="AE61" i="1"/>
  <c r="AR61" i="1"/>
  <c r="AI61" i="1"/>
  <c r="AN61" i="1"/>
  <c r="AV61" i="1"/>
  <c r="AM61" i="1"/>
  <c r="AH61" i="1"/>
  <c r="B63" i="1"/>
  <c r="V62" i="1"/>
  <c r="AJ61" i="1" l="1"/>
  <c r="V63" i="1"/>
  <c r="B64" i="1"/>
  <c r="AO62" i="1"/>
  <c r="Y62" i="1"/>
  <c r="AP62" i="1"/>
  <c r="AC62" i="1"/>
  <c r="AA62" i="1"/>
  <c r="AB62" i="1"/>
  <c r="AV62" i="1"/>
  <c r="AS62" i="1"/>
  <c r="AR62" i="1"/>
  <c r="X62" i="1"/>
  <c r="Z62" i="1"/>
  <c r="AT62" i="1"/>
  <c r="W62" i="1"/>
  <c r="AU62" i="1"/>
  <c r="AK62" i="1"/>
  <c r="AH62" i="1"/>
  <c r="AI62" i="1"/>
  <c r="AM62" i="1"/>
  <c r="AE62" i="1"/>
  <c r="AW62" i="1"/>
  <c r="AD62" i="1"/>
  <c r="AN62" i="1"/>
  <c r="AF62" i="1"/>
  <c r="AQ62" i="1"/>
  <c r="AG62" i="1"/>
  <c r="AL62" i="1"/>
  <c r="V64" i="1" l="1"/>
  <c r="B65" i="1"/>
  <c r="AJ62" i="1"/>
  <c r="AF63" i="1"/>
  <c r="AO63" i="1"/>
  <c r="AT63" i="1"/>
  <c r="AD63" i="1"/>
  <c r="AV63" i="1"/>
  <c r="Y63" i="1"/>
  <c r="AM63" i="1"/>
  <c r="W63" i="1"/>
  <c r="AR63" i="1"/>
  <c r="AN63" i="1"/>
  <c r="AE63" i="1"/>
  <c r="AH63" i="1"/>
  <c r="AB63" i="1"/>
  <c r="AK63" i="1"/>
  <c r="Z63" i="1"/>
  <c r="AW63" i="1"/>
  <c r="X63" i="1"/>
  <c r="AS63" i="1"/>
  <c r="AP63" i="1"/>
  <c r="AI63" i="1"/>
  <c r="AA63" i="1"/>
  <c r="AL63" i="1"/>
  <c r="AG63" i="1"/>
  <c r="AQ63" i="1"/>
  <c r="AC63" i="1"/>
  <c r="AU63" i="1"/>
  <c r="AD64" i="1" l="1"/>
  <c r="AE64" i="1"/>
  <c r="X64" i="1"/>
  <c r="AG64" i="1"/>
  <c r="AH64" i="1"/>
  <c r="W64" i="1"/>
  <c r="AR64" i="1"/>
  <c r="AI64" i="1"/>
  <c r="AB64" i="1"/>
  <c r="AL64" i="1"/>
  <c r="AO64" i="1"/>
  <c r="AV64" i="1"/>
  <c r="AN64" i="1"/>
  <c r="AQ64" i="1"/>
  <c r="AK64" i="1"/>
  <c r="AP64" i="1"/>
  <c r="AT64" i="1"/>
  <c r="AA64" i="1"/>
  <c r="AS64" i="1"/>
  <c r="AW64" i="1"/>
  <c r="AF64" i="1"/>
  <c r="Y64" i="1"/>
  <c r="AC64" i="1"/>
  <c r="Z64" i="1"/>
  <c r="AM64" i="1"/>
  <c r="AU64" i="1"/>
  <c r="B66" i="1"/>
  <c r="V65" i="1"/>
  <c r="AJ63" i="1"/>
  <c r="B67" i="1" l="1"/>
  <c r="V66" i="1"/>
  <c r="AJ64" i="1"/>
  <c r="AR65" i="1"/>
  <c r="AA65" i="1"/>
  <c r="AU65" i="1"/>
  <c r="AD65" i="1"/>
  <c r="AN65" i="1"/>
  <c r="AC65" i="1"/>
  <c r="AK65" i="1"/>
  <c r="AL65" i="1"/>
  <c r="AW65" i="1"/>
  <c r="AT65" i="1"/>
  <c r="AM65" i="1"/>
  <c r="W65" i="1"/>
  <c r="Y65" i="1"/>
  <c r="AO65" i="1"/>
  <c r="AS65" i="1"/>
  <c r="AQ65" i="1"/>
  <c r="AV65" i="1"/>
  <c r="Z65" i="1"/>
  <c r="AF65" i="1"/>
  <c r="X65" i="1"/>
  <c r="AP65" i="1"/>
  <c r="AB65" i="1"/>
  <c r="AH65" i="1"/>
  <c r="AI65" i="1"/>
  <c r="AE65" i="1"/>
  <c r="AG65" i="1"/>
  <c r="AR66" i="1" l="1"/>
  <c r="AG66" i="1"/>
  <c r="AM66" i="1"/>
  <c r="AA66" i="1"/>
  <c r="AE66" i="1"/>
  <c r="AV66" i="1"/>
  <c r="AH66" i="1"/>
  <c r="AI66" i="1"/>
  <c r="W66" i="1"/>
  <c r="AN66" i="1"/>
  <c r="AP66" i="1"/>
  <c r="AO66" i="1"/>
  <c r="AD66" i="1"/>
  <c r="AL66" i="1"/>
  <c r="AB66" i="1"/>
  <c r="AC66" i="1"/>
  <c r="AQ66" i="1"/>
  <c r="AT66" i="1"/>
  <c r="X66" i="1"/>
  <c r="AW66" i="1"/>
  <c r="Z66" i="1"/>
  <c r="AS66" i="1"/>
  <c r="AU66" i="1"/>
  <c r="AF66" i="1"/>
  <c r="Y66" i="1"/>
  <c r="AK66" i="1"/>
  <c r="B68" i="1"/>
  <c r="V67" i="1"/>
  <c r="AJ65" i="1"/>
  <c r="AJ66" i="1" l="1"/>
  <c r="AA67" i="1"/>
  <c r="W67" i="1"/>
  <c r="AF67" i="1"/>
  <c r="AV67" i="1"/>
  <c r="AL67" i="1"/>
  <c r="AS67" i="1"/>
  <c r="Y67" i="1"/>
  <c r="AR67" i="1"/>
  <c r="X67" i="1"/>
  <c r="AC67" i="1"/>
  <c r="AM67" i="1"/>
  <c r="AU67" i="1"/>
  <c r="AK67" i="1"/>
  <c r="AO67" i="1"/>
  <c r="AD67" i="1"/>
  <c r="AE67" i="1"/>
  <c r="AB67" i="1"/>
  <c r="AI67" i="1"/>
  <c r="AP67" i="1"/>
  <c r="Z67" i="1"/>
  <c r="AQ67" i="1"/>
  <c r="AT67" i="1"/>
  <c r="AH67" i="1"/>
  <c r="AG67" i="1"/>
  <c r="AN67" i="1"/>
  <c r="AW67" i="1"/>
  <c r="B69" i="1"/>
  <c r="V68" i="1"/>
  <c r="AJ67" i="1" l="1"/>
  <c r="AD68" i="1"/>
  <c r="Z68" i="1"/>
  <c r="AH68" i="1"/>
  <c r="AW68" i="1"/>
  <c r="AB68" i="1"/>
  <c r="AM68" i="1"/>
  <c r="AQ68" i="1"/>
  <c r="AR68" i="1"/>
  <c r="AK68" i="1"/>
  <c r="AL68" i="1"/>
  <c r="AE68" i="1"/>
  <c r="AV68" i="1"/>
  <c r="AN68" i="1"/>
  <c r="Y68" i="1"/>
  <c r="X68" i="1"/>
  <c r="AT68" i="1"/>
  <c r="W68" i="1"/>
  <c r="AG68" i="1"/>
  <c r="AS68" i="1"/>
  <c r="AP68" i="1"/>
  <c r="AA68" i="1"/>
  <c r="AU68" i="1"/>
  <c r="AI68" i="1"/>
  <c r="AO68" i="1"/>
  <c r="AF68" i="1"/>
  <c r="AC68" i="1"/>
  <c r="B70" i="1"/>
  <c r="V69" i="1"/>
  <c r="AJ68" i="1" l="1"/>
  <c r="AG69" i="1"/>
  <c r="AI69" i="1"/>
  <c r="AM69" i="1"/>
  <c r="AO69" i="1"/>
  <c r="AT69" i="1"/>
  <c r="AS69" i="1"/>
  <c r="Z69" i="1"/>
  <c r="AF69" i="1"/>
  <c r="AR69" i="1"/>
  <c r="AV69" i="1"/>
  <c r="AW69" i="1"/>
  <c r="AA69" i="1"/>
  <c r="Y69" i="1"/>
  <c r="AP69" i="1"/>
  <c r="W69" i="1"/>
  <c r="AN69" i="1"/>
  <c r="AC69" i="1"/>
  <c r="AL69" i="1"/>
  <c r="AE69" i="1"/>
  <c r="AK69" i="1"/>
  <c r="AD69" i="1"/>
  <c r="AQ69" i="1"/>
  <c r="AU69" i="1"/>
  <c r="AH69" i="1"/>
  <c r="X69" i="1"/>
  <c r="AB69" i="1"/>
  <c r="B71" i="1"/>
  <c r="V70" i="1"/>
  <c r="AJ69" i="1" l="1"/>
  <c r="V71" i="1"/>
  <c r="B72" i="1"/>
  <c r="AE70" i="1"/>
  <c r="AU70" i="1"/>
  <c r="AT70" i="1"/>
  <c r="AP70" i="1"/>
  <c r="AV70" i="1"/>
  <c r="AC70" i="1"/>
  <c r="AD70" i="1"/>
  <c r="AK70" i="1"/>
  <c r="AA70" i="1"/>
  <c r="AL70" i="1"/>
  <c r="X70" i="1"/>
  <c r="AH70" i="1"/>
  <c r="AN70" i="1"/>
  <c r="Z70" i="1"/>
  <c r="AB70" i="1"/>
  <c r="AF70" i="1"/>
  <c r="AM70" i="1"/>
  <c r="AR70" i="1"/>
  <c r="AS70" i="1"/>
  <c r="AW70" i="1"/>
  <c r="W70" i="1"/>
  <c r="AO70" i="1"/>
  <c r="Y70" i="1"/>
  <c r="AI70" i="1"/>
  <c r="AQ70" i="1"/>
  <c r="AG70" i="1"/>
  <c r="B73" i="1" l="1"/>
  <c r="V72" i="1"/>
  <c r="AL71" i="1"/>
  <c r="AV71" i="1"/>
  <c r="AH71" i="1"/>
  <c r="AC71" i="1"/>
  <c r="AA71" i="1"/>
  <c r="AB71" i="1"/>
  <c r="AU71" i="1"/>
  <c r="AE71" i="1"/>
  <c r="AR71" i="1"/>
  <c r="W71" i="1"/>
  <c r="AK71" i="1"/>
  <c r="Z71" i="1"/>
  <c r="AQ71" i="1"/>
  <c r="AF71" i="1"/>
  <c r="X71" i="1"/>
  <c r="AM71" i="1"/>
  <c r="AD71" i="1"/>
  <c r="Y71" i="1"/>
  <c r="AP71" i="1"/>
  <c r="AS71" i="1"/>
  <c r="AO71" i="1"/>
  <c r="AT71" i="1"/>
  <c r="AW71" i="1"/>
  <c r="AN71" i="1"/>
  <c r="AG71" i="1"/>
  <c r="AI71" i="1"/>
  <c r="AJ70" i="1"/>
  <c r="AJ71" i="1" l="1"/>
  <c r="B74" i="1"/>
  <c r="V73" i="1"/>
  <c r="X72" i="1"/>
  <c r="AP72" i="1"/>
  <c r="AS72" i="1"/>
  <c r="AV72" i="1"/>
  <c r="AT72" i="1"/>
  <c r="AD72" i="1"/>
  <c r="AR72" i="1"/>
  <c r="Z72" i="1"/>
  <c r="AC72" i="1"/>
  <c r="AF72" i="1"/>
  <c r="AU72" i="1"/>
  <c r="AL72" i="1"/>
  <c r="AG72" i="1"/>
  <c r="AB72" i="1"/>
  <c r="AW72" i="1"/>
  <c r="AA72" i="1"/>
  <c r="W72" i="1"/>
  <c r="AK72" i="1"/>
  <c r="AQ72" i="1"/>
  <c r="AM72" i="1"/>
  <c r="AN72" i="1"/>
  <c r="AO72" i="1"/>
  <c r="Y72" i="1"/>
  <c r="AH72" i="1"/>
  <c r="AE72" i="1"/>
  <c r="AI72" i="1"/>
  <c r="AJ72" i="1" l="1"/>
  <c r="AG73" i="1"/>
  <c r="AM73" i="1"/>
  <c r="AA73" i="1"/>
  <c r="AU73" i="1"/>
  <c r="AD73" i="1"/>
  <c r="AP73" i="1"/>
  <c r="AB73" i="1"/>
  <c r="AW73" i="1"/>
  <c r="AS73" i="1"/>
  <c r="AR73" i="1"/>
  <c r="AN73" i="1"/>
  <c r="AH73" i="1"/>
  <c r="AF73" i="1"/>
  <c r="AQ73" i="1"/>
  <c r="AK73" i="1"/>
  <c r="Z73" i="1"/>
  <c r="AV73" i="1"/>
  <c r="X73" i="1"/>
  <c r="AI73" i="1"/>
  <c r="W73" i="1"/>
  <c r="AC73" i="1"/>
  <c r="AL73" i="1"/>
  <c r="AE73" i="1"/>
  <c r="AO73" i="1"/>
  <c r="Y73" i="1"/>
  <c r="AT73" i="1"/>
  <c r="V74" i="1"/>
  <c r="B75" i="1"/>
  <c r="V75" i="1" l="1"/>
  <c r="B76" i="1"/>
  <c r="V76" i="1" s="1"/>
  <c r="AJ73" i="1"/>
  <c r="AK74" i="1"/>
  <c r="AP74" i="1"/>
  <c r="AQ74" i="1"/>
  <c r="AE74" i="1"/>
  <c r="AT74" i="1"/>
  <c r="Z74" i="1"/>
  <c r="AD74" i="1"/>
  <c r="AV74" i="1"/>
  <c r="AU74" i="1"/>
  <c r="W74" i="1"/>
  <c r="AS74" i="1"/>
  <c r="AI74" i="1"/>
  <c r="X74" i="1"/>
  <c r="AF74" i="1"/>
  <c r="AO74" i="1"/>
  <c r="AR74" i="1"/>
  <c r="AA74" i="1"/>
  <c r="Y74" i="1"/>
  <c r="AH74" i="1"/>
  <c r="AN74" i="1"/>
  <c r="AG74" i="1"/>
  <c r="AB74" i="1"/>
  <c r="AL74" i="1"/>
  <c r="AW74" i="1"/>
  <c r="AC74" i="1"/>
  <c r="AM74" i="1"/>
  <c r="AQ75" i="1" l="1"/>
  <c r="AH75" i="1"/>
  <c r="AP75" i="1"/>
  <c r="AT75" i="1"/>
  <c r="AE75" i="1"/>
  <c r="AN75" i="1"/>
  <c r="W75" i="1"/>
  <c r="AK75" i="1"/>
  <c r="AR75" i="1"/>
  <c r="AF75" i="1"/>
  <c r="AS75" i="1"/>
  <c r="AG75" i="1"/>
  <c r="AM75" i="1"/>
  <c r="AL75" i="1"/>
  <c r="Z75" i="1"/>
  <c r="X75" i="1"/>
  <c r="AD75" i="1"/>
  <c r="AA75" i="1"/>
  <c r="AU75" i="1"/>
  <c r="Y75" i="1"/>
  <c r="AB75" i="1"/>
  <c r="AI75" i="1"/>
  <c r="AO75" i="1"/>
  <c r="AV75" i="1"/>
  <c r="AC75" i="1"/>
  <c r="AW75" i="1"/>
  <c r="AJ74" i="1"/>
  <c r="AT76" i="1"/>
  <c r="BG76" i="1" s="1"/>
  <c r="AN76" i="1"/>
  <c r="BA76" i="1" s="1"/>
  <c r="BO75" i="1" s="1"/>
  <c r="AI76" i="1"/>
  <c r="AH76" i="1"/>
  <c r="Y76" i="1"/>
  <c r="AE76" i="1"/>
  <c r="AW76" i="1"/>
  <c r="BJ76" i="1" s="1"/>
  <c r="AR76" i="1"/>
  <c r="BE76" i="1" s="1"/>
  <c r="BS75" i="1" s="1"/>
  <c r="W76" i="1"/>
  <c r="AD76" i="1"/>
  <c r="Z76" i="1"/>
  <c r="AQ76" i="1"/>
  <c r="BD76" i="1" s="1"/>
  <c r="AB76" i="1"/>
  <c r="AG76" i="1"/>
  <c r="AV76" i="1"/>
  <c r="BI76" i="1" s="1"/>
  <c r="BW75" i="1" s="1"/>
  <c r="AK76" i="1"/>
  <c r="AU76" i="1"/>
  <c r="BH76" i="1" s="1"/>
  <c r="BV75" i="1" s="1"/>
  <c r="X76" i="1"/>
  <c r="AL76" i="1"/>
  <c r="AY76" i="1" s="1"/>
  <c r="AA76" i="1"/>
  <c r="AM76" i="1"/>
  <c r="AZ76" i="1" s="1"/>
  <c r="AP76" i="1"/>
  <c r="BC76" i="1" s="1"/>
  <c r="AS76" i="1"/>
  <c r="BF76" i="1" s="1"/>
  <c r="AO76" i="1"/>
  <c r="BB76" i="1" s="1"/>
  <c r="AC76" i="1"/>
  <c r="AF76" i="1"/>
  <c r="BI75" i="1" l="1"/>
  <c r="BW74" i="1" s="1"/>
  <c r="BD75" i="1"/>
  <c r="BR75" i="1"/>
  <c r="BE75" i="1"/>
  <c r="AJ75" i="1"/>
  <c r="BC75" i="1"/>
  <c r="BQ75" i="1"/>
  <c r="BA75" i="1"/>
  <c r="BJ75" i="1"/>
  <c r="BX75" i="1"/>
  <c r="AZ75" i="1"/>
  <c r="BN75" i="1"/>
  <c r="BH75" i="1"/>
  <c r="AJ76" i="1"/>
  <c r="AY75" i="1"/>
  <c r="BM75" i="1"/>
  <c r="BZ76" i="1" a="1"/>
  <c r="BZ76" i="1" s="1"/>
  <c r="AX76" i="1"/>
  <c r="AX75" i="1" s="1"/>
  <c r="BI74" i="1"/>
  <c r="BB75" i="1"/>
  <c r="BP75" i="1"/>
  <c r="BF75" i="1"/>
  <c r="BT75" i="1"/>
  <c r="BG75" i="1"/>
  <c r="BU75" i="1"/>
  <c r="BV74" i="1" l="1"/>
  <c r="BH74" i="1"/>
  <c r="BX74" i="1"/>
  <c r="BJ74" i="1"/>
  <c r="BO74" i="1"/>
  <c r="BA74" i="1"/>
  <c r="BT74" i="1"/>
  <c r="BF74" i="1"/>
  <c r="BQ74" i="1"/>
  <c r="BC74" i="1"/>
  <c r="BP74" i="1"/>
  <c r="BB74" i="1"/>
  <c r="BN74" i="1"/>
  <c r="AZ74" i="1"/>
  <c r="BU74" i="1"/>
  <c r="BG74" i="1"/>
  <c r="BW73" i="1"/>
  <c r="BI73" i="1"/>
  <c r="BS74" i="1"/>
  <c r="BE74" i="1"/>
  <c r="CA74" i="1" a="1"/>
  <c r="CA74" i="1" s="1"/>
  <c r="BZ74" i="1" a="1"/>
  <c r="BZ74" i="1" s="1"/>
  <c r="BL74" i="1"/>
  <c r="BK75" i="1"/>
  <c r="AX74" i="1"/>
  <c r="BK76" i="1"/>
  <c r="BL75" i="1"/>
  <c r="BY75" i="1" s="1"/>
  <c r="CB75" i="1" s="1"/>
  <c r="R75" i="1" s="1"/>
  <c r="S75" i="1" s="1"/>
  <c r="T75" i="1" s="1"/>
  <c r="U75" i="1" s="1"/>
  <c r="CA75" i="1" a="1"/>
  <c r="CA75" i="1" s="1"/>
  <c r="BZ75" i="1" a="1"/>
  <c r="BZ75" i="1" s="1"/>
  <c r="AY74" i="1"/>
  <c r="BM74" i="1"/>
  <c r="BD74" i="1"/>
  <c r="BR74" i="1"/>
  <c r="BR73" i="1" l="1"/>
  <c r="BD73" i="1"/>
  <c r="BP73" i="1"/>
  <c r="BB73" i="1"/>
  <c r="AY73" i="1"/>
  <c r="BM73" i="1"/>
  <c r="BQ73" i="1"/>
  <c r="BC73" i="1"/>
  <c r="BN73" i="1"/>
  <c r="AZ73" i="1"/>
  <c r="BO73" i="1"/>
  <c r="BA73" i="1"/>
  <c r="BU73" i="1"/>
  <c r="BG73" i="1"/>
  <c r="BT73" i="1"/>
  <c r="BF73" i="1"/>
  <c r="BS73" i="1"/>
  <c r="BE73" i="1"/>
  <c r="BX73" i="1"/>
  <c r="BJ73" i="1"/>
  <c r="BZ73" i="1" a="1"/>
  <c r="BZ73" i="1" s="1"/>
  <c r="BK74" i="1"/>
  <c r="CA73" i="1" a="1"/>
  <c r="CA73" i="1" s="1"/>
  <c r="BL73" i="1"/>
  <c r="AX73" i="1"/>
  <c r="BW72" i="1"/>
  <c r="BI72" i="1"/>
  <c r="BV73" i="1"/>
  <c r="BH73" i="1"/>
  <c r="BY74" i="1"/>
  <c r="CB74" i="1" s="1"/>
  <c r="R74" i="1" s="1"/>
  <c r="S74" i="1" s="1"/>
  <c r="T74" i="1" s="1"/>
  <c r="U74" i="1" s="1"/>
  <c r="BU72" i="1" l="1"/>
  <c r="BG72" i="1"/>
  <c r="BH72" i="1"/>
  <c r="BV72" i="1"/>
  <c r="BO72" i="1"/>
  <c r="BA72" i="1"/>
  <c r="BY73" i="1"/>
  <c r="CB73" i="1" s="1"/>
  <c r="R73" i="1" s="1"/>
  <c r="S73" i="1" s="1"/>
  <c r="T73" i="1" s="1"/>
  <c r="U73" i="1" s="1"/>
  <c r="BW71" i="1"/>
  <c r="BI71" i="1"/>
  <c r="BZ72" i="1" a="1"/>
  <c r="BZ72" i="1" s="1"/>
  <c r="BL72" i="1"/>
  <c r="BK73" i="1"/>
  <c r="CA72" i="1" a="1"/>
  <c r="CA72" i="1" s="1"/>
  <c r="AX72" i="1"/>
  <c r="BM72" i="1"/>
  <c r="AY72" i="1"/>
  <c r="BP72" i="1"/>
  <c r="BB72" i="1"/>
  <c r="BT72" i="1"/>
  <c r="BF72" i="1"/>
  <c r="BQ72" i="1"/>
  <c r="BC72" i="1"/>
  <c r="BX72" i="1"/>
  <c r="BJ72" i="1"/>
  <c r="BE72" i="1"/>
  <c r="BS72" i="1"/>
  <c r="BR72" i="1"/>
  <c r="BD72" i="1"/>
  <c r="BN72" i="1"/>
  <c r="AZ72" i="1"/>
  <c r="BM71" i="1" l="1"/>
  <c r="AY71" i="1"/>
  <c r="BN71" i="1"/>
  <c r="AZ71" i="1"/>
  <c r="CA71" i="1" a="1"/>
  <c r="CA71" i="1" s="1"/>
  <c r="BL71" i="1"/>
  <c r="BK72" i="1"/>
  <c r="BZ71" i="1" a="1"/>
  <c r="BZ71" i="1" s="1"/>
  <c r="AX71" i="1"/>
  <c r="BR71" i="1"/>
  <c r="BD71" i="1"/>
  <c r="BY72" i="1"/>
  <c r="CB72" i="1" s="1"/>
  <c r="R72" i="1" s="1"/>
  <c r="S72" i="1" s="1"/>
  <c r="T72" i="1" s="1"/>
  <c r="U72" i="1" s="1"/>
  <c r="BS71" i="1"/>
  <c r="BE71" i="1"/>
  <c r="BW70" i="1"/>
  <c r="BI70" i="1"/>
  <c r="BX71" i="1"/>
  <c r="BJ71" i="1"/>
  <c r="BQ71" i="1"/>
  <c r="BC71" i="1"/>
  <c r="BO71" i="1"/>
  <c r="BA71" i="1"/>
  <c r="BT71" i="1"/>
  <c r="BF71" i="1"/>
  <c r="BV71" i="1"/>
  <c r="BH71" i="1"/>
  <c r="BP71" i="1"/>
  <c r="BB71" i="1"/>
  <c r="BU71" i="1"/>
  <c r="BG71" i="1"/>
  <c r="BT70" i="1" l="1"/>
  <c r="BF70" i="1"/>
  <c r="BS70" i="1"/>
  <c r="BE70" i="1"/>
  <c r="BR70" i="1"/>
  <c r="BD70" i="1"/>
  <c r="BY71" i="1"/>
  <c r="CB71" i="1" s="1"/>
  <c r="R71" i="1" s="1"/>
  <c r="S71" i="1" s="1"/>
  <c r="T71" i="1" s="1"/>
  <c r="U71" i="1" s="1"/>
  <c r="BU70" i="1"/>
  <c r="BG70" i="1"/>
  <c r="BV70" i="1"/>
  <c r="BH70" i="1"/>
  <c r="BO70" i="1"/>
  <c r="BA70" i="1"/>
  <c r="BN70" i="1"/>
  <c r="AZ70" i="1"/>
  <c r="BW69" i="1"/>
  <c r="BI69" i="1"/>
  <c r="BQ70" i="1"/>
  <c r="BC70" i="1"/>
  <c r="BX70" i="1"/>
  <c r="BJ70" i="1"/>
  <c r="BM70" i="1"/>
  <c r="AY70" i="1"/>
  <c r="BP70" i="1"/>
  <c r="BB70" i="1"/>
  <c r="BZ70" i="1" a="1"/>
  <c r="BZ70" i="1" s="1"/>
  <c r="CA70" i="1" a="1"/>
  <c r="CA70" i="1" s="1"/>
  <c r="BK71" i="1"/>
  <c r="BL70" i="1"/>
  <c r="AX70" i="1"/>
  <c r="BN69" i="1" l="1"/>
  <c r="AZ69" i="1"/>
  <c r="BR69" i="1"/>
  <c r="BD69" i="1"/>
  <c r="BO69" i="1"/>
  <c r="BA69" i="1"/>
  <c r="BU69" i="1"/>
  <c r="BG69" i="1"/>
  <c r="BX69" i="1"/>
  <c r="BJ69" i="1"/>
  <c r="BS69" i="1"/>
  <c r="BE69" i="1"/>
  <c r="BH69" i="1"/>
  <c r="BV69" i="1"/>
  <c r="BM69" i="1"/>
  <c r="AY69" i="1"/>
  <c r="BY70" i="1"/>
  <c r="CB70" i="1" s="1"/>
  <c r="R70" i="1" s="1"/>
  <c r="S70" i="1" s="1"/>
  <c r="T70" i="1" s="1"/>
  <c r="U70" i="1" s="1"/>
  <c r="BP69" i="1"/>
  <c r="BB69" i="1"/>
  <c r="BQ69" i="1"/>
  <c r="BC69" i="1"/>
  <c r="BT69" i="1"/>
  <c r="BF69" i="1"/>
  <c r="BL69" i="1"/>
  <c r="BK70" i="1"/>
  <c r="CA69" i="1" a="1"/>
  <c r="CA69" i="1" s="1"/>
  <c r="BZ69" i="1" a="1"/>
  <c r="BZ69" i="1" s="1"/>
  <c r="AX69" i="1"/>
  <c r="BW68" i="1"/>
  <c r="BI68" i="1"/>
  <c r="BZ68" i="1" l="1" a="1"/>
  <c r="BZ68" i="1" s="1"/>
  <c r="BL68" i="1"/>
  <c r="BK69" i="1"/>
  <c r="CA68" i="1" a="1"/>
  <c r="CA68" i="1" s="1"/>
  <c r="AX68" i="1"/>
  <c r="BY69" i="1"/>
  <c r="CB69" i="1" s="1"/>
  <c r="R69" i="1" s="1"/>
  <c r="S69" i="1" s="1"/>
  <c r="T69" i="1" s="1"/>
  <c r="U69" i="1" s="1"/>
  <c r="BM68" i="1"/>
  <c r="AY68" i="1"/>
  <c r="BS68" i="1"/>
  <c r="BE68" i="1"/>
  <c r="BX68" i="1"/>
  <c r="BJ68" i="1"/>
  <c r="BO68" i="1"/>
  <c r="BA68" i="1"/>
  <c r="BV68" i="1"/>
  <c r="BH68" i="1"/>
  <c r="BT68" i="1"/>
  <c r="BF68" i="1"/>
  <c r="BQ68" i="1"/>
  <c r="BC68" i="1"/>
  <c r="BR68" i="1"/>
  <c r="BD68" i="1"/>
  <c r="BW67" i="1"/>
  <c r="BI67" i="1"/>
  <c r="BP68" i="1"/>
  <c r="BB68" i="1"/>
  <c r="BN68" i="1"/>
  <c r="AZ68" i="1"/>
  <c r="BU68" i="1"/>
  <c r="BG68" i="1"/>
  <c r="BU67" i="1" l="1"/>
  <c r="BG67" i="1"/>
  <c r="BX67" i="1"/>
  <c r="BJ67" i="1"/>
  <c r="BV67" i="1"/>
  <c r="BH67" i="1"/>
  <c r="BN67" i="1"/>
  <c r="AZ67" i="1"/>
  <c r="BZ67" i="1" a="1"/>
  <c r="BZ67" i="1" s="1"/>
  <c r="BL67" i="1"/>
  <c r="CA67" i="1" a="1"/>
  <c r="CA67" i="1" s="1"/>
  <c r="BK68" i="1"/>
  <c r="AX67" i="1"/>
  <c r="BS67" i="1"/>
  <c r="BE67" i="1"/>
  <c r="BP67" i="1"/>
  <c r="BB67" i="1"/>
  <c r="BM67" i="1"/>
  <c r="AY67" i="1"/>
  <c r="BO67" i="1"/>
  <c r="BA67" i="1"/>
  <c r="BQ67" i="1"/>
  <c r="BC67" i="1"/>
  <c r="BT67" i="1"/>
  <c r="BF67" i="1"/>
  <c r="BY68" i="1"/>
  <c r="CB68" i="1" s="1"/>
  <c r="R68" i="1" s="1"/>
  <c r="S68" i="1" s="1"/>
  <c r="T68" i="1" s="1"/>
  <c r="U68" i="1" s="1"/>
  <c r="BW66" i="1"/>
  <c r="BI66" i="1"/>
  <c r="BR67" i="1"/>
  <c r="BD67" i="1"/>
  <c r="BS66" i="1" l="1"/>
  <c r="BE66" i="1"/>
  <c r="BL66" i="1"/>
  <c r="CA66" i="1" a="1"/>
  <c r="CA66" i="1" s="1"/>
  <c r="BK67" i="1"/>
  <c r="BZ66" i="1" a="1"/>
  <c r="BZ66" i="1" s="1"/>
  <c r="AX66" i="1"/>
  <c r="BR66" i="1"/>
  <c r="BD66" i="1"/>
  <c r="BY67" i="1"/>
  <c r="CB67" i="1" s="1"/>
  <c r="R67" i="1" s="1"/>
  <c r="S67" i="1" s="1"/>
  <c r="T67" i="1" s="1"/>
  <c r="U67" i="1" s="1"/>
  <c r="BX66" i="1"/>
  <c r="BJ66" i="1"/>
  <c r="BQ66" i="1"/>
  <c r="BC66" i="1"/>
  <c r="BW65" i="1"/>
  <c r="BI65" i="1"/>
  <c r="BN66" i="1"/>
  <c r="AZ66" i="1"/>
  <c r="BO66" i="1"/>
  <c r="BA66" i="1"/>
  <c r="BU66" i="1"/>
  <c r="BG66" i="1"/>
  <c r="BT66" i="1"/>
  <c r="BF66" i="1"/>
  <c r="BV66" i="1"/>
  <c r="BH66" i="1"/>
  <c r="BM66" i="1"/>
  <c r="AY66" i="1"/>
  <c r="BP66" i="1"/>
  <c r="BB66" i="1"/>
  <c r="BW64" i="1" l="1"/>
  <c r="BI64" i="1"/>
  <c r="BM65" i="1"/>
  <c r="AY65" i="1"/>
  <c r="BQ65" i="1"/>
  <c r="BC65" i="1"/>
  <c r="BU65" i="1"/>
  <c r="BG65" i="1"/>
  <c r="BV65" i="1"/>
  <c r="BH65" i="1"/>
  <c r="BY66" i="1"/>
  <c r="CB66" i="1" s="1"/>
  <c r="R66" i="1" s="1"/>
  <c r="S66" i="1" s="1"/>
  <c r="T66" i="1" s="1"/>
  <c r="U66" i="1" s="1"/>
  <c r="BX65" i="1"/>
  <c r="BJ65" i="1"/>
  <c r="BT65" i="1"/>
  <c r="BF65" i="1"/>
  <c r="BO65" i="1"/>
  <c r="BA65" i="1"/>
  <c r="BN65" i="1"/>
  <c r="AZ65" i="1"/>
  <c r="BS65" i="1"/>
  <c r="BE65" i="1"/>
  <c r="BP65" i="1"/>
  <c r="BB65" i="1"/>
  <c r="BR65" i="1"/>
  <c r="BD65" i="1"/>
  <c r="BL65" i="1"/>
  <c r="CA65" i="1" a="1"/>
  <c r="CA65" i="1" s="1"/>
  <c r="BK66" i="1"/>
  <c r="BZ65" i="1" a="1"/>
  <c r="BZ65" i="1" s="1"/>
  <c r="AX65" i="1"/>
  <c r="BY65" i="1" l="1"/>
  <c r="CB65" i="1" s="1"/>
  <c r="R65" i="1" s="1"/>
  <c r="S65" i="1" s="1"/>
  <c r="T65" i="1" s="1"/>
  <c r="U65" i="1" s="1"/>
  <c r="BT64" i="1"/>
  <c r="BF64" i="1"/>
  <c r="BQ64" i="1"/>
  <c r="BC64" i="1"/>
  <c r="BX64" i="1"/>
  <c r="BJ64" i="1"/>
  <c r="BR64" i="1"/>
  <c r="BD64" i="1"/>
  <c r="BS64" i="1"/>
  <c r="BE64" i="1"/>
  <c r="BM64" i="1"/>
  <c r="AY64" i="1"/>
  <c r="BZ64" i="1" a="1"/>
  <c r="BZ64" i="1" s="1"/>
  <c r="BL64" i="1"/>
  <c r="CA64" i="1" a="1"/>
  <c r="CA64" i="1" s="1"/>
  <c r="BK65" i="1"/>
  <c r="AX64" i="1"/>
  <c r="BU64" i="1"/>
  <c r="BG64" i="1"/>
  <c r="BN64" i="1"/>
  <c r="AZ64" i="1"/>
  <c r="BW63" i="1"/>
  <c r="BI63" i="1"/>
  <c r="BV64" i="1"/>
  <c r="BH64" i="1"/>
  <c r="BP64" i="1"/>
  <c r="BB64" i="1"/>
  <c r="BO64" i="1"/>
  <c r="BA64" i="1"/>
  <c r="BY64" i="1" l="1"/>
  <c r="CB64" i="1" s="1"/>
  <c r="R64" i="1" s="1"/>
  <c r="S64" i="1" s="1"/>
  <c r="T64" i="1" s="1"/>
  <c r="U64" i="1" s="1"/>
  <c r="BP63" i="1"/>
  <c r="BB63" i="1"/>
  <c r="BR63" i="1"/>
  <c r="BD63" i="1"/>
  <c r="BO63" i="1"/>
  <c r="BA63" i="1"/>
  <c r="BS63" i="1"/>
  <c r="BE63" i="1"/>
  <c r="BQ63" i="1"/>
  <c r="BC63" i="1"/>
  <c r="BV63" i="1"/>
  <c r="BH63" i="1"/>
  <c r="BX63" i="1"/>
  <c r="BJ63" i="1"/>
  <c r="BU63" i="1"/>
  <c r="BG63" i="1"/>
  <c r="BT63" i="1"/>
  <c r="BF63" i="1"/>
  <c r="BL63" i="1"/>
  <c r="BZ63" i="1" a="1"/>
  <c r="BZ63" i="1" s="1"/>
  <c r="BK64" i="1"/>
  <c r="CA63" i="1" a="1"/>
  <c r="CA63" i="1" s="1"/>
  <c r="AX63" i="1"/>
  <c r="BM63" i="1"/>
  <c r="AY63" i="1"/>
  <c r="BW62" i="1"/>
  <c r="BI62" i="1"/>
  <c r="BN63" i="1"/>
  <c r="AZ63" i="1"/>
  <c r="BN62" i="1" l="1"/>
  <c r="AZ62" i="1"/>
  <c r="BV62" i="1"/>
  <c r="BH62" i="1"/>
  <c r="BM62" i="1"/>
  <c r="AY62" i="1"/>
  <c r="BO62" i="1"/>
  <c r="BA62" i="1"/>
  <c r="BS62" i="1"/>
  <c r="BE62" i="1"/>
  <c r="BW61" i="1"/>
  <c r="BI61" i="1"/>
  <c r="CA62" i="1" a="1"/>
  <c r="CA62" i="1" s="1"/>
  <c r="BL62" i="1"/>
  <c r="BK63" i="1"/>
  <c r="BZ62" i="1" a="1"/>
  <c r="BZ62" i="1" s="1"/>
  <c r="AX62" i="1"/>
  <c r="BR62" i="1"/>
  <c r="BD62" i="1"/>
  <c r="BU62" i="1"/>
  <c r="BG62" i="1"/>
  <c r="BQ62" i="1"/>
  <c r="BC62" i="1"/>
  <c r="BT62" i="1"/>
  <c r="BF62" i="1"/>
  <c r="BP62" i="1"/>
  <c r="BB62" i="1"/>
  <c r="BX62" i="1"/>
  <c r="BJ62" i="1"/>
  <c r="BY63" i="1"/>
  <c r="CB63" i="1" s="1"/>
  <c r="R63" i="1" s="1"/>
  <c r="S63" i="1" s="1"/>
  <c r="T63" i="1" s="1"/>
  <c r="U63" i="1" s="1"/>
  <c r="BY62" i="1" l="1"/>
  <c r="CB62" i="1" s="1"/>
  <c r="R62" i="1" s="1"/>
  <c r="S62" i="1" s="1"/>
  <c r="T62" i="1" s="1"/>
  <c r="U62" i="1" s="1"/>
  <c r="BS61" i="1"/>
  <c r="BE61" i="1"/>
  <c r="BX61" i="1"/>
  <c r="BJ61" i="1"/>
  <c r="BT61" i="1"/>
  <c r="BF61" i="1"/>
  <c r="BP61" i="1"/>
  <c r="BB61" i="1"/>
  <c r="BQ61" i="1"/>
  <c r="BC61" i="1"/>
  <c r="BV61" i="1"/>
  <c r="BH61" i="1"/>
  <c r="BW60" i="1"/>
  <c r="BI60" i="1"/>
  <c r="BO61" i="1"/>
  <c r="BA61" i="1"/>
  <c r="BU61" i="1"/>
  <c r="BG61" i="1"/>
  <c r="BN61" i="1"/>
  <c r="AZ61" i="1"/>
  <c r="BM61" i="1"/>
  <c r="AY61" i="1"/>
  <c r="BR61" i="1"/>
  <c r="BD61" i="1"/>
  <c r="CA61" i="1" a="1"/>
  <c r="CA61" i="1" s="1"/>
  <c r="BL61" i="1"/>
  <c r="BK62" i="1"/>
  <c r="BZ61" i="1" a="1"/>
  <c r="BZ61" i="1" s="1"/>
  <c r="AX61" i="1"/>
  <c r="BK61" i="1" l="1"/>
  <c r="BL60" i="1"/>
  <c r="CA60" i="1" a="1"/>
  <c r="CA60" i="1" s="1"/>
  <c r="BZ60" i="1" a="1"/>
  <c r="BZ60" i="1" s="1"/>
  <c r="AX60" i="1"/>
  <c r="BO60" i="1"/>
  <c r="BA60" i="1"/>
  <c r="BM60" i="1"/>
  <c r="AY60" i="1"/>
  <c r="BW59" i="1"/>
  <c r="BI59" i="1"/>
  <c r="BQ60" i="1"/>
  <c r="BC60" i="1"/>
  <c r="BY61" i="1"/>
  <c r="CB61" i="1" s="1"/>
  <c r="R61" i="1" s="1"/>
  <c r="S61" i="1" s="1"/>
  <c r="T61" i="1" s="1"/>
  <c r="U61" i="1" s="1"/>
  <c r="BX60" i="1"/>
  <c r="BJ60" i="1"/>
  <c r="BN60" i="1"/>
  <c r="AZ60" i="1"/>
  <c r="BV60" i="1"/>
  <c r="BH60" i="1"/>
  <c r="BP60" i="1"/>
  <c r="BB60" i="1"/>
  <c r="BU60" i="1"/>
  <c r="BG60" i="1"/>
  <c r="BS60" i="1"/>
  <c r="BE60" i="1"/>
  <c r="BR60" i="1"/>
  <c r="BD60" i="1"/>
  <c r="BT60" i="1"/>
  <c r="BF60" i="1"/>
  <c r="BX59" i="1" l="1"/>
  <c r="BJ59" i="1"/>
  <c r="BR59" i="1"/>
  <c r="BD59" i="1"/>
  <c r="BQ59" i="1"/>
  <c r="BC59" i="1"/>
  <c r="BM59" i="1"/>
  <c r="AY59" i="1"/>
  <c r="CA59" i="1" a="1"/>
  <c r="CA59" i="1" s="1"/>
  <c r="BL59" i="1"/>
  <c r="BK60" i="1"/>
  <c r="BZ59" i="1" a="1"/>
  <c r="BZ59" i="1" s="1"/>
  <c r="AX59" i="1"/>
  <c r="BU59" i="1"/>
  <c r="BG59" i="1"/>
  <c r="BS59" i="1"/>
  <c r="BE59" i="1"/>
  <c r="BP59" i="1"/>
  <c r="BB59" i="1"/>
  <c r="BT59" i="1"/>
  <c r="BF59" i="1"/>
  <c r="BY60" i="1"/>
  <c r="CB60" i="1" s="1"/>
  <c r="R60" i="1" s="1"/>
  <c r="S60" i="1" s="1"/>
  <c r="T60" i="1" s="1"/>
  <c r="U60" i="1" s="1"/>
  <c r="BW58" i="1"/>
  <c r="BI58" i="1"/>
  <c r="BO59" i="1"/>
  <c r="BA59" i="1"/>
  <c r="BV59" i="1"/>
  <c r="BH59" i="1"/>
  <c r="BN59" i="1"/>
  <c r="AZ59" i="1"/>
  <c r="BN58" i="1" l="1"/>
  <c r="AZ58" i="1"/>
  <c r="BO58" i="1"/>
  <c r="BA58" i="1"/>
  <c r="BR58" i="1"/>
  <c r="BD58" i="1"/>
  <c r="BU58" i="1"/>
  <c r="BG58" i="1"/>
  <c r="BZ58" i="1" a="1"/>
  <c r="BZ58" i="1" s="1"/>
  <c r="BK59" i="1"/>
  <c r="BL58" i="1"/>
  <c r="CA58" i="1" a="1"/>
  <c r="CA58" i="1" s="1"/>
  <c r="AX58" i="1"/>
  <c r="BY59" i="1"/>
  <c r="CB59" i="1" s="1"/>
  <c r="R59" i="1" s="1"/>
  <c r="S59" i="1" s="1"/>
  <c r="T59" i="1" s="1"/>
  <c r="U59" i="1" s="1"/>
  <c r="BQ58" i="1"/>
  <c r="BC58" i="1"/>
  <c r="BP58" i="1"/>
  <c r="BB58" i="1"/>
  <c r="BV58" i="1"/>
  <c r="BH58" i="1"/>
  <c r="BM58" i="1"/>
  <c r="AY58" i="1"/>
  <c r="BT58" i="1"/>
  <c r="BF58" i="1"/>
  <c r="BX58" i="1"/>
  <c r="BJ58" i="1"/>
  <c r="BW57" i="1"/>
  <c r="BI57" i="1"/>
  <c r="BS58" i="1"/>
  <c r="BE58" i="1"/>
  <c r="BQ57" i="1" l="1"/>
  <c r="BC57" i="1"/>
  <c r="BY58" i="1"/>
  <c r="CB58" i="1" s="1"/>
  <c r="R58" i="1" s="1"/>
  <c r="S58" i="1" s="1"/>
  <c r="T58" i="1" s="1"/>
  <c r="U58" i="1" s="1"/>
  <c r="BR57" i="1"/>
  <c r="BD57" i="1"/>
  <c r="BL57" i="1"/>
  <c r="CA57" i="1" a="1"/>
  <c r="CA57" i="1" s="1"/>
  <c r="BZ57" i="1" a="1"/>
  <c r="BZ57" i="1" s="1"/>
  <c r="BK58" i="1"/>
  <c r="AX57" i="1"/>
  <c r="BT57" i="1"/>
  <c r="BF57" i="1"/>
  <c r="BS57" i="1"/>
  <c r="BE57" i="1"/>
  <c r="BX57" i="1"/>
  <c r="BJ57" i="1"/>
  <c r="BO57" i="1"/>
  <c r="BA57" i="1"/>
  <c r="BU57" i="1"/>
  <c r="BG57" i="1"/>
  <c r="BV57" i="1"/>
  <c r="BH57" i="1"/>
  <c r="BW56" i="1"/>
  <c r="BI56" i="1"/>
  <c r="BP57" i="1"/>
  <c r="BB57" i="1"/>
  <c r="BN57" i="1"/>
  <c r="AZ57" i="1"/>
  <c r="BM57" i="1"/>
  <c r="AY57" i="1"/>
  <c r="BX56" i="1" l="1"/>
  <c r="BJ56" i="1"/>
  <c r="BS56" i="1"/>
  <c r="BE56" i="1"/>
  <c r="BP56" i="1"/>
  <c r="BB56" i="1"/>
  <c r="BY57" i="1"/>
  <c r="CB57" i="1" s="1"/>
  <c r="R57" i="1" s="1"/>
  <c r="S57" i="1" s="1"/>
  <c r="T57" i="1" s="1"/>
  <c r="U57" i="1" s="1"/>
  <c r="BR56" i="1"/>
  <c r="BD56" i="1"/>
  <c r="BM56" i="1"/>
  <c r="AY56" i="1"/>
  <c r="BW55" i="1"/>
  <c r="BI55" i="1"/>
  <c r="BU56" i="1"/>
  <c r="BG56" i="1"/>
  <c r="BN56" i="1"/>
  <c r="AZ56" i="1"/>
  <c r="BO56" i="1"/>
  <c r="BA56" i="1"/>
  <c r="BQ56" i="1"/>
  <c r="BC56" i="1"/>
  <c r="BT56" i="1"/>
  <c r="BF56" i="1"/>
  <c r="BL56" i="1"/>
  <c r="BK57" i="1"/>
  <c r="CA56" i="1" a="1"/>
  <c r="CA56" i="1" s="1"/>
  <c r="BZ56" i="1" a="1"/>
  <c r="BZ56" i="1" s="1"/>
  <c r="AX56" i="1"/>
  <c r="BV56" i="1"/>
  <c r="BH56" i="1"/>
  <c r="BV55" i="1" l="1"/>
  <c r="BH55" i="1"/>
  <c r="BY56" i="1"/>
  <c r="CB56" i="1" s="1"/>
  <c r="R56" i="1" s="1"/>
  <c r="S56" i="1" s="1"/>
  <c r="T56" i="1" s="1"/>
  <c r="U56" i="1" s="1"/>
  <c r="BP55" i="1"/>
  <c r="BB55" i="1"/>
  <c r="BK56" i="1"/>
  <c r="BZ55" i="1" a="1"/>
  <c r="BZ55" i="1" s="1"/>
  <c r="CA55" i="1" a="1"/>
  <c r="CA55" i="1" s="1"/>
  <c r="BL55" i="1"/>
  <c r="AX55" i="1"/>
  <c r="BS55" i="1"/>
  <c r="BE55" i="1"/>
  <c r="BW54" i="1"/>
  <c r="BI54" i="1"/>
  <c r="BT55" i="1"/>
  <c r="BF55" i="1"/>
  <c r="BU55" i="1"/>
  <c r="BG55" i="1"/>
  <c r="BM55" i="1"/>
  <c r="AY55" i="1"/>
  <c r="BQ55" i="1"/>
  <c r="BC55" i="1"/>
  <c r="BX55" i="1"/>
  <c r="BJ55" i="1"/>
  <c r="BR55" i="1"/>
  <c r="BD55" i="1"/>
  <c r="BO55" i="1"/>
  <c r="BA55" i="1"/>
  <c r="BN55" i="1"/>
  <c r="AZ55" i="1"/>
  <c r="BW53" i="1" l="1"/>
  <c r="BI53" i="1"/>
  <c r="BY55" i="1"/>
  <c r="CB55" i="1" s="1"/>
  <c r="R55" i="1" s="1"/>
  <c r="S55" i="1" s="1"/>
  <c r="T55" i="1" s="1"/>
  <c r="U55" i="1" s="1"/>
  <c r="BT54" i="1"/>
  <c r="BF54" i="1"/>
  <c r="BX54" i="1"/>
  <c r="BJ54" i="1"/>
  <c r="BP54" i="1"/>
  <c r="BB54" i="1"/>
  <c r="BQ54" i="1"/>
  <c r="BC54" i="1"/>
  <c r="BS54" i="1"/>
  <c r="BE54" i="1"/>
  <c r="BR54" i="1"/>
  <c r="BD54" i="1"/>
  <c r="BM54" i="1"/>
  <c r="AY54" i="1"/>
  <c r="BN54" i="1"/>
  <c r="AZ54" i="1"/>
  <c r="BL54" i="1"/>
  <c r="CA54" i="1" a="1"/>
  <c r="CA54" i="1" s="1"/>
  <c r="BK55" i="1"/>
  <c r="BZ54" i="1" a="1"/>
  <c r="BZ54" i="1" s="1"/>
  <c r="AX54" i="1"/>
  <c r="BU54" i="1"/>
  <c r="BG54" i="1"/>
  <c r="BV54" i="1"/>
  <c r="BH54" i="1"/>
  <c r="BO54" i="1"/>
  <c r="BA54" i="1"/>
  <c r="BS53" i="1" l="1"/>
  <c r="BE53" i="1"/>
  <c r="BP53" i="1"/>
  <c r="BB53" i="1"/>
  <c r="BV53" i="1"/>
  <c r="BH53" i="1"/>
  <c r="BU53" i="1"/>
  <c r="BG53" i="1"/>
  <c r="BR53" i="1"/>
  <c r="BD53" i="1"/>
  <c r="BZ53" i="1" a="1"/>
  <c r="BZ53" i="1" s="1"/>
  <c r="CA53" i="1" a="1"/>
  <c r="CA53" i="1" s="1"/>
  <c r="BL53" i="1"/>
  <c r="BK54" i="1"/>
  <c r="AX53" i="1"/>
  <c r="BT53" i="1"/>
  <c r="BF53" i="1"/>
  <c r="BO53" i="1"/>
  <c r="BA53" i="1"/>
  <c r="BN53" i="1"/>
  <c r="AZ53" i="1"/>
  <c r="BW52" i="1"/>
  <c r="BI52" i="1"/>
  <c r="BQ53" i="1"/>
  <c r="BC53" i="1"/>
  <c r="BX53" i="1"/>
  <c r="BJ53" i="1"/>
  <c r="BY54" i="1"/>
  <c r="CB54" i="1" s="1"/>
  <c r="R54" i="1" s="1"/>
  <c r="S54" i="1" s="1"/>
  <c r="T54" i="1" s="1"/>
  <c r="U54" i="1" s="1"/>
  <c r="BM53" i="1"/>
  <c r="AY53" i="1"/>
  <c r="BY53" i="1" l="1"/>
  <c r="CB53" i="1" s="1"/>
  <c r="R53" i="1" s="1"/>
  <c r="S53" i="1" s="1"/>
  <c r="T53" i="1" s="1"/>
  <c r="U53" i="1" s="1"/>
  <c r="BX52" i="1"/>
  <c r="BJ52" i="1"/>
  <c r="BV52" i="1"/>
  <c r="BH52" i="1"/>
  <c r="BQ52" i="1"/>
  <c r="BC52" i="1"/>
  <c r="CA52" i="1" a="1"/>
  <c r="CA52" i="1" s="1"/>
  <c r="BK53" i="1"/>
  <c r="BL52" i="1"/>
  <c r="BZ52" i="1" a="1"/>
  <c r="BZ52" i="1" s="1"/>
  <c r="AX52" i="1"/>
  <c r="BP52" i="1"/>
  <c r="BB52" i="1"/>
  <c r="BW51" i="1"/>
  <c r="BI51" i="1"/>
  <c r="BO52" i="1"/>
  <c r="BA52" i="1"/>
  <c r="BM52" i="1"/>
  <c r="AY52" i="1"/>
  <c r="BU52" i="1"/>
  <c r="BG52" i="1"/>
  <c r="BN52" i="1"/>
  <c r="AZ52" i="1"/>
  <c r="BS52" i="1"/>
  <c r="BE52" i="1"/>
  <c r="BR52" i="1"/>
  <c r="BD52" i="1"/>
  <c r="BT52" i="1"/>
  <c r="BF52" i="1"/>
  <c r="BP51" i="1" l="1"/>
  <c r="BB51" i="1"/>
  <c r="BS51" i="1"/>
  <c r="BE51" i="1"/>
  <c r="BT51" i="1"/>
  <c r="BF51" i="1"/>
  <c r="BY52" i="1"/>
  <c r="CB52" i="1" s="1"/>
  <c r="R52" i="1" s="1"/>
  <c r="S52" i="1" s="1"/>
  <c r="T52" i="1" s="1"/>
  <c r="U52" i="1" s="1"/>
  <c r="BV51" i="1"/>
  <c r="BH51" i="1"/>
  <c r="BR51" i="1"/>
  <c r="BD51" i="1"/>
  <c r="BQ51" i="1"/>
  <c r="BC51" i="1"/>
  <c r="BN51" i="1"/>
  <c r="AZ51" i="1"/>
  <c r="BU51" i="1"/>
  <c r="BG51" i="1"/>
  <c r="BX51" i="1"/>
  <c r="BJ51" i="1"/>
  <c r="BW50" i="1"/>
  <c r="BI50" i="1"/>
  <c r="BL51" i="1"/>
  <c r="CA51" i="1" a="1"/>
  <c r="CA51" i="1" s="1"/>
  <c r="BK52" i="1"/>
  <c r="BZ51" i="1" a="1"/>
  <c r="BZ51" i="1" s="1"/>
  <c r="AX51" i="1"/>
  <c r="BM51" i="1"/>
  <c r="AY51" i="1"/>
  <c r="BO51" i="1"/>
  <c r="BA51" i="1"/>
  <c r="BN50" i="1" l="1"/>
  <c r="AZ50" i="1"/>
  <c r="BQ50" i="1"/>
  <c r="BC50" i="1"/>
  <c r="BR50" i="1"/>
  <c r="BD50" i="1"/>
  <c r="BY51" i="1"/>
  <c r="CB51" i="1" s="1"/>
  <c r="R51" i="1" s="1"/>
  <c r="S51" i="1" s="1"/>
  <c r="T51" i="1" s="1"/>
  <c r="U51" i="1" s="1"/>
  <c r="BK51" i="1"/>
  <c r="CA50" i="1" a="1"/>
  <c r="CA50" i="1" s="1"/>
  <c r="BL50" i="1"/>
  <c r="BZ50" i="1" a="1"/>
  <c r="BZ50" i="1" s="1"/>
  <c r="AX50" i="1"/>
  <c r="BM50" i="1"/>
  <c r="AY50" i="1"/>
  <c r="BS50" i="1"/>
  <c r="BE50" i="1"/>
  <c r="BV50" i="1"/>
  <c r="BH50" i="1"/>
  <c r="BW49" i="1"/>
  <c r="BI49" i="1"/>
  <c r="BP50" i="1"/>
  <c r="BB50" i="1"/>
  <c r="BO50" i="1"/>
  <c r="BA50" i="1"/>
  <c r="BT50" i="1"/>
  <c r="BF50" i="1"/>
  <c r="BX50" i="1"/>
  <c r="BJ50" i="1"/>
  <c r="BU50" i="1"/>
  <c r="BG50" i="1"/>
  <c r="BS49" i="1" l="1"/>
  <c r="BE49" i="1"/>
  <c r="BX49" i="1"/>
  <c r="BJ49" i="1"/>
  <c r="BT49" i="1"/>
  <c r="BF49" i="1"/>
  <c r="BR49" i="1"/>
  <c r="BD49" i="1"/>
  <c r="BO49" i="1"/>
  <c r="BA49" i="1"/>
  <c r="BU49" i="1"/>
  <c r="BG49" i="1"/>
  <c r="BY50" i="1"/>
  <c r="CB50" i="1" s="1"/>
  <c r="R50" i="1" s="1"/>
  <c r="S50" i="1" s="1"/>
  <c r="T50" i="1" s="1"/>
  <c r="U50" i="1" s="1"/>
  <c r="BP49" i="1"/>
  <c r="BB49" i="1"/>
  <c r="BQ49" i="1"/>
  <c r="BC49" i="1"/>
  <c r="BW48" i="1"/>
  <c r="BI48" i="1"/>
  <c r="BM49" i="1"/>
  <c r="AY49" i="1"/>
  <c r="BV49" i="1"/>
  <c r="BH49" i="1"/>
  <c r="BN49" i="1"/>
  <c r="AZ49" i="1"/>
  <c r="BZ49" i="1" a="1"/>
  <c r="BZ49" i="1" s="1"/>
  <c r="BL49" i="1"/>
  <c r="BK50" i="1"/>
  <c r="CA49" i="1" a="1"/>
  <c r="CA49" i="1" s="1"/>
  <c r="AX49" i="1"/>
  <c r="BZ48" i="1" l="1" a="1"/>
  <c r="BZ48" i="1" s="1"/>
  <c r="BL48" i="1"/>
  <c r="BK49" i="1"/>
  <c r="CA48" i="1" a="1"/>
  <c r="CA48" i="1" s="1"/>
  <c r="AX48" i="1"/>
  <c r="BP48" i="1"/>
  <c r="BB48" i="1"/>
  <c r="BO48" i="1"/>
  <c r="BA48" i="1"/>
  <c r="BT48" i="1"/>
  <c r="BF48" i="1"/>
  <c r="BY49" i="1"/>
  <c r="CB49" i="1" s="1"/>
  <c r="R49" i="1" s="1"/>
  <c r="S49" i="1" s="1"/>
  <c r="T49" i="1" s="1"/>
  <c r="U49" i="1" s="1"/>
  <c r="BR48" i="1"/>
  <c r="BD48" i="1"/>
  <c r="BM48" i="1"/>
  <c r="AY48" i="1"/>
  <c r="BX48" i="1"/>
  <c r="BJ48" i="1"/>
  <c r="BN48" i="1"/>
  <c r="AZ48" i="1"/>
  <c r="BU48" i="1"/>
  <c r="BG48" i="1"/>
  <c r="BS48" i="1"/>
  <c r="BE48" i="1"/>
  <c r="BV48" i="1"/>
  <c r="BH48" i="1"/>
  <c r="BI47" i="1"/>
  <c r="BW47" i="1"/>
  <c r="BQ48" i="1"/>
  <c r="BC48" i="1"/>
  <c r="BR47" i="1" l="1"/>
  <c r="BD47" i="1"/>
  <c r="BS47" i="1"/>
  <c r="BE47" i="1"/>
  <c r="BM47" i="1"/>
  <c r="AY47" i="1"/>
  <c r="BV47" i="1"/>
  <c r="BH47" i="1"/>
  <c r="BP47" i="1"/>
  <c r="BB47" i="1"/>
  <c r="CA47" i="1" a="1"/>
  <c r="CA47" i="1" s="1"/>
  <c r="BL47" i="1"/>
  <c r="BZ47" i="1" a="1"/>
  <c r="BZ47" i="1" s="1"/>
  <c r="BK48" i="1"/>
  <c r="AX47" i="1"/>
  <c r="BT47" i="1"/>
  <c r="BF47" i="1"/>
  <c r="BI46" i="1"/>
  <c r="BW46" i="1"/>
  <c r="BN47" i="1"/>
  <c r="AZ47" i="1"/>
  <c r="BQ47" i="1"/>
  <c r="BC47" i="1"/>
  <c r="BX47" i="1"/>
  <c r="BJ47" i="1"/>
  <c r="BY48" i="1"/>
  <c r="CB48" i="1" s="1"/>
  <c r="R48" i="1" s="1"/>
  <c r="S48" i="1" s="1"/>
  <c r="T48" i="1" s="1"/>
  <c r="U48" i="1" s="1"/>
  <c r="BO47" i="1"/>
  <c r="BA47" i="1"/>
  <c r="BU47" i="1"/>
  <c r="BG47" i="1"/>
  <c r="BM46" i="1" l="1"/>
  <c r="AY46" i="1"/>
  <c r="BY47" i="1"/>
  <c r="CB47" i="1" s="1"/>
  <c r="R47" i="1" s="1"/>
  <c r="S47" i="1" s="1"/>
  <c r="T47" i="1" s="1"/>
  <c r="U47" i="1" s="1"/>
  <c r="BV46" i="1"/>
  <c r="BH46" i="1"/>
  <c r="BU46" i="1"/>
  <c r="BG46" i="1"/>
  <c r="BX46" i="1"/>
  <c r="BJ46" i="1"/>
  <c r="BS46" i="1"/>
  <c r="BE46" i="1"/>
  <c r="BK47" i="1"/>
  <c r="CA46" i="1" a="1"/>
  <c r="CA46" i="1" s="1"/>
  <c r="BZ46" i="1" a="1"/>
  <c r="BZ46" i="1" s="1"/>
  <c r="AX46" i="1"/>
  <c r="BL46" i="1"/>
  <c r="AZ46" i="1"/>
  <c r="BN46" i="1"/>
  <c r="BI45" i="1"/>
  <c r="BW45" i="1"/>
  <c r="BR46" i="1"/>
  <c r="BD46" i="1"/>
  <c r="BA46" i="1"/>
  <c r="BO46" i="1"/>
  <c r="BP46" i="1"/>
  <c r="BB46" i="1"/>
  <c r="BC46" i="1"/>
  <c r="BQ46" i="1"/>
  <c r="BT46" i="1"/>
  <c r="BF46" i="1"/>
  <c r="CA45" i="1" l="1" a="1"/>
  <c r="CA45" i="1" s="1"/>
  <c r="BZ45" i="1" a="1"/>
  <c r="BZ45" i="1" s="1"/>
  <c r="AX45" i="1"/>
  <c r="BL45" i="1"/>
  <c r="BK46" i="1"/>
  <c r="BP45" i="1"/>
  <c r="BB45" i="1"/>
  <c r="BT45" i="1"/>
  <c r="BF45" i="1"/>
  <c r="BO45" i="1"/>
  <c r="BA45" i="1"/>
  <c r="BX45" i="1"/>
  <c r="BJ45" i="1"/>
  <c r="BH45" i="1"/>
  <c r="BV45" i="1"/>
  <c r="BE45" i="1"/>
  <c r="BS45" i="1"/>
  <c r="BU45" i="1"/>
  <c r="BG45" i="1"/>
  <c r="BY46" i="1"/>
  <c r="CB46" i="1" s="1"/>
  <c r="R46" i="1" s="1"/>
  <c r="S46" i="1" s="1"/>
  <c r="T46" i="1" s="1"/>
  <c r="U46" i="1" s="1"/>
  <c r="BC45" i="1"/>
  <c r="BQ45" i="1"/>
  <c r="BM45" i="1"/>
  <c r="AY45" i="1"/>
  <c r="BR45" i="1"/>
  <c r="BD45" i="1"/>
  <c r="BI44" i="1"/>
  <c r="BW44" i="1"/>
  <c r="AZ45" i="1"/>
  <c r="BN45" i="1"/>
  <c r="BE44" i="1" l="1"/>
  <c r="BS44" i="1"/>
  <c r="BJ44" i="1"/>
  <c r="BX44" i="1"/>
  <c r="BM44" i="1"/>
  <c r="AY44" i="1"/>
  <c r="BW43" i="1"/>
  <c r="BI43" i="1"/>
  <c r="AZ44" i="1"/>
  <c r="BN44" i="1"/>
  <c r="BT44" i="1"/>
  <c r="BF44" i="1"/>
  <c r="BC44" i="1"/>
  <c r="BQ44" i="1"/>
  <c r="BO44" i="1"/>
  <c r="BA44" i="1"/>
  <c r="BY45" i="1"/>
  <c r="CB45" i="1" s="1"/>
  <c r="R45" i="1" s="1"/>
  <c r="S45" i="1" s="1"/>
  <c r="T45" i="1" s="1"/>
  <c r="U45" i="1" s="1"/>
  <c r="BG44" i="1"/>
  <c r="BU44" i="1"/>
  <c r="AX44" i="1"/>
  <c r="BL44" i="1"/>
  <c r="BK45" i="1"/>
  <c r="CA44" i="1" a="1"/>
  <c r="CA44" i="1" s="1"/>
  <c r="BZ44" i="1" a="1"/>
  <c r="BZ44" i="1" s="1"/>
  <c r="BH44" i="1"/>
  <c r="BV44" i="1"/>
  <c r="BD44" i="1"/>
  <c r="BR44" i="1"/>
  <c r="BP44" i="1"/>
  <c r="BB44" i="1"/>
  <c r="BA43" i="1" l="1"/>
  <c r="BO43" i="1"/>
  <c r="BP43" i="1"/>
  <c r="BB43" i="1"/>
  <c r="BV43" i="1"/>
  <c r="BH43" i="1"/>
  <c r="BM43" i="1"/>
  <c r="AY43" i="1"/>
  <c r="AZ43" i="1"/>
  <c r="BN43" i="1"/>
  <c r="BF43" i="1"/>
  <c r="BT43" i="1"/>
  <c r="BD43" i="1"/>
  <c r="BR43" i="1"/>
  <c r="BI42" i="1"/>
  <c r="BW42" i="1"/>
  <c r="BJ43" i="1"/>
  <c r="BX43" i="1"/>
  <c r="BK44" i="1"/>
  <c r="BZ43" i="1" a="1"/>
  <c r="BZ43" i="1" s="1"/>
  <c r="CA43" i="1" a="1"/>
  <c r="CA43" i="1" s="1"/>
  <c r="BL43" i="1"/>
  <c r="AX43" i="1"/>
  <c r="BG43" i="1"/>
  <c r="BU43" i="1"/>
  <c r="BQ43" i="1"/>
  <c r="BC43" i="1"/>
  <c r="BY44" i="1"/>
  <c r="CB44" i="1" s="1"/>
  <c r="R44" i="1" s="1"/>
  <c r="S44" i="1" s="1"/>
  <c r="T44" i="1" s="1"/>
  <c r="U44" i="1" s="1"/>
  <c r="BS43" i="1"/>
  <c r="BE43" i="1"/>
  <c r="BI41" i="1" l="1"/>
  <c r="BW41" i="1"/>
  <c r="BC42" i="1"/>
  <c r="BQ42" i="1"/>
  <c r="BL42" i="1"/>
  <c r="AX42" i="1"/>
  <c r="BK43" i="1"/>
  <c r="CA42" i="1" a="1"/>
  <c r="CA42" i="1" s="1"/>
  <c r="BZ42" i="1" a="1"/>
  <c r="BZ42" i="1" s="1"/>
  <c r="BY43" i="1"/>
  <c r="CB43" i="1" s="1"/>
  <c r="R43" i="1" s="1"/>
  <c r="S43" i="1" s="1"/>
  <c r="T43" i="1" s="1"/>
  <c r="U43" i="1" s="1"/>
  <c r="BG42" i="1"/>
  <c r="BU42" i="1"/>
  <c r="BM42" i="1"/>
  <c r="AY42" i="1"/>
  <c r="BB42" i="1"/>
  <c r="BP42" i="1"/>
  <c r="BS42" i="1"/>
  <c r="BE42" i="1"/>
  <c r="BT42" i="1"/>
  <c r="BF42" i="1"/>
  <c r="BH42" i="1"/>
  <c r="BV42" i="1"/>
  <c r="BR42" i="1"/>
  <c r="BD42" i="1"/>
  <c r="BN42" i="1"/>
  <c r="AZ42" i="1"/>
  <c r="BX42" i="1"/>
  <c r="BJ42" i="1"/>
  <c r="BA42" i="1"/>
  <c r="BO42" i="1"/>
  <c r="BN41" i="1" l="1"/>
  <c r="AZ41" i="1"/>
  <c r="BM41" i="1"/>
  <c r="AY41" i="1"/>
  <c r="BX41" i="1"/>
  <c r="BJ41" i="1"/>
  <c r="BR41" i="1"/>
  <c r="BD41" i="1"/>
  <c r="BP41" i="1"/>
  <c r="BB41" i="1"/>
  <c r="BL41" i="1"/>
  <c r="BZ41" i="1" a="1"/>
  <c r="BZ41" i="1" s="1"/>
  <c r="AX41" i="1"/>
  <c r="BK42" i="1"/>
  <c r="CA41" i="1" a="1"/>
  <c r="CA41" i="1" s="1"/>
  <c r="BY42" i="1"/>
  <c r="CB42" i="1" s="1"/>
  <c r="R42" i="1" s="1"/>
  <c r="S42" i="1" s="1"/>
  <c r="T42" i="1" s="1"/>
  <c r="U42" i="1" s="1"/>
  <c r="BT41" i="1"/>
  <c r="BF41" i="1"/>
  <c r="BQ41" i="1"/>
  <c r="BC41" i="1"/>
  <c r="BO41" i="1"/>
  <c r="BA41" i="1"/>
  <c r="BU41" i="1"/>
  <c r="BG41" i="1"/>
  <c r="BV41" i="1"/>
  <c r="BH41" i="1"/>
  <c r="BS41" i="1"/>
  <c r="BE41" i="1"/>
  <c r="BI40" i="1"/>
  <c r="BW40" i="1"/>
  <c r="BI39" i="1" l="1"/>
  <c r="BW39" i="1"/>
  <c r="BY41" i="1"/>
  <c r="CB41" i="1" s="1"/>
  <c r="R41" i="1" s="1"/>
  <c r="S41" i="1" s="1"/>
  <c r="T41" i="1" s="1"/>
  <c r="U41" i="1" s="1"/>
  <c r="BJ40" i="1"/>
  <c r="BX40" i="1"/>
  <c r="BG40" i="1"/>
  <c r="BU40" i="1"/>
  <c r="BA40" i="1"/>
  <c r="BO40" i="1"/>
  <c r="BM40" i="1"/>
  <c r="AY40" i="1"/>
  <c r="BV40" i="1"/>
  <c r="BH40" i="1"/>
  <c r="AX40" i="1"/>
  <c r="BL40" i="1"/>
  <c r="CA40" i="1" a="1"/>
  <c r="CA40" i="1" s="1"/>
  <c r="BK41" i="1"/>
  <c r="BZ40" i="1" a="1"/>
  <c r="BZ40" i="1" s="1"/>
  <c r="BR40" i="1"/>
  <c r="BD40" i="1"/>
  <c r="BT40" i="1"/>
  <c r="BF40" i="1"/>
  <c r="AZ40" i="1"/>
  <c r="BN40" i="1"/>
  <c r="BE40" i="1"/>
  <c r="BS40" i="1"/>
  <c r="BB40" i="1"/>
  <c r="BP40" i="1"/>
  <c r="BQ40" i="1"/>
  <c r="BC40" i="1"/>
  <c r="BY40" i="1" l="1"/>
  <c r="CB40" i="1" s="1"/>
  <c r="R40" i="1" s="1"/>
  <c r="S40" i="1" s="1"/>
  <c r="T40" i="1" s="1"/>
  <c r="U40" i="1" s="1"/>
  <c r="AZ39" i="1"/>
  <c r="BN39" i="1"/>
  <c r="BH39" i="1"/>
  <c r="BV39" i="1"/>
  <c r="BG39" i="1"/>
  <c r="BU39" i="1"/>
  <c r="BM39" i="1"/>
  <c r="AY39" i="1"/>
  <c r="BO39" i="1"/>
  <c r="BA39" i="1"/>
  <c r="BC39" i="1"/>
  <c r="BQ39" i="1"/>
  <c r="BE39" i="1"/>
  <c r="BS39" i="1"/>
  <c r="BT39" i="1"/>
  <c r="BF39" i="1"/>
  <c r="BJ39" i="1"/>
  <c r="BX39" i="1"/>
  <c r="BB39" i="1"/>
  <c r="BP39" i="1"/>
  <c r="BZ39" i="1" a="1"/>
  <c r="BZ39" i="1" s="1"/>
  <c r="BK40" i="1"/>
  <c r="BL39" i="1"/>
  <c r="AX39" i="1"/>
  <c r="CA39" i="1" a="1"/>
  <c r="CA39" i="1" s="1"/>
  <c r="BR39" i="1"/>
  <c r="BD39" i="1"/>
  <c r="BI38" i="1"/>
  <c r="BW38" i="1"/>
  <c r="BQ38" i="1" l="1"/>
  <c r="BC38" i="1"/>
  <c r="BI37" i="1"/>
  <c r="BW37" i="1"/>
  <c r="BF38" i="1"/>
  <c r="BT38" i="1"/>
  <c r="BR38" i="1"/>
  <c r="BD38" i="1"/>
  <c r="AY38" i="1"/>
  <c r="BM38" i="1"/>
  <c r="BU38" i="1"/>
  <c r="BG38" i="1"/>
  <c r="BY39" i="1"/>
  <c r="CB39" i="1" s="1"/>
  <c r="R39" i="1" s="1"/>
  <c r="S39" i="1" s="1"/>
  <c r="T39" i="1" s="1"/>
  <c r="U39" i="1" s="1"/>
  <c r="BE38" i="1"/>
  <c r="BS38" i="1"/>
  <c r="BA38" i="1"/>
  <c r="BO38" i="1"/>
  <c r="AX38" i="1"/>
  <c r="CA38" i="1" a="1"/>
  <c r="CA38" i="1" s="1"/>
  <c r="BL38" i="1"/>
  <c r="BK39" i="1"/>
  <c r="BZ38" i="1" a="1"/>
  <c r="BZ38" i="1" s="1"/>
  <c r="BH38" i="1"/>
  <c r="BV38" i="1"/>
  <c r="BP38" i="1"/>
  <c r="BB38" i="1"/>
  <c r="BJ38" i="1"/>
  <c r="BX38" i="1"/>
  <c r="BN38" i="1"/>
  <c r="AZ38" i="1"/>
  <c r="BA37" i="1" l="1"/>
  <c r="BO37" i="1"/>
  <c r="BE37" i="1"/>
  <c r="BS37" i="1"/>
  <c r="BV37" i="1"/>
  <c r="BH37" i="1"/>
  <c r="BM37" i="1"/>
  <c r="AY37" i="1"/>
  <c r="BX37" i="1"/>
  <c r="BJ37" i="1"/>
  <c r="BF37" i="1"/>
  <c r="BT37" i="1"/>
  <c r="AZ37" i="1"/>
  <c r="BN37" i="1"/>
  <c r="BB37" i="1"/>
  <c r="BP37" i="1"/>
  <c r="BG37" i="1"/>
  <c r="BU37" i="1"/>
  <c r="BW36" i="1"/>
  <c r="BI36" i="1"/>
  <c r="BD37" i="1"/>
  <c r="BR37" i="1"/>
  <c r="BY38" i="1"/>
  <c r="CB38" i="1" s="1"/>
  <c r="R38" i="1" s="1"/>
  <c r="S38" i="1" s="1"/>
  <c r="T38" i="1" s="1"/>
  <c r="U38" i="1" s="1"/>
  <c r="BZ37" i="1" a="1"/>
  <c r="BZ37" i="1" s="1"/>
  <c r="AX37" i="1"/>
  <c r="CA37" i="1" a="1"/>
  <c r="CA37" i="1" s="1"/>
  <c r="BL37" i="1"/>
  <c r="BK38" i="1"/>
  <c r="BC37" i="1"/>
  <c r="BQ37" i="1"/>
  <c r="BP36" i="1" l="1"/>
  <c r="BB36" i="1"/>
  <c r="BQ36" i="1"/>
  <c r="BC36" i="1"/>
  <c r="BY37" i="1"/>
  <c r="CB37" i="1" s="1"/>
  <c r="R37" i="1" s="1"/>
  <c r="S37" i="1" s="1"/>
  <c r="T37" i="1" s="1"/>
  <c r="U37" i="1" s="1"/>
  <c r="BH36" i="1"/>
  <c r="BV36" i="1"/>
  <c r="BK37" i="1"/>
  <c r="BZ36" i="1" a="1"/>
  <c r="BZ36" i="1" s="1"/>
  <c r="CA36" i="1" a="1"/>
  <c r="CA36" i="1" s="1"/>
  <c r="BL36" i="1"/>
  <c r="AX36" i="1"/>
  <c r="BT36" i="1"/>
  <c r="BF36" i="1"/>
  <c r="AY36" i="1"/>
  <c r="BM36" i="1"/>
  <c r="BI35" i="1"/>
  <c r="BW35" i="1"/>
  <c r="BS36" i="1"/>
  <c r="BE36" i="1"/>
  <c r="BR36" i="1"/>
  <c r="BD36" i="1"/>
  <c r="BN36" i="1"/>
  <c r="AZ36" i="1"/>
  <c r="BJ36" i="1"/>
  <c r="BX36" i="1"/>
  <c r="BU36" i="1"/>
  <c r="BG36" i="1"/>
  <c r="BA36" i="1"/>
  <c r="BO36" i="1"/>
  <c r="AY35" i="1" l="1"/>
  <c r="BM35" i="1"/>
  <c r="BT35" i="1"/>
  <c r="BF35" i="1"/>
  <c r="CA35" i="1" a="1"/>
  <c r="CA35" i="1" s="1"/>
  <c r="BZ35" i="1" a="1"/>
  <c r="BZ35" i="1" s="1"/>
  <c r="BK36" i="1"/>
  <c r="BL35" i="1"/>
  <c r="AX35" i="1"/>
  <c r="BV35" i="1"/>
  <c r="BH35" i="1"/>
  <c r="BY36" i="1"/>
  <c r="CB36" i="1" s="1"/>
  <c r="R36" i="1" s="1"/>
  <c r="S36" i="1" s="1"/>
  <c r="T36" i="1" s="1"/>
  <c r="U36" i="1" s="1"/>
  <c r="BG35" i="1"/>
  <c r="BU35" i="1"/>
  <c r="BC35" i="1"/>
  <c r="BQ35" i="1"/>
  <c r="BS35" i="1"/>
  <c r="BE35" i="1"/>
  <c r="BA35" i="1"/>
  <c r="BO35" i="1"/>
  <c r="BX35" i="1"/>
  <c r="BJ35" i="1"/>
  <c r="BB35" i="1"/>
  <c r="BP35" i="1"/>
  <c r="BN35" i="1"/>
  <c r="AZ35" i="1"/>
  <c r="BR35" i="1"/>
  <c r="BD35" i="1"/>
  <c r="BW34" i="1"/>
  <c r="BI34" i="1"/>
  <c r="BU34" i="1" l="1"/>
  <c r="BG34" i="1"/>
  <c r="BC34" i="1"/>
  <c r="BQ34" i="1"/>
  <c r="BR34" i="1"/>
  <c r="BD34" i="1"/>
  <c r="CA34" i="1" a="1"/>
  <c r="CA34" i="1" s="1"/>
  <c r="BK35" i="1"/>
  <c r="AX34" i="1"/>
  <c r="BL34" i="1"/>
  <c r="BZ34" i="1" a="1"/>
  <c r="BZ34" i="1" s="1"/>
  <c r="BN34" i="1"/>
  <c r="AZ34" i="1"/>
  <c r="BX34" i="1"/>
  <c r="BJ34" i="1"/>
  <c r="BW33" i="1"/>
  <c r="BI33" i="1"/>
  <c r="BV34" i="1"/>
  <c r="BH34" i="1"/>
  <c r="BF34" i="1"/>
  <c r="BT34" i="1"/>
  <c r="BP34" i="1"/>
  <c r="BB34" i="1"/>
  <c r="BY35" i="1"/>
  <c r="CB35" i="1" s="1"/>
  <c r="R35" i="1" s="1"/>
  <c r="S35" i="1" s="1"/>
  <c r="T35" i="1" s="1"/>
  <c r="U35" i="1" s="1"/>
  <c r="BE34" i="1"/>
  <c r="BS34" i="1"/>
  <c r="BO34" i="1"/>
  <c r="BA34" i="1"/>
  <c r="BM34" i="1"/>
  <c r="AY34" i="1"/>
  <c r="BP33" i="1" l="1"/>
  <c r="BB33" i="1"/>
  <c r="BN33" i="1"/>
  <c r="AZ33" i="1"/>
  <c r="BY34" i="1"/>
  <c r="CB34" i="1" s="1"/>
  <c r="R34" i="1" s="1"/>
  <c r="S34" i="1" s="1"/>
  <c r="T34" i="1" s="1"/>
  <c r="U34" i="1" s="1"/>
  <c r="BD33" i="1"/>
  <c r="BR33" i="1"/>
  <c r="BO33" i="1"/>
  <c r="BA33" i="1"/>
  <c r="AX33" i="1"/>
  <c r="CA33" i="1" a="1"/>
  <c r="CA33" i="1" s="1"/>
  <c r="BL33" i="1"/>
  <c r="BZ33" i="1" a="1"/>
  <c r="BZ33" i="1" s="1"/>
  <c r="BK34" i="1"/>
  <c r="BM33" i="1"/>
  <c r="AY33" i="1"/>
  <c r="BJ33" i="1"/>
  <c r="BX33" i="1"/>
  <c r="BH33" i="1"/>
  <c r="BV33" i="1"/>
  <c r="BC33" i="1"/>
  <c r="BQ33" i="1"/>
  <c r="BS33" i="1"/>
  <c r="BE33" i="1"/>
  <c r="BU33" i="1"/>
  <c r="BG33" i="1"/>
  <c r="BT33" i="1"/>
  <c r="BF33" i="1"/>
  <c r="BW32" i="1"/>
  <c r="BI32" i="1"/>
  <c r="BY33" i="1" l="1"/>
  <c r="CB33" i="1" s="1"/>
  <c r="R33" i="1" s="1"/>
  <c r="S33" i="1" s="1"/>
  <c r="T33" i="1" s="1"/>
  <c r="U33" i="1" s="1"/>
  <c r="BS32" i="1"/>
  <c r="BE32" i="1"/>
  <c r="BT32" i="1"/>
  <c r="BF32" i="1"/>
  <c r="BG32" i="1"/>
  <c r="BU32" i="1"/>
  <c r="BR32" i="1"/>
  <c r="BD32" i="1"/>
  <c r="AY32" i="1"/>
  <c r="BM32" i="1"/>
  <c r="BK33" i="1"/>
  <c r="CA32" i="1" a="1"/>
  <c r="CA32" i="1" s="1"/>
  <c r="BL32" i="1"/>
  <c r="AX32" i="1"/>
  <c r="BZ32" i="1" a="1"/>
  <c r="BZ32" i="1" s="1"/>
  <c r="BI31" i="1"/>
  <c r="BW31" i="1"/>
  <c r="AZ32" i="1"/>
  <c r="BN32" i="1"/>
  <c r="BC32" i="1"/>
  <c r="BQ32" i="1"/>
  <c r="BB32" i="1"/>
  <c r="BP32" i="1"/>
  <c r="BA32" i="1"/>
  <c r="BO32" i="1"/>
  <c r="BV32" i="1"/>
  <c r="BH32" i="1"/>
  <c r="BX32" i="1"/>
  <c r="BJ32" i="1"/>
  <c r="BK32" i="1" l="1"/>
  <c r="BL31" i="1"/>
  <c r="AX31" i="1"/>
  <c r="CA31" i="1" a="1"/>
  <c r="CA31" i="1" s="1"/>
  <c r="BZ31" i="1" a="1"/>
  <c r="BZ31" i="1" s="1"/>
  <c r="BP31" i="1"/>
  <c r="BB31" i="1"/>
  <c r="BY32" i="1"/>
  <c r="CB32" i="1" s="1"/>
  <c r="R32" i="1" s="1"/>
  <c r="S32" i="1" s="1"/>
  <c r="T32" i="1" s="1"/>
  <c r="U32" i="1" s="1"/>
  <c r="AY31" i="1"/>
  <c r="BM31" i="1"/>
  <c r="BG31" i="1"/>
  <c r="BU31" i="1"/>
  <c r="BF31" i="1"/>
  <c r="BT31" i="1"/>
  <c r="BX31" i="1"/>
  <c r="BJ31" i="1"/>
  <c r="BV31" i="1"/>
  <c r="BH31" i="1"/>
  <c r="BD31" i="1"/>
  <c r="BR31" i="1"/>
  <c r="AZ31" i="1"/>
  <c r="BN31" i="1"/>
  <c r="BS31" i="1"/>
  <c r="BE31" i="1"/>
  <c r="BQ31" i="1"/>
  <c r="BC31" i="1"/>
  <c r="BA31" i="1"/>
  <c r="BO31" i="1"/>
  <c r="BI30" i="1"/>
  <c r="BW30" i="1"/>
  <c r="BS30" i="1" l="1"/>
  <c r="BE30" i="1"/>
  <c r="BW29" i="1"/>
  <c r="BI29" i="1"/>
  <c r="BJ30" i="1"/>
  <c r="BX30" i="1"/>
  <c r="BO30" i="1"/>
  <c r="BA30" i="1"/>
  <c r="BG30" i="1"/>
  <c r="BU30" i="1"/>
  <c r="BT30" i="1"/>
  <c r="BF30" i="1"/>
  <c r="BL30" i="1"/>
  <c r="BK31" i="1"/>
  <c r="CA30" i="1" a="1"/>
  <c r="CA30" i="1" s="1"/>
  <c r="AX30" i="1"/>
  <c r="BZ30" i="1" a="1"/>
  <c r="BZ30" i="1" s="1"/>
  <c r="BQ30" i="1"/>
  <c r="BC30" i="1"/>
  <c r="BB30" i="1"/>
  <c r="BP30" i="1"/>
  <c r="BH30" i="1"/>
  <c r="BV30" i="1"/>
  <c r="BY31" i="1"/>
  <c r="CB31" i="1" s="1"/>
  <c r="R31" i="1" s="1"/>
  <c r="S31" i="1" s="1"/>
  <c r="T31" i="1" s="1"/>
  <c r="U31" i="1" s="1"/>
  <c r="AY30" i="1"/>
  <c r="BM30" i="1"/>
  <c r="BN30" i="1"/>
  <c r="AZ30" i="1"/>
  <c r="BR30" i="1"/>
  <c r="BD30" i="1"/>
  <c r="BY30" i="1" l="1"/>
  <c r="CB30" i="1" s="1"/>
  <c r="R30" i="1" s="1"/>
  <c r="S30" i="1" s="1"/>
  <c r="T30" i="1" s="1"/>
  <c r="U30" i="1" s="1"/>
  <c r="BT29" i="1"/>
  <c r="BF29" i="1"/>
  <c r="AY29" i="1"/>
  <c r="BM29" i="1"/>
  <c r="BO29" i="1"/>
  <c r="BA29" i="1"/>
  <c r="BX29" i="1"/>
  <c r="BJ29" i="1"/>
  <c r="AZ29" i="1"/>
  <c r="BN29" i="1"/>
  <c r="BV29" i="1"/>
  <c r="BH29" i="1"/>
  <c r="BW28" i="1"/>
  <c r="BI28" i="1"/>
  <c r="BZ29" i="1" a="1"/>
  <c r="BZ29" i="1" s="1"/>
  <c r="BL29" i="1"/>
  <c r="AX29" i="1"/>
  <c r="BK30" i="1"/>
  <c r="CA29" i="1" a="1"/>
  <c r="CA29" i="1" s="1"/>
  <c r="BQ29" i="1"/>
  <c r="BC29" i="1"/>
  <c r="BD29" i="1"/>
  <c r="BR29" i="1"/>
  <c r="BB29" i="1"/>
  <c r="BP29" i="1"/>
  <c r="BS29" i="1"/>
  <c r="BE29" i="1"/>
  <c r="BU29" i="1"/>
  <c r="BG29" i="1"/>
  <c r="BH28" i="1" l="1"/>
  <c r="BV28" i="1"/>
  <c r="BP28" i="1"/>
  <c r="BB28" i="1"/>
  <c r="BY29" i="1"/>
  <c r="CB29" i="1" s="1"/>
  <c r="R29" i="1" s="1"/>
  <c r="S29" i="1" s="1"/>
  <c r="T29" i="1" s="1"/>
  <c r="U29" i="1" s="1"/>
  <c r="BA28" i="1"/>
  <c r="BO28" i="1"/>
  <c r="BS28" i="1"/>
  <c r="BE28" i="1"/>
  <c r="BN28" i="1"/>
  <c r="AZ28" i="1"/>
  <c r="BI27" i="1"/>
  <c r="BW27" i="1"/>
  <c r="BJ28" i="1"/>
  <c r="BX28" i="1"/>
  <c r="BR28" i="1"/>
  <c r="BD28" i="1"/>
  <c r="BU28" i="1"/>
  <c r="BG28" i="1"/>
  <c r="BQ28" i="1"/>
  <c r="BC28" i="1"/>
  <c r="BM28" i="1"/>
  <c r="AY28" i="1"/>
  <c r="BT28" i="1"/>
  <c r="BF28" i="1"/>
  <c r="CA28" i="1" a="1"/>
  <c r="CA28" i="1" s="1"/>
  <c r="AX28" i="1"/>
  <c r="BL28" i="1"/>
  <c r="BZ28" i="1" a="1"/>
  <c r="BZ28" i="1" s="1"/>
  <c r="BK29" i="1"/>
  <c r="BN27" i="1" l="1"/>
  <c r="AZ27" i="1"/>
  <c r="BX27" i="1"/>
  <c r="BJ27" i="1"/>
  <c r="BL27" i="1"/>
  <c r="AX27" i="1"/>
  <c r="BZ27" i="1" a="1"/>
  <c r="BZ27" i="1" s="1"/>
  <c r="BK28" i="1"/>
  <c r="CA27" i="1" a="1"/>
  <c r="CA27" i="1" s="1"/>
  <c r="BO27" i="1"/>
  <c r="BA27" i="1"/>
  <c r="BS27" i="1"/>
  <c r="BE27" i="1"/>
  <c r="BP27" i="1"/>
  <c r="BB27" i="1"/>
  <c r="BW26" i="1"/>
  <c r="BI26" i="1"/>
  <c r="BT27" i="1"/>
  <c r="BF27" i="1"/>
  <c r="BU27" i="1"/>
  <c r="BG27" i="1"/>
  <c r="BC27" i="1"/>
  <c r="BQ27" i="1"/>
  <c r="BY28" i="1"/>
  <c r="CB28" i="1" s="1"/>
  <c r="R28" i="1" s="1"/>
  <c r="S28" i="1" s="1"/>
  <c r="T28" i="1" s="1"/>
  <c r="U28" i="1" s="1"/>
  <c r="BM27" i="1"/>
  <c r="AY27" i="1"/>
  <c r="BD27" i="1"/>
  <c r="BR27" i="1"/>
  <c r="BH27" i="1"/>
  <c r="BV27" i="1"/>
  <c r="BR26" i="1" l="1"/>
  <c r="BD26" i="1"/>
  <c r="BE26" i="1"/>
  <c r="BS26" i="1"/>
  <c r="BH26" i="1"/>
  <c r="BV26" i="1"/>
  <c r="BO26" i="1"/>
  <c r="BA26" i="1"/>
  <c r="BK27" i="1"/>
  <c r="BZ26" i="1" a="1"/>
  <c r="BZ26" i="1" s="1"/>
  <c r="AX26" i="1"/>
  <c r="BL26" i="1"/>
  <c r="CA26" i="1" a="1"/>
  <c r="CA26" i="1" s="1"/>
  <c r="BY27" i="1"/>
  <c r="CB27" i="1" s="1"/>
  <c r="R27" i="1" s="1"/>
  <c r="S27" i="1" s="1"/>
  <c r="T27" i="1" s="1"/>
  <c r="U27" i="1" s="1"/>
  <c r="BQ26" i="1"/>
  <c r="BC26" i="1"/>
  <c r="BX26" i="1"/>
  <c r="BJ26" i="1"/>
  <c r="BP26" i="1"/>
  <c r="BB26" i="1"/>
  <c r="BT26" i="1"/>
  <c r="BF26" i="1"/>
  <c r="BG26" i="1"/>
  <c r="BU26" i="1"/>
  <c r="AZ26" i="1"/>
  <c r="BN26" i="1"/>
  <c r="BM26" i="1"/>
  <c r="AY26" i="1"/>
  <c r="BI25" i="1"/>
  <c r="BW25" i="1"/>
  <c r="BY26" i="1" l="1"/>
  <c r="CB26" i="1" s="1"/>
  <c r="R26" i="1" s="1"/>
  <c r="S26" i="1" s="1"/>
  <c r="T26" i="1" s="1"/>
  <c r="U26" i="1" s="1"/>
  <c r="BT25" i="1"/>
  <c r="BF25" i="1"/>
  <c r="BH25" i="1"/>
  <c r="BV25" i="1"/>
  <c r="BQ25" i="1"/>
  <c r="BC25" i="1"/>
  <c r="BN25" i="1"/>
  <c r="AZ25" i="1"/>
  <c r="BW24" i="1"/>
  <c r="BI24" i="1"/>
  <c r="AX25" i="1"/>
  <c r="BL25" i="1"/>
  <c r="BK26" i="1"/>
  <c r="BZ25" i="1" a="1"/>
  <c r="BZ25" i="1" s="1"/>
  <c r="CA25" i="1" a="1"/>
  <c r="CA25" i="1" s="1"/>
  <c r="BG25" i="1"/>
  <c r="BU25" i="1"/>
  <c r="BB25" i="1"/>
  <c r="BP25" i="1"/>
  <c r="BS25" i="1"/>
  <c r="BE25" i="1"/>
  <c r="BO25" i="1"/>
  <c r="BA25" i="1"/>
  <c r="BX25" i="1"/>
  <c r="BJ25" i="1"/>
  <c r="BD25" i="1"/>
  <c r="BR25" i="1"/>
  <c r="AY25" i="1"/>
  <c r="BM25" i="1"/>
  <c r="BY25" i="1" l="1"/>
  <c r="CB25" i="1" s="1"/>
  <c r="R25" i="1" s="1"/>
  <c r="S25" i="1" s="1"/>
  <c r="T25" i="1" s="1"/>
  <c r="U25" i="1" s="1"/>
  <c r="AZ24" i="1"/>
  <c r="BN24" i="1"/>
  <c r="BW23" i="1"/>
  <c r="BI23" i="1"/>
  <c r="BD24" i="1"/>
  <c r="BR24" i="1"/>
  <c r="BH24" i="1"/>
  <c r="BV24" i="1"/>
  <c r="BZ24" i="1" a="1"/>
  <c r="BZ24" i="1" s="1"/>
  <c r="BL24" i="1"/>
  <c r="AX24" i="1"/>
  <c r="CA24" i="1" a="1"/>
  <c r="CA24" i="1" s="1"/>
  <c r="BK25" i="1"/>
  <c r="BO24" i="1"/>
  <c r="BA24" i="1"/>
  <c r="BS24" i="1"/>
  <c r="BE24" i="1"/>
  <c r="BB24" i="1"/>
  <c r="BP24" i="1"/>
  <c r="BF24" i="1"/>
  <c r="BT24" i="1"/>
  <c r="BM24" i="1"/>
  <c r="AY24" i="1"/>
  <c r="BX24" i="1"/>
  <c r="BJ24" i="1"/>
  <c r="BC24" i="1"/>
  <c r="BQ24" i="1"/>
  <c r="BG24" i="1"/>
  <c r="BU24" i="1"/>
  <c r="BQ23" i="1" l="1"/>
  <c r="BC23" i="1"/>
  <c r="BX23" i="1"/>
  <c r="BJ23" i="1"/>
  <c r="BA23" i="1"/>
  <c r="BO23" i="1"/>
  <c r="BY24" i="1"/>
  <c r="CB24" i="1" s="1"/>
  <c r="R24" i="1" s="1"/>
  <c r="S24" i="1" s="1"/>
  <c r="T24" i="1" s="1"/>
  <c r="U24" i="1" s="1"/>
  <c r="BR23" i="1"/>
  <c r="BD23" i="1"/>
  <c r="BW22" i="1"/>
  <c r="BI22" i="1"/>
  <c r="BG23" i="1"/>
  <c r="BU23" i="1"/>
  <c r="BZ23" i="1" a="1"/>
  <c r="BZ23" i="1" s="1"/>
  <c r="BK24" i="1"/>
  <c r="CA23" i="1" a="1"/>
  <c r="CA23" i="1" s="1"/>
  <c r="AX23" i="1"/>
  <c r="BL23" i="1"/>
  <c r="AY23" i="1"/>
  <c r="BM23" i="1"/>
  <c r="BP23" i="1"/>
  <c r="BB23" i="1"/>
  <c r="BV23" i="1"/>
  <c r="BH23" i="1"/>
  <c r="BF23" i="1"/>
  <c r="BT23" i="1"/>
  <c r="BS23" i="1"/>
  <c r="BE23" i="1"/>
  <c r="AZ23" i="1"/>
  <c r="BN23" i="1"/>
  <c r="BS22" i="1" l="1"/>
  <c r="BE22" i="1"/>
  <c r="BT22" i="1"/>
  <c r="BF22" i="1"/>
  <c r="BG22" i="1"/>
  <c r="BU22" i="1"/>
  <c r="BD22" i="1"/>
  <c r="BR22" i="1"/>
  <c r="BA22" i="1"/>
  <c r="BO22" i="1"/>
  <c r="AZ22" i="1"/>
  <c r="BN22" i="1"/>
  <c r="BH22" i="1"/>
  <c r="BV22" i="1"/>
  <c r="BP22" i="1"/>
  <c r="BB22" i="1"/>
  <c r="BJ22" i="1"/>
  <c r="BX22" i="1"/>
  <c r="BY23" i="1"/>
  <c r="CB23" i="1" s="1"/>
  <c r="R23" i="1" s="1"/>
  <c r="S23" i="1" s="1"/>
  <c r="T23" i="1" s="1"/>
  <c r="U23" i="1" s="1"/>
  <c r="BC22" i="1"/>
  <c r="BQ22" i="1"/>
  <c r="BW21" i="1"/>
  <c r="BI21" i="1"/>
  <c r="BM22" i="1"/>
  <c r="AY22" i="1"/>
  <c r="BL22" i="1"/>
  <c r="CA22" i="1" a="1"/>
  <c r="CA22" i="1" s="1"/>
  <c r="BZ22" i="1" a="1"/>
  <c r="BZ22" i="1" s="1"/>
  <c r="AX22" i="1"/>
  <c r="BK23" i="1"/>
  <c r="BK22" i="1" l="1"/>
  <c r="BL21" i="1"/>
  <c r="BZ21" i="1" a="1"/>
  <c r="BZ21" i="1" s="1"/>
  <c r="CA21" i="1" a="1"/>
  <c r="CA21" i="1" s="1"/>
  <c r="AX21" i="1"/>
  <c r="BY22" i="1"/>
  <c r="CB22" i="1" s="1"/>
  <c r="R22" i="1" s="1"/>
  <c r="S22" i="1" s="1"/>
  <c r="T22" i="1" s="1"/>
  <c r="U22" i="1" s="1"/>
  <c r="BV21" i="1"/>
  <c r="BH21" i="1"/>
  <c r="AZ21" i="1"/>
  <c r="BN21" i="1"/>
  <c r="BU21" i="1"/>
  <c r="BG21" i="1"/>
  <c r="BF21" i="1"/>
  <c r="BT21" i="1"/>
  <c r="BI20" i="1"/>
  <c r="BW20" i="1"/>
  <c r="BC21" i="1"/>
  <c r="BQ21" i="1"/>
  <c r="BB21" i="1"/>
  <c r="BP21" i="1"/>
  <c r="BO21" i="1"/>
  <c r="BA21" i="1"/>
  <c r="BE21" i="1"/>
  <c r="BS21" i="1"/>
  <c r="BM21" i="1"/>
  <c r="AY21" i="1"/>
  <c r="BR21" i="1"/>
  <c r="BD21" i="1"/>
  <c r="BJ21" i="1"/>
  <c r="BX21" i="1"/>
  <c r="BT20" i="1" l="1"/>
  <c r="BF20" i="1"/>
  <c r="BI19" i="1"/>
  <c r="BW19" i="1"/>
  <c r="BG20" i="1"/>
  <c r="BU20" i="1"/>
  <c r="BS20" i="1"/>
  <c r="BE20" i="1"/>
  <c r="BZ20" i="1" a="1"/>
  <c r="BZ20" i="1" s="1"/>
  <c r="BL20" i="1"/>
  <c r="AX20" i="1"/>
  <c r="BL19" i="1" s="1"/>
  <c r="CA20" i="1" a="1"/>
  <c r="CA20" i="1" s="1"/>
  <c r="BK21" i="1"/>
  <c r="BD20" i="1"/>
  <c r="BR20" i="1"/>
  <c r="BV20" i="1"/>
  <c r="BH20" i="1"/>
  <c r="BX20" i="1"/>
  <c r="BJ20" i="1"/>
  <c r="BN20" i="1"/>
  <c r="AZ20" i="1"/>
  <c r="BY21" i="1"/>
  <c r="CB21" i="1" s="1"/>
  <c r="R21" i="1" s="1"/>
  <c r="S21" i="1" s="1"/>
  <c r="T21" i="1" s="1"/>
  <c r="U21" i="1" s="1"/>
  <c r="AY20" i="1"/>
  <c r="BM20" i="1"/>
  <c r="BO20" i="1"/>
  <c r="BA20" i="1"/>
  <c r="BP20" i="1"/>
  <c r="BB20" i="1"/>
  <c r="BC20" i="1"/>
  <c r="BQ20" i="1"/>
  <c r="BR19" i="1" l="1"/>
  <c r="BD19" i="1"/>
  <c r="BO19" i="1"/>
  <c r="BA19" i="1"/>
  <c r="BM19" i="1"/>
  <c r="AY19" i="1"/>
  <c r="BB19" i="1"/>
  <c r="BP19" i="1"/>
  <c r="BG19" i="1"/>
  <c r="BU19" i="1"/>
  <c r="BC19" i="1"/>
  <c r="BQ19" i="1"/>
  <c r="BY20" i="1"/>
  <c r="CB20" i="1" s="1"/>
  <c r="R20" i="1" s="1"/>
  <c r="S20" i="1" s="1"/>
  <c r="T20" i="1" s="1"/>
  <c r="U20" i="1" s="1"/>
  <c r="AZ19" i="1"/>
  <c r="BN19" i="1"/>
  <c r="BW18" i="1"/>
  <c r="BI18" i="1"/>
  <c r="BS19" i="1"/>
  <c r="BE19" i="1"/>
  <c r="BT19" i="1"/>
  <c r="BF19" i="1"/>
  <c r="BZ19" i="1" a="1"/>
  <c r="BZ19" i="1" s="1"/>
  <c r="AX19" i="1"/>
  <c r="CA19" i="1" a="1"/>
  <c r="CA19" i="1" s="1"/>
  <c r="BK20" i="1"/>
  <c r="BJ19" i="1"/>
  <c r="BX19" i="1"/>
  <c r="BV19" i="1"/>
  <c r="BH19" i="1"/>
  <c r="BX18" i="1" l="1"/>
  <c r="BJ18" i="1"/>
  <c r="BX17" i="1" s="1"/>
  <c r="BQ18" i="1"/>
  <c r="BC18" i="1"/>
  <c r="BU18" i="1"/>
  <c r="BG18" i="1"/>
  <c r="BV18" i="1"/>
  <c r="BH18" i="1"/>
  <c r="BM18" i="1"/>
  <c r="AY18" i="1"/>
  <c r="BY19" i="1"/>
  <c r="CB19" i="1" s="1"/>
  <c r="R19" i="1" s="1"/>
  <c r="S19" i="1" s="1"/>
  <c r="T19" i="1" s="1"/>
  <c r="U19" i="1" s="1"/>
  <c r="BP18" i="1"/>
  <c r="BB18" i="1"/>
  <c r="BA18" i="1"/>
  <c r="BO18" i="1"/>
  <c r="BN18" i="1"/>
  <c r="AZ18" i="1"/>
  <c r="BS18" i="1"/>
  <c r="BE18" i="1"/>
  <c r="BT18" i="1"/>
  <c r="BF18" i="1"/>
  <c r="BD18" i="1"/>
  <c r="BR18" i="1"/>
  <c r="BK19" i="1"/>
  <c r="CA18" i="1" a="1"/>
  <c r="CA18" i="1" s="1"/>
  <c r="BZ18" i="1" a="1"/>
  <c r="BZ18" i="1" s="1"/>
  <c r="AX18" i="1"/>
  <c r="BL18" i="1"/>
  <c r="BI17" i="1"/>
  <c r="BW17" i="1"/>
  <c r="BJ17" i="1" l="1"/>
  <c r="BP17" i="1"/>
  <c r="BB17" i="1"/>
  <c r="BK18" i="1"/>
  <c r="BZ17" i="1" a="1"/>
  <c r="BZ17" i="1" s="1"/>
  <c r="AX17" i="1"/>
  <c r="BL17" i="1"/>
  <c r="CA17" i="1" a="1"/>
  <c r="CA17" i="1" s="1"/>
  <c r="BR17" i="1"/>
  <c r="BD17" i="1"/>
  <c r="BA17" i="1"/>
  <c r="BO17" i="1"/>
  <c r="AY17" i="1"/>
  <c r="BM17" i="1"/>
  <c r="BU17" i="1"/>
  <c r="BG17" i="1"/>
  <c r="BY18" i="1"/>
  <c r="CB18" i="1" s="1"/>
  <c r="BF17" i="1"/>
  <c r="BT17" i="1"/>
  <c r="BQ17" i="1"/>
  <c r="BC17" i="1"/>
  <c r="BH17" i="1"/>
  <c r="BV17" i="1"/>
  <c r="BS17" i="1"/>
  <c r="BE17" i="1"/>
  <c r="BN17" i="1"/>
  <c r="AZ17" i="1"/>
  <c r="BY17" i="1" l="1"/>
  <c r="CB17" i="1" s="1"/>
  <c r="R17" i="1" s="1"/>
  <c r="S17" i="1" s="1"/>
  <c r="T17" i="1" s="1"/>
  <c r="R18" i="1"/>
  <c r="S18" i="1" s="1"/>
  <c r="T18" i="1" s="1"/>
  <c r="U18" i="1" s="1"/>
  <c r="BK17" i="1"/>
  <c r="F9" i="8" l="1"/>
  <c r="U17" i="1"/>
  <c r="H9" i="8" l="1"/>
  <c r="H8" i="8" s="1"/>
  <c r="H7" i="8" s="1"/>
  <c r="F8" i="8"/>
  <c r="F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온실가스목표관리TF</author>
  </authors>
  <commentList>
    <comment ref="M1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b/>
            <sz val="9"/>
            <color indexed="81"/>
            <rFont val="돋움"/>
            <family val="3"/>
            <charset val="129"/>
          </rPr>
          <t>▶고정연소의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적용됨</t>
        </r>
        <r>
          <rPr>
            <b/>
            <sz val="9"/>
            <color indexed="81"/>
            <rFont val="Tahoma"/>
            <family val="2"/>
          </rPr>
          <t xml:space="preserve">.
 </t>
        </r>
        <r>
          <rPr>
            <sz val="9"/>
            <color indexed="81"/>
            <rFont val="Tahoma"/>
            <family val="2"/>
          </rPr>
          <t>- Tier 1, 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산화계수
</t>
        </r>
        <r>
          <rPr>
            <sz val="9"/>
            <color indexed="81"/>
            <rFont val="Tahoma"/>
            <family val="2"/>
          </rPr>
          <t xml:space="preserve"> - Tier 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직접입력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▶이동연소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도로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산화계수적용이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안되므로</t>
        </r>
        <r>
          <rPr>
            <b/>
            <sz val="9"/>
            <color indexed="81"/>
            <rFont val="Tahoma"/>
            <family val="2"/>
          </rPr>
          <t>,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계산됨</t>
        </r>
      </text>
    </comment>
    <comment ref="N1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b/>
            <sz val="9"/>
            <color indexed="81"/>
            <rFont val="돋움"/>
            <family val="3"/>
            <charset val="129"/>
          </rPr>
          <t>▶고정연소의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적용됨</t>
        </r>
        <r>
          <rPr>
            <b/>
            <sz val="9"/>
            <color indexed="81"/>
            <rFont val="Tahoma"/>
            <family val="2"/>
          </rPr>
          <t xml:space="preserve">.
 </t>
        </r>
        <r>
          <rPr>
            <sz val="9"/>
            <color indexed="81"/>
            <rFont val="Tahoma"/>
            <family val="2"/>
          </rPr>
          <t>- Tier 1, 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산화계수
</t>
        </r>
        <r>
          <rPr>
            <sz val="9"/>
            <color indexed="81"/>
            <rFont val="Tahoma"/>
            <family val="2"/>
          </rPr>
          <t xml:space="preserve"> - Tier 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직접입력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▶이동연소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도로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산화계수적용이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안되므로</t>
        </r>
        <r>
          <rPr>
            <b/>
            <sz val="9"/>
            <color indexed="81"/>
            <rFont val="Tahoma"/>
            <family val="2"/>
          </rPr>
          <t>,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계산됨</t>
        </r>
      </text>
    </comment>
    <comment ref="O1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pc:
</t>
        </r>
        <r>
          <rPr>
            <b/>
            <sz val="9"/>
            <color indexed="81"/>
            <rFont val="돋움"/>
            <family val="3"/>
            <charset val="129"/>
          </rPr>
          <t>▶고정연소의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적용됨</t>
        </r>
        <r>
          <rPr>
            <b/>
            <sz val="9"/>
            <color indexed="81"/>
            <rFont val="Tahoma"/>
            <family val="2"/>
          </rPr>
          <t xml:space="preserve">.
 </t>
        </r>
        <r>
          <rPr>
            <sz val="9"/>
            <color indexed="81"/>
            <rFont val="Tahoma"/>
            <family val="2"/>
          </rPr>
          <t>- Tier 1, 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산화계수
</t>
        </r>
        <r>
          <rPr>
            <sz val="9"/>
            <color indexed="81"/>
            <rFont val="Tahoma"/>
            <family val="2"/>
          </rPr>
          <t xml:space="preserve"> - Tier 3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직접입력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▶이동연소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도로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산화계수적용이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안되므로</t>
        </r>
        <r>
          <rPr>
            <b/>
            <sz val="9"/>
            <color indexed="81"/>
            <rFont val="Tahoma"/>
            <family val="2"/>
          </rPr>
          <t>,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계산됨</t>
        </r>
      </text>
    </comment>
    <comment ref="T14" authorId="1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온실가스목표팀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지침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별표</t>
        </r>
        <r>
          <rPr>
            <sz val="9"/>
            <color indexed="81"/>
            <rFont val="Tahoma"/>
            <family val="2"/>
          </rPr>
          <t xml:space="preserve">19] </t>
        </r>
        <r>
          <rPr>
            <sz val="9"/>
            <color indexed="81"/>
            <rFont val="돋움"/>
            <family val="3"/>
            <charset val="129"/>
          </rPr>
          <t>비고</t>
        </r>
        <r>
          <rPr>
            <sz val="9"/>
            <color indexed="81"/>
            <rFont val="Tahoma"/>
            <family val="2"/>
          </rPr>
          <t xml:space="preserve"> 
  </t>
        </r>
        <r>
          <rPr>
            <u/>
            <sz val="9"/>
            <color indexed="81"/>
            <rFont val="돋움"/>
            <family val="3"/>
            <charset val="129"/>
          </rPr>
          <t>온실가스배출량산정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순발열량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u/>
            <sz val="9"/>
            <color indexed="81"/>
            <rFont val="돋움"/>
            <family val="3"/>
            <charset val="129"/>
          </rPr>
          <t>에너지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사용량</t>
        </r>
        <r>
          <rPr>
            <u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집계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총발열량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온실가스목표관리TF</author>
    <author>pc</author>
  </authors>
  <commentList>
    <comment ref="P15" authorId="0" shapeId="0" xr:uid="{00000000-0006-0000-0400-000001000000}">
      <text>
        <r>
          <rPr>
            <b/>
            <sz val="12"/>
            <color indexed="81"/>
            <rFont val="돋움"/>
            <family val="3"/>
            <charset val="129"/>
          </rPr>
          <t>온실가스목표팀</t>
        </r>
        <r>
          <rPr>
            <sz val="12"/>
            <color indexed="81"/>
            <rFont val="돋움"/>
            <family val="3"/>
            <charset val="129"/>
          </rPr>
          <t>:
폐기물 조성별 매립량 파악이 불가하여 단일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DOC, k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적용할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경우에</t>
        </r>
        <r>
          <rPr>
            <sz val="12"/>
            <color indexed="81"/>
            <rFont val="맑은 고딕"/>
            <family val="3"/>
            <charset val="129"/>
          </rPr>
          <t xml:space="preserve"> 입력  -&gt;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매립량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전체를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'혼합폐기물(bulk)'</t>
        </r>
        <r>
          <rPr>
            <sz val="12"/>
            <color indexed="81"/>
            <rFont val="돋움"/>
            <family val="3"/>
            <charset val="129"/>
          </rPr>
          <t>로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입력한다</t>
        </r>
        <r>
          <rPr>
            <b/>
            <i/>
            <sz val="11"/>
            <color indexed="8"/>
            <rFont val="맑은 고딕"/>
            <family val="3"/>
            <charset val="129"/>
          </rPr>
          <t>.</t>
        </r>
      </text>
    </comment>
    <comment ref="Q15" authorId="0" shapeId="0" xr:uid="{00000000-0006-0000-0400-000002000000}">
      <text>
        <r>
          <rPr>
            <b/>
            <sz val="12"/>
            <color indexed="81"/>
            <rFont val="돋움"/>
            <family val="3"/>
            <charset val="129"/>
          </rPr>
          <t>온실가스목표팀</t>
        </r>
        <r>
          <rPr>
            <sz val="12"/>
            <color indexed="81"/>
            <rFont val="돋움"/>
            <family val="3"/>
            <charset val="129"/>
          </rPr>
          <t>:
발생되는 메탄가스를 회수하여 이용하는 경우</t>
        </r>
        <r>
          <rPr>
            <sz val="12"/>
            <color indexed="81"/>
            <rFont val="맑은 고딕"/>
            <family val="3"/>
            <charset val="129"/>
          </rPr>
          <t xml:space="preserve"> 
1.</t>
        </r>
        <r>
          <rPr>
            <b/>
            <i/>
            <sz val="11"/>
            <color indexed="8"/>
            <rFont val="맑은 고딕"/>
            <family val="3"/>
            <charset val="129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메탄가스의</t>
        </r>
        <r>
          <rPr>
            <sz val="12"/>
            <color indexed="81"/>
            <rFont val="맑은 고딕"/>
            <family val="3"/>
            <charset val="129"/>
          </rPr>
          <t xml:space="preserve"> 회수량을 '톤(ton)'단위로 입력함
2. 명시적으로 확인 가능한 보고자료로 증명이 가능해야 함</t>
        </r>
      </text>
    </comment>
    <comment ref="T15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pc:
kg</t>
        </r>
        <r>
          <rPr>
            <b/>
            <sz val="9"/>
            <color indexed="81"/>
            <rFont val="돋움"/>
            <family val="3"/>
            <charset val="129"/>
          </rPr>
          <t>단위위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배출량은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총괄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에너지및온실가스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온실가스목표관리TF</author>
    <author>pc</author>
  </authors>
  <commentList>
    <comment ref="G13" authorId="0" shapeId="0" xr:uid="{00000000-0006-0000-0900-000001000000}">
      <text>
        <r>
          <rPr>
            <b/>
            <sz val="9"/>
            <color indexed="81"/>
            <rFont val="돋움"/>
            <family val="3"/>
            <charset val="129"/>
          </rPr>
          <t>온실가스목표팀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IPCC G/L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WasteModel Worksheet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0.19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0.20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P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도시가스가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가정용</t>
        </r>
        <r>
          <rPr>
            <sz val="9"/>
            <color indexed="81"/>
            <rFont val="Tahoma"/>
            <family val="2"/>
          </rPr>
          <t xml:space="preserve"> LPG </t>
        </r>
        <r>
          <rPr>
            <sz val="9"/>
            <color indexed="81"/>
            <rFont val="돋움"/>
            <family val="3"/>
            <charset val="129"/>
          </rPr>
          <t>등에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공공부문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해설서</t>
        </r>
        <r>
          <rPr>
            <sz val="9"/>
            <color indexed="81"/>
            <rFont val="Tahoma"/>
            <family val="2"/>
          </rPr>
          <t xml:space="preserve"> p33)</t>
        </r>
      </text>
    </comment>
    <comment ref="Y13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LPG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배출계수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14" authorId="1" shapeId="0" xr:uid="{00000000-0006-0000-0900-000004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차량용</t>
        </r>
        <r>
          <rPr>
            <sz val="9"/>
            <color indexed="81"/>
            <rFont val="Tahoma"/>
            <family val="2"/>
          </rPr>
          <t>LPG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</text>
    </comment>
    <comment ref="Y14" authorId="1" shapeId="0" xr:uid="{00000000-0006-0000-0900-000005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LPG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배출계수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H24" authorId="1" shapeId="0" xr:uid="{00000000-0006-0000-0900-000006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돋움"/>
            <family val="3"/>
            <charset val="129"/>
          </rPr>
          <t>건설폐기물에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k</t>
        </r>
        <r>
          <rPr>
            <sz val="9"/>
            <color indexed="81"/>
            <rFont val="돋움"/>
            <family val="3"/>
            <charset val="129"/>
          </rPr>
          <t>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안됨
</t>
        </r>
        <r>
          <rPr>
            <sz val="9"/>
            <color indexed="81"/>
            <rFont val="Tahoma"/>
            <family val="2"/>
          </rPr>
          <t>- G/L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유기적으로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부패되기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기저귀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으로서</t>
        </r>
        <r>
          <rPr>
            <sz val="9"/>
            <color indexed="81"/>
            <rFont val="Tahoma"/>
            <family val="2"/>
          </rPr>
          <t xml:space="preserve"> 0.1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보다는</t>
        </r>
        <r>
          <rPr>
            <sz val="9"/>
            <color indexed="81"/>
            <rFont val="Tahoma"/>
            <family val="2"/>
          </rPr>
          <t>,  IPCC Wastemodel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Industrial waste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기본값으로</t>
        </r>
        <r>
          <rPr>
            <sz val="9"/>
            <color indexed="81"/>
            <rFont val="Tahoma"/>
            <family val="2"/>
          </rPr>
          <t xml:space="preserve"> 0.09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준용함</t>
        </r>
      </text>
    </comment>
    <comment ref="V24" authorId="0" shapeId="0" xr:uid="{00000000-0006-0000-0900-000007000000}">
      <text>
        <r>
          <rPr>
            <b/>
            <sz val="9"/>
            <color indexed="81"/>
            <rFont val="돋움"/>
            <family val="3"/>
            <charset val="129"/>
          </rPr>
          <t>온실가스목표관리</t>
        </r>
        <r>
          <rPr>
            <b/>
            <sz val="9"/>
            <color indexed="81"/>
            <rFont val="Tahoma"/>
            <family val="2"/>
          </rPr>
          <t>TF: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시행령별표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원본과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달라지면서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S34" authorId="1" shapeId="0" xr:uid="{00000000-0006-0000-0900-000008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IPCC G/L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발열량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W34" authorId="1" shapeId="0" xr:uid="{00000000-0006-0000-0900-000009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에너지법의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총발열량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</text>
    </comment>
    <comment ref="Y34" authorId="1" shapeId="0" xr:uid="{00000000-0006-0000-0900-00000A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IPCC G/L </t>
        </r>
        <r>
          <rPr>
            <sz val="9"/>
            <color indexed="81"/>
            <rFont val="돋움"/>
            <family val="3"/>
            <charset val="129"/>
          </rPr>
          <t>바이오매스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배출계수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W41" authorId="1" shapeId="0" xr:uid="{00000000-0006-0000-0900-00000B000000}">
      <text>
        <r>
          <rPr>
            <b/>
            <sz val="9"/>
            <color indexed="81"/>
            <rFont val="Tahoma"/>
            <family val="2"/>
          </rPr>
          <t>tRee:</t>
        </r>
        <r>
          <rPr>
            <sz val="9"/>
            <color indexed="81"/>
            <rFont val="Tahoma"/>
            <family val="2"/>
          </rPr>
          <t xml:space="preserve">
0.4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오기됨</t>
        </r>
        <r>
          <rPr>
            <sz val="9"/>
            <color indexed="81"/>
            <rFont val="Tahoma"/>
            <family val="2"/>
          </rPr>
          <t xml:space="preserve"> 
4/13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42" authorId="1" shapeId="0" xr:uid="{00000000-0006-0000-0900-00000C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차량용</t>
        </r>
        <r>
          <rPr>
            <sz val="9"/>
            <color indexed="81"/>
            <rFont val="Tahoma"/>
            <family val="2"/>
          </rPr>
          <t xml:space="preserve"> LPG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적용하며</t>
        </r>
        <r>
          <rPr>
            <sz val="9"/>
            <color indexed="81"/>
            <rFont val="Tahoma"/>
            <family val="2"/>
          </rPr>
          <t xml:space="preserve">, 
2. </t>
        </r>
        <r>
          <rPr>
            <sz val="9"/>
            <color indexed="81"/>
            <rFont val="돋움"/>
            <family val="3"/>
            <charset val="129"/>
          </rPr>
          <t>부피단위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일치시키기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밀도</t>
        </r>
        <r>
          <rPr>
            <sz val="9"/>
            <color indexed="81"/>
            <rFont val="Tahoma"/>
            <family val="2"/>
          </rPr>
          <t>(0.578g/</t>
        </r>
        <r>
          <rPr>
            <sz val="9"/>
            <color indexed="81"/>
            <rFont val="돋움"/>
            <family val="3"/>
            <charset val="129"/>
          </rPr>
          <t>㎤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적용함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<sst xmlns="http://schemas.openxmlformats.org/spreadsheetml/2006/main" count="986" uniqueCount="758">
  <si>
    <t>음식물</t>
  </si>
  <si>
    <t>섬유</t>
  </si>
  <si>
    <t>고무/가죽</t>
  </si>
  <si>
    <t>생활폐기물</t>
    <phoneticPr fontId="2" type="noConversion"/>
  </si>
  <si>
    <t>사업장폐기물</t>
    <phoneticPr fontId="2" type="noConversion"/>
  </si>
  <si>
    <t>메탄보정계수(MCF)</t>
    <phoneticPr fontId="2" type="noConversion"/>
  </si>
  <si>
    <t>산화계수(OX)</t>
    <phoneticPr fontId="2" type="noConversion"/>
  </si>
  <si>
    <t>혐기적으로 분해가능한 유기탄소비율(DOCf)</t>
    <phoneticPr fontId="2" type="noConversion"/>
  </si>
  <si>
    <t>매립가스중 메탄가스 비율(F)</t>
    <phoneticPr fontId="2" type="noConversion"/>
  </si>
  <si>
    <t>메탄반응상수(k)</t>
    <phoneticPr fontId="2" type="noConversion"/>
  </si>
  <si>
    <t>성상별_별도작성</t>
    <phoneticPr fontId="2" type="noConversion"/>
  </si>
  <si>
    <t>분해가능 유기탄소 함량(DOC)</t>
    <phoneticPr fontId="2" type="noConversion"/>
  </si>
  <si>
    <t>메탄회수량(R)</t>
    <phoneticPr fontId="2" type="noConversion"/>
  </si>
  <si>
    <t>년도별 별도작성</t>
    <phoneticPr fontId="2" type="noConversion"/>
  </si>
  <si>
    <t>기본값 적용</t>
    <phoneticPr fontId="2" type="noConversion"/>
  </si>
  <si>
    <t>복토되는 매립지기준</t>
    <phoneticPr fontId="2" type="noConversion"/>
  </si>
  <si>
    <r>
      <t>k값은 메탄발생속도상수 즉, k값이 클수록 분해율이 높다-&gt; e</t>
    </r>
    <r>
      <rPr>
        <vertAlign val="superscript"/>
        <sz val="9"/>
        <color indexed="8"/>
        <rFont val="맑은 고딕"/>
        <family val="3"/>
        <charset val="129"/>
      </rPr>
      <t>-k</t>
    </r>
    <r>
      <rPr>
        <sz val="9"/>
        <color indexed="8"/>
        <rFont val="맑은 고딕"/>
        <family val="3"/>
        <charset val="129"/>
      </rPr>
      <t>(잔존유기물)은 작아진다</t>
    </r>
    <phoneticPr fontId="2" type="noConversion"/>
  </si>
  <si>
    <t>합계</t>
    <phoneticPr fontId="2" type="noConversion"/>
  </si>
  <si>
    <t>매립시트에서 선택</t>
    <phoneticPr fontId="2" type="noConversion"/>
  </si>
  <si>
    <t>폐기물유형</t>
    <phoneticPr fontId="2" type="noConversion"/>
  </si>
  <si>
    <t>매립지 유형</t>
    <phoneticPr fontId="2" type="noConversion"/>
  </si>
  <si>
    <t>매립관련</t>
  </si>
  <si>
    <t>배출계수</t>
  </si>
  <si>
    <t>배출계수</t>
    <phoneticPr fontId="2" type="noConversion"/>
  </si>
  <si>
    <t>소각관련</t>
    <phoneticPr fontId="2" type="noConversion"/>
  </si>
  <si>
    <t>산화계수(OF)</t>
    <phoneticPr fontId="2" type="noConversion"/>
  </si>
  <si>
    <t>Oxidation Factor</t>
    <phoneticPr fontId="2" type="noConversion"/>
  </si>
  <si>
    <t>고형폐기물의 매립</t>
    <phoneticPr fontId="2" type="noConversion"/>
  </si>
  <si>
    <t>폐기물</t>
    <phoneticPr fontId="2" type="noConversion"/>
  </si>
  <si>
    <t xml:space="preserve">산정분야 : </t>
    <phoneticPr fontId="2" type="noConversion"/>
  </si>
  <si>
    <t xml:space="preserve">산정부문 : </t>
    <phoneticPr fontId="2" type="noConversion"/>
  </si>
  <si>
    <t>4B Biological Treatment of Solid Waste</t>
    <phoneticPr fontId="2" type="noConversion"/>
  </si>
  <si>
    <t>4D Domestic Wastewater Treatment and Discharge</t>
    <phoneticPr fontId="2" type="noConversion"/>
  </si>
  <si>
    <t>고형폐기물의 생물학적처리</t>
    <phoneticPr fontId="2" type="noConversion"/>
  </si>
  <si>
    <t>4A Solid Waste Disposal</t>
    <phoneticPr fontId="2" type="noConversion"/>
  </si>
  <si>
    <t>상수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</si>
  <si>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</si>
  <si>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</si>
  <si>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</si>
  <si>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</si>
  <si>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</si>
  <si>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</si>
  <si>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</si>
  <si>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처리대상 폐기물</t>
    <phoneticPr fontId="2" type="noConversion"/>
  </si>
  <si>
    <t>A</t>
    <phoneticPr fontId="9" type="noConversion"/>
  </si>
  <si>
    <t>구분</t>
    <phoneticPr fontId="2" type="noConversion"/>
  </si>
  <si>
    <t>(습량기준)
소각처리량
(TON)</t>
    <phoneticPr fontId="2" type="noConversion"/>
  </si>
  <si>
    <t>건조물질함량
(dm)</t>
    <phoneticPr fontId="2" type="noConversion"/>
  </si>
  <si>
    <t>탄소함유율
(CF)</t>
    <phoneticPr fontId="2" type="noConversion"/>
  </si>
  <si>
    <t>화석탄소함유율
(FCF)</t>
    <phoneticPr fontId="2" type="noConversion"/>
  </si>
  <si>
    <t>산화계수
(OF)</t>
    <phoneticPr fontId="2" type="noConversion"/>
  </si>
  <si>
    <t>변환계수
(44/12)</t>
    <phoneticPr fontId="2" type="noConversion"/>
  </si>
  <si>
    <t xml:space="preserve">산정분야 : </t>
    <phoneticPr fontId="2" type="noConversion"/>
  </si>
  <si>
    <t>폐기물</t>
    <phoneticPr fontId="2" type="noConversion"/>
  </si>
  <si>
    <t xml:space="preserve">산정부문 : </t>
    <phoneticPr fontId="2" type="noConversion"/>
  </si>
  <si>
    <t>폐기물의 소각처리</t>
    <phoneticPr fontId="2" type="noConversion"/>
  </si>
  <si>
    <t>4C Incineration and Open burning of Waste</t>
    <phoneticPr fontId="2" type="noConversion"/>
  </si>
  <si>
    <t>생물학적처리</t>
    <phoneticPr fontId="2" type="noConversion"/>
  </si>
  <si>
    <t xml:space="preserve">IPCC 카테고리 : </t>
  </si>
  <si>
    <t xml:space="preserve">IPCC 카테고리 : </t>
    <phoneticPr fontId="2" type="noConversion"/>
  </si>
  <si>
    <t>건량, 습량 기준에 따라 다른데 얘는 무조건 '0'임</t>
  </si>
  <si>
    <t>처리량 기준</t>
    <phoneticPr fontId="2" type="noConversion"/>
  </si>
  <si>
    <t>C</t>
  </si>
  <si>
    <t>D</t>
  </si>
  <si>
    <t>E</t>
  </si>
  <si>
    <t>F</t>
  </si>
  <si>
    <t>하수</t>
    <phoneticPr fontId="2" type="noConversion"/>
  </si>
  <si>
    <t>폐수</t>
    <phoneticPr fontId="2" type="noConversion"/>
  </si>
  <si>
    <t>합계</t>
    <phoneticPr fontId="9" type="noConversion"/>
  </si>
  <si>
    <t>: 각 시트의 내용을 총괄하여 전체 배출량 확인</t>
    <phoneticPr fontId="18" type="noConversion"/>
  </si>
  <si>
    <t>(활동자료 입력)</t>
    <phoneticPr fontId="18" type="noConversion"/>
  </si>
  <si>
    <t>(배출계수)</t>
    <phoneticPr fontId="18" type="noConversion"/>
  </si>
  <si>
    <t>(선택 박스)</t>
    <phoneticPr fontId="18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</si>
  <si>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노란색 셀</t>
    </r>
    <r>
      <rPr>
        <sz val="11"/>
        <color theme="1"/>
        <rFont val="맑은 고딕"/>
        <family val="3"/>
        <charset val="129"/>
        <scheme val="minor"/>
      </rPr>
      <t>은 사업장에서 확보한 활동자료(예. 폐기물처리량, 메탄회수량 등)를 직접 입력하는 부분</t>
    </r>
    <phoneticPr fontId="18" type="noConversion"/>
  </si>
  <si>
    <t>(설명)</t>
    <phoneticPr fontId="18" type="noConversion"/>
  </si>
  <si>
    <t>배출계수</t>
    <phoneticPr fontId="9" type="noConversion"/>
  </si>
  <si>
    <t>A</t>
    <phoneticPr fontId="9" type="noConversion"/>
  </si>
  <si>
    <t>B</t>
    <phoneticPr fontId="2" type="noConversion"/>
  </si>
  <si>
    <t>G</t>
    <phoneticPr fontId="2" type="noConversion"/>
  </si>
  <si>
    <t>H</t>
    <phoneticPr fontId="2" type="noConversion"/>
  </si>
  <si>
    <t>구분</t>
    <phoneticPr fontId="2" type="noConversion"/>
  </si>
  <si>
    <t>하수처리</t>
    <phoneticPr fontId="2" type="noConversion"/>
  </si>
  <si>
    <t>합계</t>
    <phoneticPr fontId="2" type="noConversion"/>
  </si>
  <si>
    <t>1처리장</t>
    <phoneticPr fontId="2" type="noConversion"/>
  </si>
  <si>
    <t>2처리장</t>
    <phoneticPr fontId="2" type="noConversion"/>
  </si>
  <si>
    <t>폐수처리 유형</t>
    <phoneticPr fontId="2" type="noConversion"/>
  </si>
  <si>
    <t>구분</t>
    <phoneticPr fontId="9" type="noConversion"/>
  </si>
  <si>
    <t>온실가스 배출량</t>
    <phoneticPr fontId="9" type="noConversion"/>
  </si>
  <si>
    <t>에너지 사용량</t>
    <phoneticPr fontId="9" type="noConversion"/>
  </si>
  <si>
    <t>(TJ)</t>
    <phoneticPr fontId="9" type="noConversion"/>
  </si>
  <si>
    <t>에너지</t>
    <phoneticPr fontId="2" type="noConversion"/>
  </si>
  <si>
    <t>연료연소 부문</t>
    <phoneticPr fontId="2" type="noConversion"/>
  </si>
  <si>
    <t>1A Fuel Combustion Activities</t>
    <phoneticPr fontId="2" type="noConversion"/>
  </si>
  <si>
    <t>매립지 유형에 따라 다르게 적용</t>
    <phoneticPr fontId="2" type="noConversion"/>
  </si>
  <si>
    <t>소각로 유형에 따라 다르게 적용</t>
    <phoneticPr fontId="2" type="noConversion"/>
  </si>
  <si>
    <t>폐기물형태에 따라 다르게 적용</t>
    <phoneticPr fontId="2" type="noConversion"/>
  </si>
  <si>
    <t>건량, 습량 기준에 따라 다르게 적용</t>
    <phoneticPr fontId="2" type="noConversion"/>
  </si>
  <si>
    <t>폐수처리 유형에 따라 다르게 적용</t>
    <phoneticPr fontId="2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</si>
  <si>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하늘색 셀</t>
    </r>
    <r>
      <rPr>
        <sz val="11"/>
        <color theme="1"/>
        <rFont val="맑은 고딕"/>
        <family val="3"/>
        <charset val="129"/>
        <scheme val="minor"/>
      </rPr>
      <t>은 해당 배출시설별 배출계수 또는 활동자료에 의한 계산값이 자동으로 입력되는 부분</t>
    </r>
    <phoneticPr fontId="18" type="noConversion"/>
  </si>
  <si>
    <r>
      <t xml:space="preserve">  사업장 고유 배출계수가 있는 경우 직접 입력할 수 있도록 </t>
    </r>
    <r>
      <rPr>
        <u/>
        <sz val="11"/>
        <color indexed="8"/>
        <rFont val="맑은 고딕"/>
        <family val="3"/>
        <charset val="129"/>
      </rPr>
      <t xml:space="preserve">배출계수 입력부분이 </t>
    </r>
    <r>
      <rPr>
        <b/>
        <i/>
        <u/>
        <sz val="11"/>
        <color indexed="8"/>
        <rFont val="맑은 고딕"/>
        <family val="3"/>
        <charset val="129"/>
      </rPr>
      <t>노란색 셀</t>
    </r>
    <r>
      <rPr>
        <u/>
        <sz val="11"/>
        <color indexed="8"/>
        <rFont val="맑은 고딕"/>
        <family val="3"/>
        <charset val="129"/>
      </rPr>
      <t>로 된 부분도 있음</t>
    </r>
    <phoneticPr fontId="18" type="noConversion"/>
  </si>
  <si>
    <t>제품</t>
  </si>
  <si>
    <t>단위</t>
  </si>
  <si>
    <t>순발열량</t>
  </si>
  <si>
    <t>㎉</t>
  </si>
  <si>
    <t>MJ 환산</t>
  </si>
  <si>
    <t>원유</t>
  </si>
  <si>
    <t>㎏</t>
  </si>
  <si>
    <t>휘발유</t>
  </si>
  <si>
    <t>ℓ</t>
  </si>
  <si>
    <t>경유</t>
  </si>
  <si>
    <t>B - A유</t>
  </si>
  <si>
    <t>B - B유</t>
  </si>
  <si>
    <t>B - C유</t>
  </si>
  <si>
    <t>프로판</t>
  </si>
  <si>
    <t>부탄</t>
  </si>
  <si>
    <t>나프타</t>
  </si>
  <si>
    <t>용제</t>
  </si>
  <si>
    <t>항공유</t>
  </si>
  <si>
    <t>윤활유</t>
  </si>
  <si>
    <t>석유코크</t>
  </si>
  <si>
    <t>부생연료1호</t>
  </si>
  <si>
    <t>부생연료2호</t>
  </si>
  <si>
    <t>천연가스(LNG)</t>
  </si>
  <si>
    <t>도시가스(LNG)</t>
  </si>
  <si>
    <t>N㎥</t>
  </si>
  <si>
    <t>도시가스(LPG)</t>
  </si>
  <si>
    <t>국내무연탄</t>
  </si>
  <si>
    <t>수입무연탄</t>
  </si>
  <si>
    <t>유연탄(연료용)</t>
  </si>
  <si>
    <t>유연탄(원료용)</t>
  </si>
  <si>
    <t>아역청탄</t>
  </si>
  <si>
    <t>코크스</t>
  </si>
  <si>
    <t>원유</t>
    <phoneticPr fontId="2" type="noConversion"/>
  </si>
  <si>
    <t>자동차용가솔린</t>
    <phoneticPr fontId="2" type="noConversion"/>
  </si>
  <si>
    <t>기타등유</t>
    <phoneticPr fontId="2" type="noConversion"/>
  </si>
  <si>
    <t>가스/디젤오일</t>
    <phoneticPr fontId="2" type="noConversion"/>
  </si>
  <si>
    <t>잔여연료유</t>
    <phoneticPr fontId="2" type="noConversion"/>
  </si>
  <si>
    <t>나프타</t>
    <phoneticPr fontId="2" type="noConversion"/>
  </si>
  <si>
    <t>석유코크스</t>
    <phoneticPr fontId="2" type="noConversion"/>
  </si>
  <si>
    <t>아스팔트</t>
    <phoneticPr fontId="2" type="noConversion"/>
  </si>
  <si>
    <t>윤활유</t>
    <phoneticPr fontId="2" type="noConversion"/>
  </si>
  <si>
    <t>항공용가솔린</t>
    <phoneticPr fontId="2" type="noConversion"/>
  </si>
  <si>
    <t>무연탄</t>
    <phoneticPr fontId="2" type="noConversion"/>
  </si>
  <si>
    <t>기타역청탄</t>
    <phoneticPr fontId="2" type="noConversion"/>
  </si>
  <si>
    <t>점결탄</t>
    <phoneticPr fontId="2" type="noConversion"/>
  </si>
  <si>
    <t>하위 유연탄</t>
    <phoneticPr fontId="2" type="noConversion"/>
  </si>
  <si>
    <t>액화석유가스</t>
    <phoneticPr fontId="2" type="noConversion"/>
  </si>
  <si>
    <t>TJ/Gg</t>
  </si>
  <si>
    <t>TJ/Gg</t>
    <phoneticPr fontId="2" type="noConversion"/>
  </si>
  <si>
    <t>TJ/1000㎥</t>
  </si>
  <si>
    <t>TJ/1000㎥</t>
    <phoneticPr fontId="2" type="noConversion"/>
  </si>
  <si>
    <t>백유</t>
    <phoneticPr fontId="2" type="noConversion"/>
  </si>
  <si>
    <t>역청(아스팔트)</t>
    <phoneticPr fontId="2" type="noConversion"/>
  </si>
  <si>
    <t>코크스로 코크스</t>
    <phoneticPr fontId="2" type="noConversion"/>
  </si>
  <si>
    <t>총발열량</t>
    <phoneticPr fontId="2" type="noConversion"/>
  </si>
  <si>
    <t>순발열량</t>
    <phoneticPr fontId="2" type="noConversion"/>
  </si>
  <si>
    <t>구분</t>
    <phoneticPr fontId="9" type="noConversion"/>
  </si>
  <si>
    <t>활동자료</t>
    <phoneticPr fontId="9" type="noConversion"/>
  </si>
  <si>
    <t>배출량</t>
    <phoneticPr fontId="9" type="noConversion"/>
  </si>
  <si>
    <t>A</t>
    <phoneticPr fontId="9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</si>
  <si>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</si>
  <si>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</si>
  <si>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</si>
  <si>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</si>
  <si>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에너지사용원</t>
    <phoneticPr fontId="9" type="noConversion"/>
  </si>
  <si>
    <t>합계</t>
    <phoneticPr fontId="9" type="noConversion"/>
  </si>
  <si>
    <t>사업장 유형</t>
    <phoneticPr fontId="9" type="noConversion"/>
  </si>
  <si>
    <t>단위</t>
    <phoneticPr fontId="9" type="noConversion"/>
  </si>
  <si>
    <t>단위</t>
    <phoneticPr fontId="9" type="noConversion"/>
  </si>
  <si>
    <t>발열량</t>
    <phoneticPr fontId="9" type="noConversion"/>
  </si>
  <si>
    <r>
      <t>하수처리량
(Q</t>
    </r>
    <r>
      <rPr>
        <vertAlign val="subscript"/>
        <sz val="11"/>
        <color indexed="8"/>
        <rFont val="맑은 고딕"/>
        <family val="3"/>
        <charset val="129"/>
      </rPr>
      <t>in</t>
    </r>
    <r>
      <rPr>
        <vertAlign val="subscript"/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㎥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</si>
  <si>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메탄회수량
(R, Ton)</t>
    <phoneticPr fontId="9" type="noConversion"/>
  </si>
  <si>
    <r>
      <t>유입수BOD
(BOD</t>
    </r>
    <r>
      <rPr>
        <vertAlign val="subscript"/>
        <sz val="11"/>
        <color indexed="8"/>
        <rFont val="맑은 고딕"/>
        <family val="3"/>
        <charset val="129"/>
      </rPr>
      <t>in</t>
    </r>
    <r>
      <rPr>
        <vertAlign val="subscript"/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㎎/ℓ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</si>
  <si>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방류수BOD
(BOD</t>
    </r>
    <r>
      <rPr>
        <vertAlign val="subscript"/>
        <sz val="11"/>
        <color indexed="8"/>
        <rFont val="맑은 고딕"/>
        <family val="3"/>
        <charset val="129"/>
      </rPr>
      <t>out</t>
    </r>
    <r>
      <rPr>
        <sz val="11"/>
        <color indexed="8"/>
        <rFont val="맑은 고딕"/>
        <family val="3"/>
        <charset val="129"/>
      </rPr>
      <t>, ㎎/ℓ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</si>
  <si>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t>유입수 T-N
(T-N</t>
    </r>
    <r>
      <rPr>
        <vertAlign val="subscript"/>
        <sz val="11"/>
        <color indexed="8"/>
        <rFont val="맑은 고딕"/>
        <family val="3"/>
        <charset val="129"/>
      </rPr>
      <t>in</t>
    </r>
    <r>
      <rPr>
        <sz val="11"/>
        <color theme="1"/>
        <rFont val="맑은 고딕"/>
        <family val="3"/>
        <charset val="129"/>
        <scheme val="minor"/>
      </rPr>
      <t>, ㎎/ℓ)</t>
    </r>
    <phoneticPr fontId="2" type="noConversion"/>
  </si>
  <si>
    <t>A</t>
    <phoneticPr fontId="9" type="noConversion"/>
  </si>
  <si>
    <t>B</t>
    <phoneticPr fontId="2" type="noConversion"/>
  </si>
  <si>
    <t>E</t>
    <phoneticPr fontId="2" type="noConversion"/>
  </si>
  <si>
    <t>구분</t>
    <phoneticPr fontId="2" type="noConversion"/>
  </si>
  <si>
    <r>
      <t>폐수처리량
(Q</t>
    </r>
    <r>
      <rPr>
        <vertAlign val="subscript"/>
        <sz val="12"/>
        <color indexed="8"/>
        <rFont val="맑은 고딕"/>
        <family val="3"/>
        <charset val="129"/>
      </rPr>
      <t xml:space="preserve">in, </t>
    </r>
    <r>
      <rPr>
        <sz val="12"/>
        <color indexed="8"/>
        <rFont val="맑은 고딕"/>
        <family val="3"/>
        <charset val="129"/>
      </rPr>
      <t>㎥)</t>
    </r>
    <phoneticPr fontId="2" type="noConversion"/>
  </si>
  <si>
    <t>유입수COD
(㎎/L)</t>
    <phoneticPr fontId="2" type="noConversion"/>
  </si>
  <si>
    <t>합계</t>
    <phoneticPr fontId="2" type="noConversion"/>
  </si>
  <si>
    <t>폐수처리</t>
    <phoneticPr fontId="9" type="noConversion"/>
  </si>
  <si>
    <t>1처리장</t>
    <phoneticPr fontId="9" type="noConversion"/>
  </si>
  <si>
    <t>2처리장</t>
    <phoneticPr fontId="9" type="noConversion"/>
  </si>
  <si>
    <t>에너지사용량</t>
    <phoneticPr fontId="9" type="noConversion"/>
  </si>
  <si>
    <t>TJ/10^6㎥</t>
    <phoneticPr fontId="2" type="noConversion"/>
  </si>
  <si>
    <t>전력</t>
    <phoneticPr fontId="2" type="noConversion"/>
  </si>
  <si>
    <t>에너지
사용량
(kWh)</t>
    <phoneticPr fontId="2" type="noConversion"/>
  </si>
  <si>
    <t>스팀</t>
    <phoneticPr fontId="27" type="noConversion"/>
  </si>
  <si>
    <t>신탄</t>
    <phoneticPr fontId="2" type="noConversion"/>
  </si>
  <si>
    <t>kWh</t>
    <phoneticPr fontId="2" type="noConversion"/>
  </si>
  <si>
    <t>kg</t>
    <phoneticPr fontId="2" type="noConversion"/>
  </si>
  <si>
    <t>-</t>
    <phoneticPr fontId="2" type="noConversion"/>
  </si>
  <si>
    <t>GJ</t>
    <phoneticPr fontId="27" type="noConversion"/>
  </si>
  <si>
    <t>TJ/GWh</t>
    <phoneticPr fontId="2" type="noConversion"/>
  </si>
  <si>
    <t>에너지사용원</t>
    <phoneticPr fontId="9" type="noConversion"/>
  </si>
  <si>
    <t>사무동</t>
    <phoneticPr fontId="27" type="noConversion"/>
  </si>
  <si>
    <r>
      <rPr>
        <b/>
        <sz val="12"/>
        <color indexed="30"/>
        <rFont val="맑은 고딕"/>
        <family val="3"/>
        <charset val="129"/>
      </rPr>
      <t>B</t>
    </r>
    <r>
      <rPr>
        <b/>
        <vertAlign val="subscript"/>
        <sz val="12"/>
        <color indexed="30"/>
        <rFont val="맑은 고딕"/>
        <family val="3"/>
        <charset val="129"/>
      </rPr>
      <t>2</t>
    </r>
    <r>
      <rPr>
        <sz val="12"/>
        <color indexed="8"/>
        <rFont val="맑은 고딕"/>
        <family val="3"/>
        <charset val="129"/>
      </rPr>
      <t xml:space="preserve">
순발열량</t>
    </r>
    <phoneticPr fontId="2" type="noConversion"/>
  </si>
  <si>
    <r>
      <rPr>
        <b/>
        <sz val="12"/>
        <color indexed="30"/>
        <rFont val="맑은 고딕"/>
        <family val="3"/>
        <charset val="129"/>
      </rPr>
      <t>B</t>
    </r>
    <r>
      <rPr>
        <b/>
        <vertAlign val="subscript"/>
        <sz val="12"/>
        <color indexed="30"/>
        <rFont val="맑은 고딕"/>
        <family val="3"/>
        <charset val="129"/>
      </rPr>
      <t>1</t>
    </r>
    <r>
      <rPr>
        <sz val="12"/>
        <color indexed="8"/>
        <rFont val="맑은 고딕"/>
        <family val="3"/>
        <charset val="129"/>
      </rPr>
      <t xml:space="preserve">
총발열량</t>
    </r>
    <phoneticPr fontId="9" type="noConversion"/>
  </si>
  <si>
    <t>외부공급 스팀사용</t>
    <phoneticPr fontId="27" type="noConversion"/>
  </si>
  <si>
    <t>외부공급 전기사용</t>
    <phoneticPr fontId="27" type="noConversion"/>
  </si>
  <si>
    <t>발열량
단위</t>
    <phoneticPr fontId="9" type="noConversion"/>
  </si>
  <si>
    <t>총발열량</t>
    <phoneticPr fontId="2" type="noConversion"/>
  </si>
  <si>
    <t>구분</t>
    <phoneticPr fontId="2" type="noConversion"/>
  </si>
  <si>
    <r>
      <t>폐기물처리량
(M</t>
    </r>
    <r>
      <rPr>
        <vertAlign val="subscript"/>
        <sz val="11"/>
        <color indexed="8"/>
        <rFont val="맑은 고딕"/>
        <family val="3"/>
        <charset val="129"/>
      </rPr>
      <t>i</t>
    </r>
    <r>
      <rPr>
        <sz val="11"/>
        <color indexed="8"/>
        <rFont val="맑은 고딕"/>
        <family val="3"/>
        <charset val="129"/>
      </rPr>
      <t>, tWaste)</t>
    </r>
    <phoneticPr fontId="2" type="noConversion"/>
  </si>
  <si>
    <t>폐기물 생물학적처리량</t>
    <phoneticPr fontId="2" type="noConversion"/>
  </si>
  <si>
    <t>처리유형</t>
    <phoneticPr fontId="2" type="noConversion"/>
  </si>
  <si>
    <t>퇴비화</t>
    <phoneticPr fontId="9" type="noConversion"/>
  </si>
  <si>
    <t>혐기성 소화</t>
    <phoneticPr fontId="9" type="noConversion"/>
  </si>
  <si>
    <t>에너지
종류</t>
    <phoneticPr fontId="9" type="noConversion"/>
  </si>
  <si>
    <t>조성</t>
    <phoneticPr fontId="2" type="noConversion"/>
  </si>
  <si>
    <t>DOC</t>
    <phoneticPr fontId="2" type="noConversion"/>
  </si>
  <si>
    <t>k</t>
    <phoneticPr fontId="2" type="noConversion"/>
  </si>
  <si>
    <t>DOCf</t>
    <phoneticPr fontId="2" type="noConversion"/>
  </si>
  <si>
    <t>MCF</t>
    <phoneticPr fontId="2" type="noConversion"/>
  </si>
  <si>
    <t>F</t>
    <phoneticPr fontId="2" type="noConversion"/>
  </si>
  <si>
    <t>OX</t>
    <phoneticPr fontId="2" type="noConversion"/>
  </si>
  <si>
    <t>혐기적으로 분해가능한 유기탄소비율</t>
    <phoneticPr fontId="2" type="noConversion"/>
  </si>
  <si>
    <t>메탄보정계수</t>
    <phoneticPr fontId="2" type="noConversion"/>
  </si>
  <si>
    <t>매립가스중 메탄가스 비율</t>
    <phoneticPr fontId="2" type="noConversion"/>
  </si>
  <si>
    <t>산화계수</t>
    <phoneticPr fontId="2" type="noConversion"/>
  </si>
  <si>
    <t>◇배출계수</t>
    <phoneticPr fontId="2" type="noConversion"/>
  </si>
  <si>
    <t>근거 : 지자체 온실가스 배출량 산정지침</t>
    <phoneticPr fontId="2" type="noConversion"/>
  </si>
  <si>
    <t>전기 배출계수</t>
    <phoneticPr fontId="2" type="noConversion"/>
  </si>
  <si>
    <t>전력거래소 공시자료</t>
    <phoneticPr fontId="2" type="noConversion"/>
  </si>
  <si>
    <t>비고</t>
    <phoneticPr fontId="2" type="noConversion"/>
  </si>
  <si>
    <t>매립시작년도</t>
    <phoneticPr fontId="2" type="noConversion"/>
  </si>
  <si>
    <t>매립종료년도</t>
    <phoneticPr fontId="2" type="noConversion"/>
  </si>
  <si>
    <t>배출량산정년도</t>
    <phoneticPr fontId="2" type="noConversion"/>
  </si>
  <si>
    <t>향후 배출계수 공표시 직접 입력할 것.</t>
    <phoneticPr fontId="2" type="noConversion"/>
  </si>
  <si>
    <t>1)</t>
    <phoneticPr fontId="2" type="noConversion"/>
  </si>
  <si>
    <t>2)</t>
    <phoneticPr fontId="2" type="noConversion"/>
  </si>
  <si>
    <t>1)</t>
    <phoneticPr fontId="9" type="noConversion"/>
  </si>
  <si>
    <r>
      <rPr>
        <b/>
        <sz val="12"/>
        <color indexed="30"/>
        <rFont val="맑은 고딕"/>
        <family val="3"/>
        <charset val="129"/>
      </rPr>
      <t>2</t>
    </r>
    <r>
      <rPr>
        <b/>
        <sz val="12"/>
        <color indexed="30"/>
        <rFont val="맑은 고딕"/>
        <family val="3"/>
        <charset val="129"/>
      </rPr>
      <t>)</t>
    </r>
    <r>
      <rPr>
        <b/>
        <sz val="12"/>
        <color indexed="30"/>
        <rFont val="맑은 고딕"/>
        <family val="3"/>
        <charset val="129"/>
      </rPr>
      <t>에너지 종류</t>
    </r>
    <phoneticPr fontId="9" type="noConversion"/>
  </si>
  <si>
    <r>
      <rPr>
        <b/>
        <sz val="12"/>
        <color indexed="30"/>
        <rFont val="맑은 고딕"/>
        <family val="3"/>
        <charset val="129"/>
      </rPr>
      <t>3</t>
    </r>
    <r>
      <rPr>
        <b/>
        <sz val="12"/>
        <color indexed="30"/>
        <rFont val="맑은 고딕"/>
        <family val="3"/>
        <charset val="129"/>
      </rPr>
      <t>)</t>
    </r>
    <r>
      <rPr>
        <b/>
        <sz val="12"/>
        <color indexed="30"/>
        <rFont val="맑은 고딕"/>
        <family val="3"/>
        <charset val="129"/>
      </rPr>
      <t>에너지
사용량</t>
    </r>
    <phoneticPr fontId="2" type="noConversion"/>
  </si>
  <si>
    <t>2) 활동자료</t>
    <phoneticPr fontId="9" type="noConversion"/>
  </si>
  <si>
    <t>3) 배출계수</t>
    <phoneticPr fontId="9" type="noConversion"/>
  </si>
  <si>
    <t>2) 활동자료</t>
    <phoneticPr fontId="2" type="noConversion"/>
  </si>
  <si>
    <t>배출계수 및 매개변수</t>
    <phoneticPr fontId="2" type="noConversion"/>
  </si>
  <si>
    <t>3) 온실가스배출량 산정</t>
    <phoneticPr fontId="2" type="noConversion"/>
  </si>
  <si>
    <t>2) 배출량</t>
    <phoneticPr fontId="2" type="noConversion"/>
  </si>
  <si>
    <t>1) 활동자료</t>
    <phoneticPr fontId="9" type="noConversion"/>
  </si>
  <si>
    <t>3) 배출량</t>
    <phoneticPr fontId="9" type="noConversion"/>
  </si>
  <si>
    <t>2) 활동자료</t>
    <phoneticPr fontId="9" type="noConversion"/>
  </si>
  <si>
    <t>연료종류</t>
    <phoneticPr fontId="2" type="noConversion"/>
  </si>
  <si>
    <t>기본배출계수(㎏/TJ)</t>
    <phoneticPr fontId="2" type="noConversion"/>
  </si>
  <si>
    <t>휘발유</t>
    <phoneticPr fontId="2" type="noConversion"/>
  </si>
  <si>
    <t>경유</t>
    <phoneticPr fontId="2" type="noConversion"/>
  </si>
  <si>
    <t>LPG</t>
    <phoneticPr fontId="2" type="noConversion"/>
  </si>
  <si>
    <t>등유</t>
    <phoneticPr fontId="2" type="noConversion"/>
  </si>
  <si>
    <t>윤활유</t>
    <phoneticPr fontId="2" type="noConversion"/>
  </si>
  <si>
    <t>CNG</t>
    <phoneticPr fontId="2" type="noConversion"/>
  </si>
  <si>
    <t>LNG</t>
    <phoneticPr fontId="2" type="noConversion"/>
  </si>
  <si>
    <t>고정연소</t>
    <phoneticPr fontId="2" type="noConversion"/>
  </si>
  <si>
    <t>고정연소</t>
    <phoneticPr fontId="9" type="noConversion"/>
  </si>
  <si>
    <t>2)고정연소/이동연소</t>
    <phoneticPr fontId="9" type="noConversion"/>
  </si>
  <si>
    <t>TJ/10^6㎥</t>
  </si>
  <si>
    <t>발열량</t>
    <phoneticPr fontId="2" type="noConversion"/>
  </si>
  <si>
    <t>보일러 등유 발열량 적용</t>
    <phoneticPr fontId="2" type="noConversion"/>
  </si>
  <si>
    <t>발열량단위</t>
    <phoneticPr fontId="2" type="noConversion"/>
  </si>
  <si>
    <t>연료사용량
단위</t>
    <phoneticPr fontId="2" type="noConversion"/>
  </si>
  <si>
    <t>음식폐기물 건조시설</t>
    <phoneticPr fontId="27" type="noConversion"/>
  </si>
  <si>
    <t>소계</t>
    <phoneticPr fontId="9" type="noConversion"/>
  </si>
  <si>
    <t>외부구매</t>
    <phoneticPr fontId="9" type="noConversion"/>
  </si>
  <si>
    <t>전기구매</t>
    <phoneticPr fontId="9" type="noConversion"/>
  </si>
  <si>
    <t>스팀구매</t>
    <phoneticPr fontId="9" type="noConversion"/>
  </si>
  <si>
    <t>매립</t>
    <phoneticPr fontId="9" type="noConversion"/>
  </si>
  <si>
    <t>생물학적처리</t>
    <phoneticPr fontId="9" type="noConversion"/>
  </si>
  <si>
    <t>소각</t>
    <phoneticPr fontId="9" type="noConversion"/>
  </si>
  <si>
    <t>하수</t>
    <phoneticPr fontId="9" type="noConversion"/>
  </si>
  <si>
    <t>폐수</t>
    <phoneticPr fontId="9" type="noConversion"/>
  </si>
  <si>
    <t>고정/이동연소</t>
    <phoneticPr fontId="9" type="noConversion"/>
  </si>
  <si>
    <t>소계</t>
    <phoneticPr fontId="9" type="noConversion"/>
  </si>
  <si>
    <t>합계</t>
    <phoneticPr fontId="9" type="noConversion"/>
  </si>
  <si>
    <t>이동연소</t>
    <phoneticPr fontId="9" type="noConversion"/>
  </si>
  <si>
    <t>F</t>
    <phoneticPr fontId="9" type="noConversion"/>
  </si>
  <si>
    <r>
      <t xml:space="preserve">J </t>
    </r>
    <r>
      <rPr>
        <b/>
        <sz val="12"/>
        <color indexed="8"/>
        <rFont val="맑은 고딕"/>
        <family val="3"/>
        <charset val="129"/>
      </rPr>
      <t>= (</t>
    </r>
    <r>
      <rPr>
        <b/>
        <sz val="12"/>
        <color indexed="8"/>
        <rFont val="맑은 고딕"/>
        <family val="3"/>
        <charset val="129"/>
      </rPr>
      <t>G</t>
    </r>
    <r>
      <rPr>
        <b/>
        <sz val="12"/>
        <color indexed="8"/>
        <rFont val="맑은 고딕"/>
        <family val="3"/>
        <charset val="129"/>
      </rPr>
      <t>+</t>
    </r>
    <r>
      <rPr>
        <b/>
        <sz val="12"/>
        <color indexed="8"/>
        <rFont val="맑은 고딕"/>
        <family val="3"/>
        <charset val="129"/>
      </rPr>
      <t>H</t>
    </r>
    <r>
      <rPr>
        <b/>
        <sz val="12"/>
        <color indexed="8"/>
        <rFont val="맑은 고딕"/>
        <family val="3"/>
        <charset val="129"/>
      </rPr>
      <t>×21+</t>
    </r>
    <r>
      <rPr>
        <b/>
        <sz val="12"/>
        <color indexed="8"/>
        <rFont val="맑은 고딕"/>
        <family val="3"/>
        <charset val="129"/>
      </rPr>
      <t>I</t>
    </r>
    <r>
      <rPr>
        <b/>
        <sz val="12"/>
        <color indexed="8"/>
        <rFont val="맑은 고딕"/>
        <family val="3"/>
        <charset val="129"/>
      </rPr>
      <t>×310)×(10^-3)</t>
    </r>
    <phoneticPr fontId="9" type="noConversion"/>
  </si>
  <si>
    <t>연료별 산화계수(고체연료)</t>
    <phoneticPr fontId="2" type="noConversion"/>
  </si>
  <si>
    <t>연료별 산화계수(액체연료)</t>
    <phoneticPr fontId="2" type="noConversion"/>
  </si>
  <si>
    <t>연료별 산화계수(기체연료)</t>
    <phoneticPr fontId="2" type="noConversion"/>
  </si>
  <si>
    <t>폐기물부문</t>
    <phoneticPr fontId="9" type="noConversion"/>
  </si>
  <si>
    <t>(활동자료 선택)</t>
    <phoneticPr fontId="18" type="noConversion"/>
  </si>
  <si>
    <t>온실가스 배출량 산정</t>
    <phoneticPr fontId="2" type="noConversion"/>
  </si>
  <si>
    <t>물리적
조성비율</t>
    <phoneticPr fontId="2" type="noConversion"/>
  </si>
  <si>
    <t>1) 처리대상폐기물, 소각로 유형, 폐기물형태를 선택(선택에 따라 배출계수가 결정됨)</t>
    <phoneticPr fontId="2" type="noConversion"/>
  </si>
  <si>
    <t>2) 폐기물의 물리적 조성별 소각처리량 입력(합계 및 조성비율은 자동 계산됨)</t>
    <phoneticPr fontId="2" type="noConversion"/>
  </si>
  <si>
    <t xml:space="preserve">    온실가스별 지구온난화지수(GWP)를 고려한 온실가스배출량이 산정됨.</t>
    <phoneticPr fontId="2" type="noConversion"/>
  </si>
  <si>
    <t>I</t>
    <phoneticPr fontId="2" type="noConversion"/>
  </si>
  <si>
    <r>
      <t xml:space="preserve">G </t>
    </r>
    <r>
      <rPr>
        <b/>
        <sz val="10"/>
        <rFont val="맑은 고딕"/>
        <family val="3"/>
        <charset val="129"/>
      </rPr>
      <t>= B×C×D×E×F</t>
    </r>
    <phoneticPr fontId="2" type="noConversion"/>
  </si>
  <si>
    <r>
      <t xml:space="preserve">J </t>
    </r>
    <r>
      <rPr>
        <b/>
        <sz val="10"/>
        <color indexed="8"/>
        <rFont val="맑은 고딕"/>
        <family val="3"/>
        <charset val="129"/>
      </rPr>
      <t xml:space="preserve">= </t>
    </r>
    <r>
      <rPr>
        <b/>
        <sz val="10"/>
        <color indexed="8"/>
        <rFont val="맑은 고딕"/>
        <family val="3"/>
        <charset val="129"/>
      </rPr>
      <t>A×</t>
    </r>
    <r>
      <rPr>
        <b/>
        <sz val="10"/>
        <color indexed="8"/>
        <rFont val="맑은 고딕"/>
        <family val="3"/>
        <charset val="129"/>
      </rPr>
      <t>G</t>
    </r>
    <phoneticPr fontId="2" type="noConversion"/>
  </si>
  <si>
    <r>
      <t>폐기물의 물리적</t>
    </r>
    <r>
      <rPr>
        <b/>
        <sz val="11"/>
        <color indexed="8"/>
        <rFont val="맑은 고딕"/>
        <family val="3"/>
        <charset val="129"/>
      </rPr>
      <t xml:space="preserve"> 조성</t>
    </r>
    <phoneticPr fontId="2" type="noConversion"/>
  </si>
  <si>
    <t>온실가스 
배출량
(tCO₂_eq/년)</t>
  </si>
  <si>
    <t>온실가스 
배출량
(tCO₂_eq)</t>
  </si>
  <si>
    <t>CO₂</t>
  </si>
  <si>
    <t>CO₂배출계수</t>
  </si>
  <si>
    <t>tCO₂/MWh</t>
  </si>
  <si>
    <t>CO₂
 배출계수</t>
  </si>
  <si>
    <t>(tCO₂_eq/yr)</t>
  </si>
  <si>
    <t>CO₂
(㎏CO₂/TJ)</t>
  </si>
  <si>
    <t>온실가스배출량
(tCO₂_eq)</t>
  </si>
  <si>
    <t>CO₂배출량
(tCO₂)</t>
  </si>
  <si>
    <t>(tCO₂/MWh)</t>
  </si>
  <si>
    <t>(tCO₂/GJ)</t>
  </si>
  <si>
    <t>CO₂
배출계수</t>
  </si>
  <si>
    <t>CO₂ 배출량
(tCO₂/년)</t>
  </si>
  <si>
    <t>N₂O</t>
  </si>
  <si>
    <t>N₂O
(㎏N₂O/TJ)</t>
  </si>
  <si>
    <t>N₂O배출량
(㎏N₂O)</t>
  </si>
  <si>
    <t>(㎏N₂O/MWh)</t>
  </si>
  <si>
    <t>N₂O 배출계수</t>
  </si>
  <si>
    <t>g/N₂O/tWaste</t>
  </si>
  <si>
    <t>N₂O 배출계수(퇴비화)</t>
  </si>
  <si>
    <t>gN₂O/㎏Waste</t>
  </si>
  <si>
    <t>N₂O 배출계수(혐기성소화)</t>
  </si>
  <si>
    <t>N₂O배출계수</t>
  </si>
  <si>
    <t>㎏N₂O/㎏N</t>
  </si>
  <si>
    <t>㎏N₂O/MWh</t>
  </si>
  <si>
    <t>CH₄</t>
  </si>
  <si>
    <t>CH₄
(㎏CH₄/TJ)</t>
  </si>
  <si>
    <t>CH₄배출량
(㎏CH₄)</t>
  </si>
  <si>
    <t>(㎏CH₄/MWh)</t>
  </si>
  <si>
    <t>당해년도 발생가능한 최대 메탄배출량
(CH₄ generaged, tCH₄/yr)</t>
  </si>
  <si>
    <t xml:space="preserve">   (폐기물 처리량, 메탄회수량, CH₄배출계수, N₂O배출계수 모두 같은 행에 입력하여 산정)</t>
  </si>
  <si>
    <t>메탄회수량
(R, tCH₄)</t>
  </si>
  <si>
    <t>CH₄발생량
(tCH₄)</t>
  </si>
  <si>
    <t>3) 물리적 조성에 따른 배출계수를 이용하여 CO₂ 배출량이 계산되고, 소각로 유형 및 폐기물형태에 따라 CH₄와 N₂O 배출량이 계산됨</t>
  </si>
  <si>
    <t>2) 배출계수를 적용하여 CH₄와 N₂O 배출량이 계산됨( 온실가스별 지구온난화지수(GWP)를 고려한 온실가스배출량이 산정됨.)</t>
  </si>
  <si>
    <t>③ 배출계수를 적용하여 CH₄ 배출량이 계산됨( 온실가스별 지구온난화지수(GWP)를 고려한 온실가스배출량이 산정됨.)</t>
  </si>
  <si>
    <t>소각로유형에 따른 CH₄배출계수</t>
  </si>
  <si>
    <t>폐수처리유형에 따른 CH₄배출계수</t>
  </si>
  <si>
    <t>CH₄ 배출계수</t>
  </si>
  <si>
    <t>kgCH₄/tWaste</t>
  </si>
  <si>
    <t>CH₄ 배출계수(퇴비화)</t>
  </si>
  <si>
    <t>gCH₄/㎏Waste</t>
  </si>
  <si>
    <t>CH₄ 배출계수(혐기성소화))</t>
  </si>
  <si>
    <t>CH₄배출계수</t>
  </si>
  <si>
    <t>㎏CH₄/㎏BOD</t>
  </si>
  <si>
    <t>tCH₄/tCOD</t>
  </si>
  <si>
    <t>㎏CH₄/MWh</t>
  </si>
  <si>
    <t>A</t>
    <phoneticPr fontId="9" type="noConversion"/>
  </si>
  <si>
    <t>B</t>
    <phoneticPr fontId="2" type="noConversion"/>
  </si>
  <si>
    <t>C</t>
    <phoneticPr fontId="2" type="noConversion"/>
  </si>
  <si>
    <t>D</t>
    <phoneticPr fontId="2" type="noConversion"/>
  </si>
  <si>
    <t>합계</t>
    <phoneticPr fontId="2" type="noConversion"/>
  </si>
  <si>
    <t>합계</t>
    <phoneticPr fontId="2" type="noConversion"/>
  </si>
  <si>
    <t>메탄 발생량 산정부분</t>
    <phoneticPr fontId="2" type="noConversion"/>
  </si>
  <si>
    <t>폐기물 조성비율</t>
    <phoneticPr fontId="2" type="noConversion"/>
  </si>
  <si>
    <r>
      <t>분해되는 유기탄소량의 성상별 합계
(∑DDOC</t>
    </r>
    <r>
      <rPr>
        <b/>
        <vertAlign val="subscript"/>
        <sz val="11"/>
        <color indexed="63"/>
        <rFont val="맑은 고딕"/>
        <family val="3"/>
        <charset val="129"/>
      </rPr>
      <t>m,decomp T</t>
    </r>
    <r>
      <rPr>
        <b/>
        <sz val="11"/>
        <color indexed="63"/>
        <rFont val="맑은 고딕"/>
        <family val="3"/>
        <charset val="129"/>
      </rPr>
      <t>)</t>
    </r>
    <phoneticPr fontId="2" type="noConversion"/>
  </si>
  <si>
    <t>폐기물 매립 총량 입력
(ton/yr)</t>
    <phoneticPr fontId="2" type="noConversion"/>
  </si>
  <si>
    <t>G</t>
    <phoneticPr fontId="9" type="noConversion"/>
  </si>
  <si>
    <t>H</t>
    <phoneticPr fontId="9" type="noConversion"/>
  </si>
  <si>
    <r>
      <t>I</t>
    </r>
    <r>
      <rPr>
        <b/>
        <sz val="12"/>
        <color indexed="8"/>
        <rFont val="맑은 고딕"/>
        <family val="3"/>
        <charset val="129"/>
      </rPr>
      <t/>
    </r>
    <phoneticPr fontId="9" type="noConversion"/>
  </si>
  <si>
    <t>J</t>
    <phoneticPr fontId="9" type="noConversion"/>
  </si>
  <si>
    <t>K</t>
    <phoneticPr fontId="9" type="noConversion"/>
  </si>
  <si>
    <r>
      <t>G</t>
    </r>
    <r>
      <rPr>
        <b/>
        <sz val="12"/>
        <color indexed="30"/>
        <rFont val="맑은 고딕"/>
        <family val="3"/>
        <charset val="129"/>
      </rPr>
      <t/>
    </r>
    <phoneticPr fontId="9" type="noConversion"/>
  </si>
  <si>
    <r>
      <t>H</t>
    </r>
    <r>
      <rPr>
        <b/>
        <sz val="12"/>
        <color indexed="30"/>
        <rFont val="맑은 고딕"/>
        <family val="3"/>
        <charset val="129"/>
      </rPr>
      <t/>
    </r>
    <phoneticPr fontId="9" type="noConversion"/>
  </si>
  <si>
    <r>
      <t>I</t>
    </r>
    <r>
      <rPr>
        <b/>
        <sz val="12"/>
        <color indexed="30"/>
        <rFont val="맑은 고딕"/>
        <family val="3"/>
        <charset val="129"/>
      </rPr>
      <t/>
    </r>
    <phoneticPr fontId="9" type="noConversion"/>
  </si>
  <si>
    <r>
      <t>J</t>
    </r>
    <r>
      <rPr>
        <b/>
        <sz val="12"/>
        <color indexed="30"/>
        <rFont val="맑은 고딕"/>
        <family val="3"/>
        <charset val="129"/>
      </rPr>
      <t/>
    </r>
    <phoneticPr fontId="9" type="noConversion"/>
  </si>
  <si>
    <t>CO₂
배출계수</t>
    <phoneticPr fontId="27" type="noConversion"/>
  </si>
  <si>
    <t>CH₄
배출계수</t>
    <phoneticPr fontId="27" type="noConversion"/>
  </si>
  <si>
    <t>N₂O
배출계수</t>
    <phoneticPr fontId="27" type="noConversion"/>
  </si>
  <si>
    <t>CH₄발생량 재산정
(tCH₄)</t>
    <phoneticPr fontId="2" type="noConversion"/>
  </si>
  <si>
    <t>온실가스 배출량
(tCO₂_eq/년)</t>
    <phoneticPr fontId="2" type="noConversion"/>
  </si>
  <si>
    <t>N₂O 배출계수
(gN₂O/kgWaste)</t>
    <phoneticPr fontId="2" type="noConversion"/>
  </si>
  <si>
    <t>CH₄ 배출계수
(gCH₄/kgWaste)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</si>
  <si>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</si>
  <si>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</si>
  <si>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</si>
  <si>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</si>
  <si>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r>
      <t>방류수 T-N
(T-N</t>
    </r>
    <r>
      <rPr>
        <vertAlign val="subscript"/>
        <sz val="11"/>
        <color indexed="8"/>
        <rFont val="맑은 고딕"/>
        <family val="3"/>
        <charset val="129"/>
      </rPr>
      <t>in</t>
    </r>
    <r>
      <rPr>
        <sz val="11"/>
        <color theme="1"/>
        <rFont val="맑은 고딕"/>
        <family val="3"/>
        <charset val="129"/>
        <scheme val="minor"/>
      </rPr>
      <t>, ㎎/ℓ)</t>
    </r>
    <phoneticPr fontId="2" type="noConversion"/>
  </si>
  <si>
    <r>
      <rPr>
        <sz val="11"/>
        <color indexed="30"/>
        <rFont val="맑은 고딕"/>
        <family val="3"/>
        <charset val="129"/>
      </rPr>
      <t xml:space="preserve">①회수량(B)/발생량(I) ≤ 0.75 </t>
    </r>
    <r>
      <rPr>
        <b/>
        <sz val="11"/>
        <color indexed="30"/>
        <rFont val="맑은 고딕"/>
        <family val="3"/>
        <charset val="129"/>
      </rPr>
      <t xml:space="preserve">
    ⇒ J</t>
    </r>
    <r>
      <rPr>
        <b/>
        <sz val="11"/>
        <rFont val="맑은 고딕"/>
        <family val="3"/>
        <charset val="129"/>
      </rPr>
      <t xml:space="preserve"> = I</t>
    </r>
    <r>
      <rPr>
        <b/>
        <sz val="11"/>
        <color indexed="30"/>
        <rFont val="맑은 고딕"/>
        <family val="3"/>
        <charset val="129"/>
      </rPr>
      <t xml:space="preserve">
</t>
    </r>
    <r>
      <rPr>
        <sz val="11"/>
        <color indexed="30"/>
        <rFont val="맑은 고딕"/>
        <family val="3"/>
        <charset val="129"/>
      </rPr>
      <t xml:space="preserve">②회수량(B)/발생량(I) &gt; 0.75 </t>
    </r>
    <r>
      <rPr>
        <b/>
        <sz val="11"/>
        <color indexed="30"/>
        <rFont val="맑은 고딕"/>
        <family val="3"/>
        <charset val="129"/>
      </rPr>
      <t xml:space="preserve">
    ⇒ J</t>
    </r>
    <r>
      <rPr>
        <b/>
        <sz val="11"/>
        <rFont val="맑은 고딕"/>
        <family val="3"/>
        <charset val="129"/>
      </rPr>
      <t xml:space="preserve"> = B*(1/0.75)</t>
    </r>
    <phoneticPr fontId="2" type="noConversion"/>
  </si>
  <si>
    <t>CH₄배출계수
(㎏CH₄/㎏BOD)</t>
    <phoneticPr fontId="2" type="noConversion"/>
  </si>
  <si>
    <t>N₂O배출계수
(㎏N₂O/㎏N)</t>
    <phoneticPr fontId="2" type="noConversion"/>
  </si>
  <si>
    <r>
      <t xml:space="preserve">F </t>
    </r>
    <r>
      <rPr>
        <b/>
        <sz val="12"/>
        <rFont val="맑은 고딕"/>
        <family val="3"/>
        <charset val="129"/>
      </rPr>
      <t>= (C-D)×A×E×(10^-6)</t>
    </r>
    <r>
      <rPr>
        <b/>
        <sz val="12"/>
        <color indexed="30"/>
        <rFont val="맑은 고딕"/>
        <family val="3"/>
        <charset val="129"/>
      </rPr>
      <t/>
    </r>
    <phoneticPr fontId="2" type="noConversion"/>
  </si>
  <si>
    <t>방류수COD
(㎎/L)</t>
    <phoneticPr fontId="2" type="noConversion"/>
  </si>
  <si>
    <t>배출계수</t>
    <phoneticPr fontId="9" type="noConversion"/>
  </si>
  <si>
    <r>
      <t xml:space="preserve">CH₄배출계수
</t>
    </r>
    <r>
      <rPr>
        <sz val="12"/>
        <color indexed="8"/>
        <rFont val="맑은 고딕"/>
        <family val="3"/>
        <charset val="129"/>
      </rPr>
      <t>(tCH₄/tCOD)</t>
    </r>
    <phoneticPr fontId="9" type="noConversion"/>
  </si>
  <si>
    <t>※입력부분의 글씨가 빨간색으로 되는 경우</t>
    <phoneticPr fontId="2" type="noConversion"/>
  </si>
  <si>
    <t>나무류</t>
  </si>
  <si>
    <t>종이류</t>
  </si>
  <si>
    <t>플라스틱류</t>
  </si>
  <si>
    <t>금속</t>
  </si>
  <si>
    <t>유리</t>
  </si>
  <si>
    <t>정원/공원폐기물</t>
  </si>
  <si>
    <t>기저귀</t>
  </si>
  <si>
    <t>기타(inert)</t>
  </si>
  <si>
    <t>혼합폐기물(bulk)</t>
  </si>
  <si>
    <t>벌채목 등</t>
    <phoneticPr fontId="2" type="noConversion"/>
  </si>
  <si>
    <t>폐목재</t>
  </si>
  <si>
    <t>제지</t>
  </si>
  <si>
    <t>석유제품</t>
  </si>
  <si>
    <t>고무</t>
  </si>
  <si>
    <t>건설폐기물</t>
  </si>
  <si>
    <t>하수슬러지</t>
  </si>
  <si>
    <t>폐수슬러지</t>
  </si>
  <si>
    <t>병원성폐기물</t>
  </si>
  <si>
    <t>폐피혁</t>
  </si>
  <si>
    <t>기타</t>
  </si>
  <si>
    <t>폐합성고무(천연고무가 아닌)</t>
  </si>
  <si>
    <r>
      <t>F</t>
    </r>
    <r>
      <rPr>
        <sz val="9"/>
        <color indexed="8"/>
        <rFont val="맑은 고딕"/>
        <family val="3"/>
        <charset val="129"/>
      </rPr>
      <t>ood,beverages,tobacco</t>
    </r>
    <phoneticPr fontId="2" type="noConversion"/>
  </si>
  <si>
    <r>
      <t>T</t>
    </r>
    <r>
      <rPr>
        <sz val="9"/>
        <color indexed="8"/>
        <rFont val="맑은 고딕"/>
        <family val="3"/>
        <charset val="129"/>
      </rPr>
      <t>extile</t>
    </r>
    <phoneticPr fontId="2" type="noConversion"/>
  </si>
  <si>
    <r>
      <t>P</t>
    </r>
    <r>
      <rPr>
        <sz val="9"/>
        <color indexed="8"/>
        <rFont val="맑은 고딕"/>
        <family val="3"/>
        <charset val="129"/>
      </rPr>
      <t>etroleum products, solvents, Plastic</t>
    </r>
    <phoneticPr fontId="2" type="noConversion"/>
  </si>
  <si>
    <r>
      <t>R</t>
    </r>
    <r>
      <rPr>
        <sz val="9"/>
        <color indexed="8"/>
        <rFont val="맑은 고딕"/>
        <family val="3"/>
        <charset val="129"/>
      </rPr>
      <t>ubber</t>
    </r>
    <phoneticPr fontId="2" type="noConversion"/>
  </si>
  <si>
    <r>
      <t>C</t>
    </r>
    <r>
      <rPr>
        <sz val="9"/>
        <color indexed="8"/>
        <rFont val="맑은 고딕"/>
        <family val="3"/>
        <charset val="129"/>
      </rPr>
      <t>onstruction, demolition</t>
    </r>
    <phoneticPr fontId="2" type="noConversion"/>
  </si>
  <si>
    <t>Pulp, paper</t>
    <phoneticPr fontId="2" type="noConversion"/>
  </si>
  <si>
    <t>Wood, Wood product</t>
    <phoneticPr fontId="2" type="noConversion"/>
  </si>
  <si>
    <r>
      <t>D</t>
    </r>
    <r>
      <rPr>
        <sz val="9"/>
        <color indexed="8"/>
        <rFont val="맑은 고딕"/>
        <family val="3"/>
        <charset val="129"/>
      </rPr>
      <t>omestic sludge</t>
    </r>
    <phoneticPr fontId="2" type="noConversion"/>
  </si>
  <si>
    <r>
      <t>I</t>
    </r>
    <r>
      <rPr>
        <sz val="9"/>
        <color indexed="8"/>
        <rFont val="맑은 고딕"/>
        <family val="3"/>
        <charset val="129"/>
      </rPr>
      <t>ndustrial sludge</t>
    </r>
    <phoneticPr fontId="2" type="noConversion"/>
  </si>
  <si>
    <r>
      <t>C</t>
    </r>
    <r>
      <rPr>
        <sz val="9"/>
        <color indexed="8"/>
        <rFont val="맑은 고딕"/>
        <family val="3"/>
        <charset val="129"/>
      </rPr>
      <t>linical waste</t>
    </r>
    <phoneticPr fontId="2" type="noConversion"/>
  </si>
  <si>
    <t>Leather from MSW</t>
    <phoneticPr fontId="2" type="noConversion"/>
  </si>
  <si>
    <r>
      <t>O</t>
    </r>
    <r>
      <rPr>
        <sz val="9"/>
        <color indexed="8"/>
        <rFont val="맑은 고딕"/>
        <family val="3"/>
        <charset val="129"/>
      </rPr>
      <t>ther</t>
    </r>
    <phoneticPr fontId="2" type="noConversion"/>
  </si>
  <si>
    <r>
      <t>bulk waste</t>
    </r>
    <r>
      <rPr>
        <sz val="9"/>
        <color indexed="8"/>
        <rFont val="맑은 고딕"/>
        <family val="3"/>
        <charset val="129"/>
      </rPr>
      <t xml:space="preserve"> from Waste Model</t>
    </r>
    <phoneticPr fontId="2" type="noConversion"/>
  </si>
  <si>
    <r>
      <t>F</t>
    </r>
    <r>
      <rPr>
        <sz val="9"/>
        <color indexed="8"/>
        <rFont val="맑은 고딕"/>
        <family val="3"/>
        <charset val="129"/>
      </rPr>
      <t>ood waste</t>
    </r>
    <phoneticPr fontId="2" type="noConversion"/>
  </si>
  <si>
    <r>
      <t>T</t>
    </r>
    <r>
      <rPr>
        <sz val="9"/>
        <color indexed="8"/>
        <rFont val="맑은 고딕"/>
        <family val="3"/>
        <charset val="129"/>
      </rPr>
      <t>extiles</t>
    </r>
    <phoneticPr fontId="2" type="noConversion"/>
  </si>
  <si>
    <r>
      <t>W</t>
    </r>
    <r>
      <rPr>
        <sz val="9"/>
        <color indexed="8"/>
        <rFont val="맑은 고딕"/>
        <family val="3"/>
        <charset val="129"/>
      </rPr>
      <t>ood</t>
    </r>
    <phoneticPr fontId="2" type="noConversion"/>
  </si>
  <si>
    <r>
      <t>P</t>
    </r>
    <r>
      <rPr>
        <sz val="9"/>
        <color indexed="8"/>
        <rFont val="맑은 고딕"/>
        <family val="3"/>
        <charset val="129"/>
      </rPr>
      <t>aper,cardboard</t>
    </r>
    <phoneticPr fontId="2" type="noConversion"/>
  </si>
  <si>
    <r>
      <t>R</t>
    </r>
    <r>
      <rPr>
        <sz val="9"/>
        <color indexed="8"/>
        <rFont val="맑은 고딕"/>
        <family val="3"/>
        <charset val="129"/>
      </rPr>
      <t>ubber and leather</t>
    </r>
    <phoneticPr fontId="2" type="noConversion"/>
  </si>
  <si>
    <r>
      <t>P</t>
    </r>
    <r>
      <rPr>
        <sz val="9"/>
        <color indexed="8"/>
        <rFont val="맑은 고딕"/>
        <family val="3"/>
        <charset val="129"/>
      </rPr>
      <t>lastics</t>
    </r>
    <phoneticPr fontId="2" type="noConversion"/>
  </si>
  <si>
    <r>
      <t>M</t>
    </r>
    <r>
      <rPr>
        <sz val="9"/>
        <color indexed="8"/>
        <rFont val="맑은 고딕"/>
        <family val="3"/>
        <charset val="129"/>
      </rPr>
      <t>etal</t>
    </r>
    <phoneticPr fontId="2" type="noConversion"/>
  </si>
  <si>
    <r>
      <t>G</t>
    </r>
    <r>
      <rPr>
        <sz val="9"/>
        <color indexed="8"/>
        <rFont val="맑은 고딕"/>
        <family val="3"/>
        <charset val="129"/>
      </rPr>
      <t>lass</t>
    </r>
    <phoneticPr fontId="2" type="noConversion"/>
  </si>
  <si>
    <r>
      <t>G</t>
    </r>
    <r>
      <rPr>
        <sz val="9"/>
        <color indexed="8"/>
        <rFont val="맑은 고딕"/>
        <family val="3"/>
        <charset val="129"/>
      </rPr>
      <t>arden and Park waste</t>
    </r>
    <phoneticPr fontId="2" type="noConversion"/>
  </si>
  <si>
    <r>
      <t>N</t>
    </r>
    <r>
      <rPr>
        <sz val="9"/>
        <color indexed="8"/>
        <rFont val="맑은 고딕"/>
        <family val="3"/>
        <charset val="129"/>
      </rPr>
      <t>appies</t>
    </r>
    <phoneticPr fontId="2" type="noConversion"/>
  </si>
  <si>
    <r>
      <t>O</t>
    </r>
    <r>
      <rPr>
        <sz val="9"/>
        <color indexed="8"/>
        <rFont val="맑은 고딕"/>
        <family val="3"/>
        <charset val="129"/>
      </rPr>
      <t>ther, inert</t>
    </r>
    <phoneticPr fontId="2" type="noConversion"/>
  </si>
  <si>
    <r>
      <t>합성고무, 폐피혁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</si>
  <si>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제지, 폐지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</si>
  <si>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건설 및 파쇄 잔재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</si>
  <si>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하수오니, 정수처리오니, 유기성하수오니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</si>
  <si>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폐수처리오니, 공정오니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</si>
  <si>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감염성폐기물, 동식물성 폐잔재물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</si>
  <si>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피혁, 폐피혁</t>
    </r>
    <r>
      <rPr>
        <sz val="9"/>
        <color indexed="8"/>
        <rFont val="맑은 고딕"/>
        <family val="3"/>
        <charset val="129"/>
      </rPr>
      <t xml:space="preserve"> 등</t>
    </r>
    <phoneticPr fontId="2" type="noConversion"/>
  </si>
  <si>
    <r>
      <t>목재(최종 목재</t>
    </r>
    <r>
      <rPr>
        <sz val="9"/>
        <color indexed="8"/>
        <rFont val="맑은 고딕"/>
        <family val="3"/>
        <charset val="129"/>
      </rPr>
      <t xml:space="preserve"> </t>
    </r>
    <r>
      <rPr>
        <sz val="9"/>
        <color indexed="8"/>
        <rFont val="맑은 고딕"/>
        <family val="3"/>
        <charset val="129"/>
      </rPr>
      <t>제품으로 사용된), 폐목재</t>
    </r>
    <phoneticPr fontId="2" type="noConversion"/>
  </si>
  <si>
    <t>목재류(최종 목제제품으로 사용된)</t>
    <phoneticPr fontId="2" type="noConversion"/>
  </si>
  <si>
    <t>음식물, 채소류 등</t>
    <phoneticPr fontId="2" type="noConversion"/>
  </si>
  <si>
    <t>섬유, 폐섬유 등</t>
    <phoneticPr fontId="2" type="noConversion"/>
  </si>
  <si>
    <t>종이, 판지 등</t>
    <phoneticPr fontId="2" type="noConversion"/>
  </si>
  <si>
    <t xml:space="preserve">플라스틱, 폐합성수지 등 </t>
    <phoneticPr fontId="2" type="noConversion"/>
  </si>
  <si>
    <t>음식, 음료, 담배 등</t>
    <phoneticPr fontId="2" type="noConversion"/>
  </si>
  <si>
    <t>섬유, 폐섬유 등</t>
    <phoneticPr fontId="2" type="noConversion"/>
  </si>
  <si>
    <t>소각로유형</t>
    <phoneticPr fontId="2" type="noConversion"/>
  </si>
  <si>
    <t>폐기물형태</t>
    <phoneticPr fontId="2" type="noConversion"/>
  </si>
  <si>
    <t>⇒ 폐기물 물리적 조성 결정</t>
    <phoneticPr fontId="2" type="noConversion"/>
  </si>
  <si>
    <t>⇒ CH₄ 배출계수 결정</t>
    <phoneticPr fontId="2" type="noConversion"/>
  </si>
  <si>
    <t>⇒ N₂O 배출계수 결정</t>
    <phoneticPr fontId="2" type="noConversion"/>
  </si>
  <si>
    <t>혼합폐기물(bulk)</t>
    <phoneticPr fontId="2" type="noConversion"/>
  </si>
  <si>
    <t>bulk waste from Waste Model</t>
    <phoneticPr fontId="2" type="noConversion"/>
  </si>
  <si>
    <t>아래쪽은 입력하지마세요.</t>
    <phoneticPr fontId="2" type="noConversion"/>
  </si>
  <si>
    <r>
      <t>분해가능 유기탄소 누적량의 
성상별 합계(∑DDOC</t>
    </r>
    <r>
      <rPr>
        <b/>
        <vertAlign val="subscript"/>
        <sz val="11"/>
        <color indexed="63"/>
        <rFont val="맑은 고딕"/>
        <family val="3"/>
        <charset val="129"/>
      </rPr>
      <t>ma</t>
    </r>
    <r>
      <rPr>
        <b/>
        <sz val="11"/>
        <color indexed="63"/>
        <rFont val="맑은 고딕"/>
        <family val="3"/>
        <charset val="129"/>
      </rPr>
      <t>)</t>
    </r>
    <phoneticPr fontId="2" type="noConversion"/>
  </si>
  <si>
    <t>분해되는 유기탄소량으로 부터 계산에의해 산정된 최대 메탄 발생 가능량</t>
    <phoneticPr fontId="2" type="noConversion"/>
  </si>
  <si>
    <t>(tCH₄/yr)</t>
    <phoneticPr fontId="2" type="noConversion"/>
  </si>
  <si>
    <t>B</t>
    <phoneticPr fontId="2" type="noConversion"/>
  </si>
  <si>
    <r>
      <rPr>
        <sz val="12"/>
        <color indexed="8"/>
        <rFont val="맑은 고딕"/>
        <family val="3"/>
        <charset val="129"/>
      </rPr>
      <t xml:space="preserve"> ① 회수량/발생량 </t>
    </r>
    <r>
      <rPr>
        <sz val="12"/>
        <color indexed="8"/>
        <rFont val="맑은 고딕"/>
        <family val="3"/>
        <charset val="129"/>
      </rPr>
      <t>≤</t>
    </r>
    <r>
      <rPr>
        <sz val="12"/>
        <color indexed="8"/>
        <rFont val="맑은 고딕"/>
        <family val="3"/>
        <charset val="129"/>
      </rPr>
      <t xml:space="preserve"> 0.75
   ⇒</t>
    </r>
    <r>
      <rPr>
        <b/>
        <sz val="12"/>
        <color indexed="30"/>
        <rFont val="맑은 고딕"/>
        <family val="3"/>
        <charset val="129"/>
      </rPr>
      <t xml:space="preserve"> D=CH₄발생량(C)</t>
    </r>
    <r>
      <rPr>
        <sz val="12"/>
        <color indexed="8"/>
        <rFont val="맑은 고딕"/>
        <family val="3"/>
        <charset val="129"/>
      </rPr>
      <t xml:space="preserve">
 </t>
    </r>
    <r>
      <rPr>
        <sz val="12"/>
        <color indexed="8"/>
        <rFont val="맑은 고딕"/>
        <family val="3"/>
        <charset val="129"/>
      </rPr>
      <t>② 회수량/발생량 &gt; 0.75
   ⇒</t>
    </r>
    <r>
      <rPr>
        <b/>
        <sz val="12"/>
        <color indexed="30"/>
        <rFont val="맑은 고딕"/>
        <family val="3"/>
        <charset val="129"/>
      </rPr>
      <t xml:space="preserve"> D=회수량(B) × (1/0.75)</t>
    </r>
    <phoneticPr fontId="2" type="noConversion"/>
  </si>
  <si>
    <t>매립총량
(ton/yr)</t>
    <phoneticPr fontId="2" type="noConversion"/>
  </si>
  <si>
    <t>조성별 매립량의 합계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</si>
  <si>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</si>
  <si>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</si>
  <si>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</si>
  <si>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</si>
  <si>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</si>
  <si>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</si>
  <si>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r>
      <rPr>
        <b/>
        <sz val="14"/>
        <color indexed="30"/>
        <rFont val="맑은 고딕"/>
        <family val="3"/>
        <charset val="129"/>
      </rPr>
      <t xml:space="preserve">당해년도에 신규유입된 분해가능유기탄소량
</t>
    </r>
    <r>
      <rPr>
        <b/>
        <sz val="14"/>
        <color indexed="8"/>
        <rFont val="맑은 고딕"/>
        <family val="3"/>
        <charset val="129"/>
      </rPr>
      <t>=신규매립량에 포함된 유기탄소함량(DDOC</t>
    </r>
    <r>
      <rPr>
        <b/>
        <vertAlign val="subscript"/>
        <sz val="14"/>
        <color indexed="8"/>
        <rFont val="맑은 고딕"/>
        <family val="3"/>
        <charset val="129"/>
      </rPr>
      <t>mdT</t>
    </r>
    <r>
      <rPr>
        <b/>
        <sz val="14"/>
        <color indexed="8"/>
        <rFont val="맑은 고딕"/>
        <family val="3"/>
        <charset val="129"/>
      </rPr>
      <t>=W</t>
    </r>
    <r>
      <rPr>
        <b/>
        <vertAlign val="subscript"/>
        <sz val="14"/>
        <color indexed="8"/>
        <rFont val="맑은 고딕"/>
        <family val="3"/>
        <charset val="129"/>
      </rPr>
      <t>T</t>
    </r>
    <r>
      <rPr>
        <b/>
        <sz val="14"/>
        <color indexed="8"/>
        <rFont val="맑은 고딕"/>
        <family val="3"/>
        <charset val="129"/>
      </rPr>
      <t xml:space="preserve"> ×DOC × DOC</t>
    </r>
    <r>
      <rPr>
        <b/>
        <vertAlign val="subscript"/>
        <sz val="14"/>
        <color indexed="8"/>
        <rFont val="맑은 고딕"/>
        <family val="3"/>
        <charset val="129"/>
      </rPr>
      <t>f</t>
    </r>
    <r>
      <rPr>
        <b/>
        <sz val="14"/>
        <color indexed="8"/>
        <rFont val="맑은 고딕"/>
        <family val="3"/>
        <charset val="129"/>
      </rPr>
      <t xml:space="preserve"> × MCF)</t>
    </r>
    <phoneticPr fontId="2" type="noConversion"/>
  </si>
  <si>
    <r>
      <rPr>
        <b/>
        <sz val="14"/>
        <color indexed="30"/>
        <rFont val="맑은 고딕"/>
        <family val="3"/>
        <charset val="129"/>
      </rPr>
      <t xml:space="preserve"> 폐기물조성별 당해년도말의 분해가능유기탄소 누적량(다음 년도에 분해되어 메탄을 발생시키는 유기탄소량)</t>
    </r>
    <r>
      <rPr>
        <b/>
        <sz val="14"/>
        <color indexed="8"/>
        <rFont val="맑은 고딕"/>
        <family val="3"/>
        <charset val="129"/>
      </rPr>
      <t xml:space="preserve">
= 신규유입량 + 당해년도 분해 후 잔존량 (DDOC</t>
    </r>
    <r>
      <rPr>
        <b/>
        <vertAlign val="subscript"/>
        <sz val="14"/>
        <color indexed="8"/>
        <rFont val="맑은 고딕"/>
        <family val="3"/>
        <charset val="129"/>
      </rPr>
      <t>maT</t>
    </r>
    <r>
      <rPr>
        <b/>
        <sz val="14"/>
        <color indexed="8"/>
        <rFont val="맑은 고딕"/>
        <family val="3"/>
        <charset val="129"/>
      </rPr>
      <t xml:space="preserve"> = DDOC</t>
    </r>
    <r>
      <rPr>
        <b/>
        <vertAlign val="subscript"/>
        <sz val="14"/>
        <color indexed="8"/>
        <rFont val="맑은 고딕"/>
        <family val="3"/>
        <charset val="129"/>
      </rPr>
      <t>mdT</t>
    </r>
    <r>
      <rPr>
        <b/>
        <sz val="14"/>
        <color indexed="8"/>
        <rFont val="맑은 고딕"/>
        <family val="3"/>
        <charset val="129"/>
      </rPr>
      <t xml:space="preserve"> + (DDOC</t>
    </r>
    <r>
      <rPr>
        <b/>
        <vertAlign val="subscript"/>
        <sz val="14"/>
        <color indexed="8"/>
        <rFont val="맑은 고딕"/>
        <family val="3"/>
        <charset val="129"/>
      </rPr>
      <t>ma T-1</t>
    </r>
    <r>
      <rPr>
        <b/>
        <sz val="14"/>
        <color indexed="8"/>
        <rFont val="맑은 고딕"/>
        <family val="3"/>
        <charset val="129"/>
      </rPr>
      <t xml:space="preserve"> × e</t>
    </r>
    <r>
      <rPr>
        <b/>
        <vertAlign val="superscript"/>
        <sz val="14"/>
        <color indexed="8"/>
        <rFont val="맑은 고딕"/>
        <family val="3"/>
        <charset val="129"/>
      </rPr>
      <t>-k)</t>
    </r>
    <phoneticPr fontId="2" type="noConversion"/>
  </si>
  <si>
    <r>
      <t>G = A ×</t>
    </r>
    <r>
      <rPr>
        <b/>
        <i/>
        <sz val="14"/>
        <rFont val="맑은 고딕"/>
        <family val="3"/>
        <charset val="129"/>
      </rPr>
      <t xml:space="preserve"> DOC × DOC</t>
    </r>
    <r>
      <rPr>
        <b/>
        <i/>
        <vertAlign val="subscript"/>
        <sz val="14"/>
        <rFont val="맑은 고딕"/>
        <family val="3"/>
        <charset val="129"/>
      </rPr>
      <t>f</t>
    </r>
    <r>
      <rPr>
        <b/>
        <i/>
        <sz val="14"/>
        <rFont val="맑은 고딕"/>
        <family val="3"/>
        <charset val="129"/>
      </rPr>
      <t xml:space="preserve"> × MCF</t>
    </r>
    <phoneticPr fontId="2" type="noConversion"/>
  </si>
  <si>
    <t>1) 활동자료 입력(하수처리량, 메탄회수량, 유입수 농도, 방류수 농도)</t>
    <phoneticPr fontId="2" type="noConversion"/>
  </si>
  <si>
    <t xml:space="preserve">  처리시설이 여럿인 경우 시설별로 활동자료를 입력함.</t>
    <phoneticPr fontId="2" type="noConversion"/>
  </si>
  <si>
    <t>① 폐수처리 유형을 선택함(슬러지 혐기성반응조, 혐기성 반응조, 라군 등)</t>
    <phoneticPr fontId="2" type="noConversion"/>
  </si>
  <si>
    <t>② 활동자료 입력(폐수처리량, 메탄회수량, 유입수 농도, 방류수 농도). 처리시설이 여럿인 경우 시설별로 활동자료를 입력함.</t>
    <phoneticPr fontId="2" type="noConversion"/>
  </si>
  <si>
    <t>1) 폐기물 처리량 기준 선택(습량, 건량)</t>
    <phoneticPr fontId="9" type="noConversion"/>
  </si>
  <si>
    <r>
      <t xml:space="preserve">3) 사업장 고유 배출계수 적용 시 </t>
    </r>
    <r>
      <rPr>
        <b/>
        <i/>
        <sz val="14"/>
        <color indexed="13"/>
        <rFont val="맑은 고딕"/>
        <family val="3"/>
        <charset val="129"/>
      </rPr>
      <t>노란색 셀</t>
    </r>
    <r>
      <rPr>
        <b/>
        <sz val="14"/>
        <color indexed="13"/>
        <rFont val="맑은 고딕"/>
        <family val="3"/>
        <charset val="129"/>
      </rPr>
      <t xml:space="preserve"> 에 배출계수 입력</t>
    </r>
    <phoneticPr fontId="9" type="noConversion"/>
  </si>
  <si>
    <t xml:space="preserve">1) 배출량 산정년도, 매립 시작 및 매립종료(매립이 완료된 매립지의 경우) 년도를 입력 </t>
    <phoneticPr fontId="2" type="noConversion"/>
  </si>
  <si>
    <t>2) 폐기물유형(생활폐기물,사업장폐기물), 매립장 유형(관리형, 비관리형 등) 선택</t>
    <phoneticPr fontId="2" type="noConversion"/>
  </si>
  <si>
    <t>3) 각 년도의 폐기물 조성별 매립량 및 전체 매립량 입력</t>
    <phoneticPr fontId="2" type="noConversion"/>
  </si>
  <si>
    <t xml:space="preserve">    - 매립조성자료 확보가 불가한 년도는 전체매립량을 혼합폐기물(bulk)로 입력 </t>
    <phoneticPr fontId="2" type="noConversion"/>
  </si>
  <si>
    <t>2) 에너지 사용원 별 이동연소/고정연소 선택 및 사용 연료/에너지 종류 선택</t>
    <phoneticPr fontId="9" type="noConversion"/>
  </si>
  <si>
    <t>3) 에너지 사용량 입력(에너지 종류별 사용량 단위 확인 후 사용량 입력)</t>
    <phoneticPr fontId="9" type="noConversion"/>
  </si>
  <si>
    <t xml:space="preserve">  (에너지 사용원은 배출량 산정 경계 구분을 위해 필요시 입력)</t>
    <phoneticPr fontId="9" type="noConversion"/>
  </si>
  <si>
    <t>입력방법</t>
    <phoneticPr fontId="18" type="noConversion"/>
  </si>
  <si>
    <t>배출량</t>
    <phoneticPr fontId="18" type="noConversion"/>
  </si>
  <si>
    <t>배출계수</t>
    <phoneticPr fontId="18" type="noConversion"/>
  </si>
  <si>
    <t>선택</t>
    <phoneticPr fontId="18" type="noConversion"/>
  </si>
  <si>
    <t>직접입력</t>
    <phoneticPr fontId="18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</si>
  <si>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보라색</t>
    </r>
    <r>
      <rPr>
        <b/>
        <i/>
        <sz val="11"/>
        <color indexed="8"/>
        <rFont val="맑은 고딕"/>
        <family val="3"/>
        <charset val="129"/>
      </rPr>
      <t xml:space="preserve"> 셀</t>
    </r>
    <r>
      <rPr>
        <sz val="11"/>
        <color theme="1"/>
        <rFont val="맑은 고딕"/>
        <family val="3"/>
        <charset val="129"/>
        <scheme val="minor"/>
      </rPr>
      <t xml:space="preserve">은 각 시트별로 배출량 산정을 위해 입력/선택해야 하는 순서를 설명한 부분 </t>
    </r>
    <phoneticPr fontId="18" type="noConversion"/>
  </si>
  <si>
    <t>(배출량및소비량)</t>
    <phoneticPr fontId="18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</si>
  <si>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연한</t>
    </r>
    <r>
      <rPr>
        <b/>
        <i/>
        <sz val="11"/>
        <color indexed="8"/>
        <rFont val="맑은 고딕"/>
        <family val="3"/>
        <charset val="129"/>
      </rPr>
      <t>녹색 셀</t>
    </r>
    <r>
      <rPr>
        <sz val="11"/>
        <color theme="1"/>
        <rFont val="맑은 고딕"/>
        <family val="3"/>
        <charset val="129"/>
        <scheme val="minor"/>
      </rPr>
      <t>은 입력된 활동자료와 배출계수를 이용하여 각각의 온실가스 배출량과 에너지 소비량이 산정된 부분</t>
    </r>
    <phoneticPr fontId="18" type="noConversion"/>
  </si>
  <si>
    <t>온실가스배출량
(tCO₂_eq/yr)</t>
    <phoneticPr fontId="2" type="noConversion"/>
  </si>
  <si>
    <r>
      <t>H</t>
    </r>
    <r>
      <rPr>
        <b/>
        <vertAlign val="subscript"/>
        <sz val="14"/>
        <color indexed="30"/>
        <rFont val="맑은 고딕"/>
        <family val="3"/>
        <charset val="129"/>
      </rPr>
      <t>금년</t>
    </r>
    <r>
      <rPr>
        <b/>
        <sz val="14"/>
        <color indexed="30"/>
        <rFont val="맑은 고딕"/>
        <family val="3"/>
        <charset val="129"/>
      </rPr>
      <t xml:space="preserve"> = G +</t>
    </r>
    <r>
      <rPr>
        <b/>
        <sz val="14"/>
        <rFont val="맑은 고딕"/>
        <family val="3"/>
        <charset val="129"/>
      </rPr>
      <t xml:space="preserve"> </t>
    </r>
    <r>
      <rPr>
        <b/>
        <sz val="14"/>
        <color indexed="30"/>
        <rFont val="맑은 고딕"/>
        <family val="3"/>
        <charset val="129"/>
      </rPr>
      <t>H</t>
    </r>
    <r>
      <rPr>
        <b/>
        <vertAlign val="subscript"/>
        <sz val="14"/>
        <color indexed="30"/>
        <rFont val="맑은 고딕"/>
        <family val="3"/>
        <charset val="129"/>
      </rPr>
      <t>전년</t>
    </r>
    <r>
      <rPr>
        <b/>
        <sz val="14"/>
        <rFont val="맑은 고딕"/>
        <family val="3"/>
        <charset val="129"/>
      </rPr>
      <t xml:space="preserve"> × e</t>
    </r>
    <r>
      <rPr>
        <b/>
        <vertAlign val="superscript"/>
        <sz val="14"/>
        <rFont val="맑은 고딕"/>
        <family val="3"/>
        <charset val="129"/>
      </rPr>
      <t>-k</t>
    </r>
    <r>
      <rPr>
        <b/>
        <sz val="14"/>
        <rFont val="맑은 고딕"/>
        <family val="3"/>
        <charset val="129"/>
      </rPr>
      <t/>
    </r>
    <phoneticPr fontId="2" type="noConversion"/>
  </si>
  <si>
    <r>
      <t>I</t>
    </r>
    <r>
      <rPr>
        <b/>
        <vertAlign val="subscript"/>
        <sz val="14"/>
        <color indexed="30"/>
        <rFont val="맑은 고딕"/>
        <family val="3"/>
        <charset val="129"/>
      </rPr>
      <t>금년</t>
    </r>
    <r>
      <rPr>
        <b/>
        <sz val="14"/>
        <color indexed="30"/>
        <rFont val="맑은 고딕"/>
        <family val="3"/>
        <charset val="129"/>
      </rPr>
      <t xml:space="preserve"> = </t>
    </r>
    <r>
      <rPr>
        <b/>
        <sz val="14"/>
        <rFont val="맑은 고딕"/>
        <family val="3"/>
        <charset val="129"/>
      </rPr>
      <t xml:space="preserve"> </t>
    </r>
    <r>
      <rPr>
        <b/>
        <sz val="14"/>
        <color indexed="30"/>
        <rFont val="맑은 고딕"/>
        <family val="3"/>
        <charset val="129"/>
      </rPr>
      <t>H</t>
    </r>
    <r>
      <rPr>
        <b/>
        <vertAlign val="subscript"/>
        <sz val="14"/>
        <color indexed="30"/>
        <rFont val="맑은 고딕"/>
        <family val="3"/>
        <charset val="129"/>
      </rPr>
      <t>전년</t>
    </r>
    <r>
      <rPr>
        <b/>
        <sz val="14"/>
        <rFont val="맑은 고딕"/>
        <family val="3"/>
        <charset val="129"/>
      </rPr>
      <t xml:space="preserve"> </t>
    </r>
    <r>
      <rPr>
        <b/>
        <i/>
        <sz val="14"/>
        <rFont val="맑은 고딕"/>
        <family val="3"/>
        <charset val="129"/>
      </rPr>
      <t>× (1 - e</t>
    </r>
    <r>
      <rPr>
        <b/>
        <i/>
        <vertAlign val="superscript"/>
        <sz val="14"/>
        <rFont val="맑은 고딕"/>
        <family val="3"/>
        <charset val="129"/>
      </rPr>
      <t>-k</t>
    </r>
    <r>
      <rPr>
        <b/>
        <i/>
        <sz val="14"/>
        <rFont val="맑은 고딕"/>
        <family val="3"/>
        <charset val="129"/>
      </rPr>
      <t>)</t>
    </r>
    <phoneticPr fontId="2" type="noConversion"/>
  </si>
  <si>
    <r>
      <rPr>
        <b/>
        <sz val="14"/>
        <color indexed="30"/>
        <rFont val="맑은 고딕"/>
        <family val="3"/>
        <charset val="129"/>
      </rPr>
      <t>K</t>
    </r>
    <r>
      <rPr>
        <b/>
        <sz val="14"/>
        <color indexed="8"/>
        <rFont val="맑은 고딕"/>
        <family val="3"/>
        <charset val="129"/>
      </rPr>
      <t xml:space="preserve"> = ∑ </t>
    </r>
    <r>
      <rPr>
        <b/>
        <sz val="14"/>
        <color indexed="30"/>
        <rFont val="맑은 고딕"/>
        <family val="3"/>
        <charset val="129"/>
      </rPr>
      <t>I</t>
    </r>
    <r>
      <rPr>
        <b/>
        <vertAlign val="subscript"/>
        <sz val="14"/>
        <color indexed="30"/>
        <rFont val="맑은 고딕"/>
        <family val="3"/>
        <charset val="129"/>
      </rPr>
      <t>금년</t>
    </r>
    <phoneticPr fontId="2" type="noConversion"/>
  </si>
  <si>
    <r>
      <rPr>
        <b/>
        <sz val="14"/>
        <color indexed="30"/>
        <rFont val="맑은 고딕"/>
        <family val="3"/>
        <charset val="129"/>
      </rPr>
      <t>J</t>
    </r>
    <r>
      <rPr>
        <b/>
        <sz val="14"/>
        <color indexed="8"/>
        <rFont val="맑은 고딕"/>
        <family val="3"/>
        <charset val="129"/>
      </rPr>
      <t xml:space="preserve"> = ∑ </t>
    </r>
    <r>
      <rPr>
        <b/>
        <sz val="14"/>
        <color indexed="30"/>
        <rFont val="맑은 고딕"/>
        <family val="3"/>
        <charset val="129"/>
      </rPr>
      <t>H</t>
    </r>
    <r>
      <rPr>
        <b/>
        <vertAlign val="subscript"/>
        <sz val="14"/>
        <color indexed="30"/>
        <rFont val="맑은 고딕"/>
        <family val="3"/>
        <charset val="129"/>
      </rPr>
      <t>금년</t>
    </r>
    <phoneticPr fontId="2" type="noConversion"/>
  </si>
  <si>
    <t>복토 유형</t>
    <phoneticPr fontId="2" type="noConversion"/>
  </si>
  <si>
    <t>유리 등의 불연물질</t>
    <phoneticPr fontId="2" type="noConversion"/>
  </si>
  <si>
    <t>금속 등의 불연물질</t>
    <phoneticPr fontId="2" type="noConversion"/>
  </si>
  <si>
    <t>종이류로 포함되지 않는 기저귀 등</t>
    <phoneticPr fontId="2" type="noConversion"/>
  </si>
  <si>
    <t>토양,퇴비 등으로 복토</t>
    <phoneticPr fontId="2" type="noConversion"/>
  </si>
  <si>
    <t xml:space="preserve">기타(비 통기성 재질, 미 분류된) </t>
    <phoneticPr fontId="2" type="noConversion"/>
  </si>
  <si>
    <t>생활폐기물</t>
    <phoneticPr fontId="2" type="noConversion"/>
  </si>
  <si>
    <t>사업장폐기물</t>
    <phoneticPr fontId="2" type="noConversion"/>
  </si>
  <si>
    <t>관리형-혐기성</t>
    <phoneticPr fontId="2" type="noConversion"/>
  </si>
  <si>
    <t>관리형-준호기성</t>
    <phoneticPr fontId="2" type="noConversion"/>
  </si>
  <si>
    <t>비관리형-5m이상</t>
    <phoneticPr fontId="2" type="noConversion"/>
  </si>
  <si>
    <t>비관리형-5m미만</t>
    <phoneticPr fontId="2" type="noConversion"/>
  </si>
  <si>
    <t>기타(미분류)</t>
    <phoneticPr fontId="2" type="noConversion"/>
  </si>
  <si>
    <t>사업장폐기물(슬러지제외)</t>
    <phoneticPr fontId="2" type="noConversion"/>
  </si>
  <si>
    <t>사업장폐기물(슬러지)</t>
    <phoneticPr fontId="2" type="noConversion"/>
  </si>
  <si>
    <t>건설폐기물</t>
    <phoneticPr fontId="2" type="noConversion"/>
  </si>
  <si>
    <t>지정폐기물(슬러지제외)</t>
    <phoneticPr fontId="2" type="noConversion"/>
  </si>
  <si>
    <t>지정폐기물(슬러지)</t>
    <phoneticPr fontId="2" type="noConversion"/>
  </si>
  <si>
    <t>연속식 - 스토커</t>
    <phoneticPr fontId="2" type="noConversion"/>
  </si>
  <si>
    <t>연속식 - 유동상</t>
    <phoneticPr fontId="2" type="noConversion"/>
  </si>
  <si>
    <t>준연속식 - 스토커</t>
    <phoneticPr fontId="2" type="noConversion"/>
  </si>
  <si>
    <t>준연속식 - 유동상</t>
    <phoneticPr fontId="2" type="noConversion"/>
  </si>
  <si>
    <t>배치형 - 스토커</t>
    <phoneticPr fontId="2" type="noConversion"/>
  </si>
  <si>
    <t>배치형 - 유동상</t>
    <phoneticPr fontId="2" type="noConversion"/>
  </si>
  <si>
    <t>건량</t>
    <phoneticPr fontId="2" type="noConversion"/>
  </si>
  <si>
    <t>습량</t>
    <phoneticPr fontId="2" type="noConversion"/>
  </si>
  <si>
    <t>슬러지의 혐기성반응조</t>
    <phoneticPr fontId="2" type="noConversion"/>
  </si>
  <si>
    <t>혐기성 반응조</t>
    <phoneticPr fontId="2" type="noConversion"/>
  </si>
  <si>
    <t>혐기성라군(2m이하)</t>
    <phoneticPr fontId="2" type="noConversion"/>
  </si>
  <si>
    <t>혐기성라군(2m초과)</t>
    <phoneticPr fontId="2" type="noConversion"/>
  </si>
  <si>
    <t>㎥</t>
    <phoneticPr fontId="2" type="noConversion"/>
  </si>
  <si>
    <t>ℓ</t>
    <phoneticPr fontId="2" type="noConversion"/>
  </si>
  <si>
    <t>에너지 산업</t>
    <phoneticPr fontId="2" type="noConversion"/>
  </si>
  <si>
    <t>제조업,건설업</t>
    <phoneticPr fontId="2" type="noConversion"/>
  </si>
  <si>
    <t>상업,공공</t>
    <phoneticPr fontId="2" type="noConversion"/>
  </si>
  <si>
    <t>가정,기타</t>
    <phoneticPr fontId="2" type="noConversion"/>
  </si>
  <si>
    <t>전기</t>
    <phoneticPr fontId="2" type="noConversion"/>
  </si>
  <si>
    <t>스팀</t>
    <phoneticPr fontId="2" type="noConversion"/>
  </si>
  <si>
    <t>고정연소</t>
    <phoneticPr fontId="2" type="noConversion"/>
  </si>
  <si>
    <t>이동연소</t>
    <phoneticPr fontId="2" type="noConversion"/>
  </si>
  <si>
    <t>Tier 1</t>
    <phoneticPr fontId="2" type="noConversion"/>
  </si>
  <si>
    <t>Tier 2</t>
    <phoneticPr fontId="2" type="noConversion"/>
  </si>
  <si>
    <t>Tier 3</t>
    <phoneticPr fontId="2" type="noConversion"/>
  </si>
  <si>
    <t>◆ 선택박스의 목록 및 제시된 기본값</t>
    <phoneticPr fontId="2" type="noConversion"/>
  </si>
  <si>
    <t>◆폐기물처리부문 매개변수(배출계수 등등)</t>
    <phoneticPr fontId="2" type="noConversion"/>
  </si>
  <si>
    <t>◆[별표]에너지열량환산기준(에너지법 시행규칙)</t>
    <phoneticPr fontId="2" type="noConversion"/>
  </si>
  <si>
    <t>◆[별표19] 연료별 국가 고유 발열량(지침)</t>
    <phoneticPr fontId="2" type="noConversion"/>
  </si>
  <si>
    <t>5)배출량 산정 결과</t>
    <phoneticPr fontId="2" type="noConversion"/>
  </si>
  <si>
    <t>4) 각 년도의 메탄가스 회수량 입력(공식적으로 확인가능한 자료가 필요함.)</t>
  </si>
  <si>
    <r>
      <t>5) 메탄발생량(CH₄</t>
    </r>
    <r>
      <rPr>
        <b/>
        <vertAlign val="subscript"/>
        <sz val="14"/>
        <color indexed="13"/>
        <rFont val="맑은 고딕"/>
        <family val="3"/>
        <charset val="129"/>
      </rPr>
      <t>generated</t>
    </r>
    <r>
      <rPr>
        <b/>
        <sz val="14"/>
        <color indexed="13"/>
        <rFont val="맑은 고딕"/>
        <family val="3"/>
        <charset val="129"/>
      </rPr>
      <t xml:space="preserve">)과 메탄회수량(R)을 비교하여 메탄발생량 재산정 후, </t>
    </r>
    <phoneticPr fontId="2" type="noConversion"/>
  </si>
  <si>
    <r>
      <t xml:space="preserve">    메탄배출량(CH₄</t>
    </r>
    <r>
      <rPr>
        <b/>
        <vertAlign val="subscript"/>
        <sz val="14"/>
        <color indexed="13"/>
        <rFont val="맑은 고딕"/>
        <family val="3"/>
        <charset val="129"/>
      </rPr>
      <t>Emissions</t>
    </r>
    <r>
      <rPr>
        <b/>
        <sz val="14"/>
        <color indexed="13"/>
        <rFont val="맑은 고딕"/>
        <family val="3"/>
        <charset val="129"/>
      </rPr>
      <t xml:space="preserve">) 및 온실가스 배출량 산정 </t>
    </r>
    <phoneticPr fontId="2" type="noConversion"/>
  </si>
  <si>
    <t>4)메탄가스회수량
(R, tCH₄/yr)</t>
    <phoneticPr fontId="2" type="noConversion"/>
  </si>
  <si>
    <r>
      <t xml:space="preserve">조성별매립량 자료의 확보가 불가능한 년도만 </t>
    </r>
    <r>
      <rPr>
        <sz val="9"/>
        <color indexed="8"/>
        <rFont val="맑은 고딕"/>
        <family val="3"/>
        <charset val="129"/>
      </rPr>
      <t>적용</t>
    </r>
    <phoneticPr fontId="2" type="noConversion"/>
  </si>
  <si>
    <t>조성별매립량 자료의 확보가 불가능한 년도만 적용</t>
    <phoneticPr fontId="2" type="noConversion"/>
  </si>
  <si>
    <r>
      <rPr>
        <b/>
        <sz val="14"/>
        <color indexed="30"/>
        <rFont val="맑은 고딕"/>
        <family val="3"/>
        <charset val="129"/>
      </rPr>
      <t>당해년도에 분해분해되는 유기탄소의 양</t>
    </r>
    <r>
      <rPr>
        <b/>
        <sz val="14"/>
        <color indexed="8"/>
        <rFont val="맑은 고딕"/>
        <family val="3"/>
        <charset val="129"/>
      </rPr>
      <t xml:space="preserve">
= 전년도말의 잔존량중 금년도 분해율에 의한 분해량(DDOC</t>
    </r>
    <r>
      <rPr>
        <b/>
        <vertAlign val="subscript"/>
        <sz val="14"/>
        <color indexed="8"/>
        <rFont val="맑은 고딕"/>
        <family val="3"/>
        <charset val="129"/>
      </rPr>
      <t>m,decomp</t>
    </r>
    <r>
      <rPr>
        <b/>
        <sz val="14"/>
        <color indexed="8"/>
        <rFont val="맑은 고딕"/>
        <family val="3"/>
        <charset val="129"/>
      </rPr>
      <t xml:space="preserve"> =  DDOC</t>
    </r>
    <r>
      <rPr>
        <b/>
        <vertAlign val="subscript"/>
        <sz val="14"/>
        <color indexed="8"/>
        <rFont val="맑은 고딕"/>
        <family val="3"/>
        <charset val="129"/>
      </rPr>
      <t>ma T-1</t>
    </r>
    <r>
      <rPr>
        <b/>
        <sz val="14"/>
        <color indexed="8"/>
        <rFont val="맑은 고딕"/>
        <family val="3"/>
        <charset val="129"/>
      </rPr>
      <t xml:space="preserve"> ×(1- e</t>
    </r>
    <r>
      <rPr>
        <b/>
        <vertAlign val="superscript"/>
        <sz val="14"/>
        <color indexed="8"/>
        <rFont val="맑은 고딕"/>
        <family val="3"/>
        <charset val="129"/>
      </rPr>
      <t>-k)</t>
    </r>
    <r>
      <rPr>
        <b/>
        <sz val="14"/>
        <color indexed="8"/>
        <rFont val="맑은 고딕"/>
        <family val="3"/>
        <charset val="129"/>
      </rPr>
      <t>)</t>
    </r>
    <phoneticPr fontId="2" type="noConversion"/>
  </si>
  <si>
    <r>
      <rPr>
        <b/>
        <sz val="14"/>
        <color indexed="30"/>
        <rFont val="맑은 고딕"/>
        <family val="3"/>
        <charset val="129"/>
      </rPr>
      <t>L</t>
    </r>
    <r>
      <rPr>
        <b/>
        <sz val="14"/>
        <color indexed="8"/>
        <rFont val="맑은 고딕"/>
        <family val="3"/>
        <charset val="129"/>
      </rPr>
      <t xml:space="preserve"> =  </t>
    </r>
    <r>
      <rPr>
        <b/>
        <sz val="14"/>
        <color indexed="30"/>
        <rFont val="맑은 고딕"/>
        <family val="3"/>
        <charset val="129"/>
      </rPr>
      <t xml:space="preserve">K </t>
    </r>
    <r>
      <rPr>
        <b/>
        <i/>
        <sz val="14"/>
        <rFont val="맑은 고딕"/>
        <family val="3"/>
        <charset val="129"/>
      </rPr>
      <t>× F(메탄부피비) × 16/12</t>
    </r>
    <phoneticPr fontId="2" type="noConversion"/>
  </si>
  <si>
    <t>년도</t>
    <phoneticPr fontId="2" type="noConversion"/>
  </si>
  <si>
    <t>CH₄발생량
(tCH₄/yr)</t>
    <phoneticPr fontId="2" type="noConversion"/>
  </si>
  <si>
    <t>CH₄발생량 재산정
(tCH₄/yr)</t>
    <phoneticPr fontId="2" type="noConversion"/>
  </si>
  <si>
    <t>◆ 온실가스 배출량 및 에너지 사용량 총괄</t>
    <phoneticPr fontId="9" type="noConversion"/>
  </si>
  <si>
    <t>직접배출
(SCOPE 1)</t>
    <phoneticPr fontId="9" type="noConversion"/>
  </si>
  <si>
    <t>간접배출
(SCOPE 2)</t>
    <phoneticPr fontId="9" type="noConversion"/>
  </si>
  <si>
    <t>◆지구온난화지수(GWP, Global Warming Potential)</t>
    <phoneticPr fontId="2" type="noConversion"/>
  </si>
  <si>
    <t>GWP 1990</t>
    <phoneticPr fontId="2" type="noConversion"/>
  </si>
  <si>
    <t>GWP 1995</t>
    <phoneticPr fontId="2" type="noConversion"/>
  </si>
  <si>
    <t>GWP 2001</t>
    <phoneticPr fontId="2" type="noConversion"/>
  </si>
  <si>
    <t>온실가스</t>
    <phoneticPr fontId="2" type="noConversion"/>
  </si>
  <si>
    <t>지침에 적용된 지구온난화지수(GWP)</t>
    <phoneticPr fontId="2" type="noConversion"/>
  </si>
  <si>
    <t>CO₂</t>
    <phoneticPr fontId="2" type="noConversion"/>
  </si>
  <si>
    <t>CH₄</t>
    <phoneticPr fontId="2" type="noConversion"/>
  </si>
  <si>
    <t>N₂O</t>
    <phoneticPr fontId="2" type="noConversion"/>
  </si>
  <si>
    <r>
      <t>SF</t>
    </r>
    <r>
      <rPr>
        <b/>
        <vertAlign val="subscript"/>
        <sz val="9"/>
        <color indexed="8"/>
        <rFont val="맑은 고딕"/>
        <family val="3"/>
        <charset val="129"/>
      </rPr>
      <t>6</t>
    </r>
    <phoneticPr fontId="2" type="noConversion"/>
  </si>
  <si>
    <t>DOC</t>
    <phoneticPr fontId="2" type="noConversion"/>
  </si>
  <si>
    <t>k</t>
    <phoneticPr fontId="2" type="noConversion"/>
  </si>
  <si>
    <t>dm</t>
    <phoneticPr fontId="2" type="noConversion"/>
  </si>
  <si>
    <t>CF</t>
    <phoneticPr fontId="2" type="noConversion"/>
  </si>
  <si>
    <t>FCF</t>
    <phoneticPr fontId="2" type="noConversion"/>
  </si>
  <si>
    <t>IPCC 분류체계</t>
    <phoneticPr fontId="2" type="noConversion"/>
  </si>
  <si>
    <t>해당폐기물 유형</t>
    <phoneticPr fontId="2" type="noConversion"/>
  </si>
  <si>
    <r>
      <t>e</t>
    </r>
    <r>
      <rPr>
        <b/>
        <vertAlign val="superscript"/>
        <sz val="9"/>
        <color indexed="9"/>
        <rFont val="맑은 고딕"/>
        <family val="3"/>
        <charset val="129"/>
      </rPr>
      <t>-k</t>
    </r>
    <phoneticPr fontId="2" type="noConversion"/>
  </si>
  <si>
    <t>폐기물 성상(물리적 조성)</t>
    <phoneticPr fontId="2" type="noConversion"/>
  </si>
  <si>
    <t>생물학적처리에서 폐기물처리 중량기준</t>
    <phoneticPr fontId="2" type="noConversion"/>
  </si>
  <si>
    <t>연료사용단위</t>
    <phoneticPr fontId="2" type="noConversion"/>
  </si>
  <si>
    <t>사업장유형</t>
    <phoneticPr fontId="2" type="noConversion"/>
  </si>
  <si>
    <t>산정년도</t>
    <phoneticPr fontId="2" type="noConversion"/>
  </si>
  <si>
    <t>Scope2</t>
    <phoneticPr fontId="2" type="noConversion"/>
  </si>
  <si>
    <t>연소구분</t>
    <phoneticPr fontId="2" type="noConversion"/>
  </si>
  <si>
    <t>Tier</t>
    <phoneticPr fontId="2" type="noConversion"/>
  </si>
  <si>
    <t>㎏</t>
    <phoneticPr fontId="2" type="noConversion"/>
  </si>
  <si>
    <t>복토유형에 따른 산화계수</t>
    <phoneticPr fontId="2" type="noConversion"/>
  </si>
  <si>
    <t>페기물발생원</t>
    <phoneticPr fontId="2" type="noConversion"/>
  </si>
  <si>
    <t>매립관리형태에 따른 보정계수(MCF)</t>
    <phoneticPr fontId="2" type="noConversion"/>
  </si>
  <si>
    <t>소각로 폐기물형태에 따른 N₂O배출계수</t>
    <phoneticPr fontId="2" type="noConversion"/>
  </si>
  <si>
    <t>연료명(IPCC G/L)</t>
    <phoneticPr fontId="2" type="noConversion"/>
  </si>
  <si>
    <t>발열량 단위</t>
    <phoneticPr fontId="2" type="noConversion"/>
  </si>
  <si>
    <t>에너지산업</t>
    <phoneticPr fontId="2" type="noConversion"/>
  </si>
  <si>
    <t>제조,건설</t>
    <phoneticPr fontId="2" type="noConversion"/>
  </si>
  <si>
    <t>상업,공공</t>
    <phoneticPr fontId="2" type="noConversion"/>
  </si>
  <si>
    <t>가정,기타</t>
    <phoneticPr fontId="2" type="noConversion"/>
  </si>
  <si>
    <t>에너지,제조,건설</t>
    <phoneticPr fontId="2" type="noConversion"/>
  </si>
  <si>
    <t>상업,공공,가정,기타</t>
    <phoneticPr fontId="2" type="noConversion"/>
  </si>
  <si>
    <t>석유
환산계수</t>
    <phoneticPr fontId="2" type="noConversion"/>
  </si>
  <si>
    <t>직접입력</t>
    <phoneticPr fontId="2" type="noConversion"/>
  </si>
  <si>
    <t>2) 해당 처리 유형별(퇴비화, 혐기성 소화) 폐기물 처리량/메탄회수량 입력</t>
    <phoneticPr fontId="9" type="noConversion"/>
  </si>
  <si>
    <t>[배출량 관련 각종 매개변수 및 선택자료 원본]</t>
    <phoneticPr fontId="2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</si>
  <si>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주황색 셀</t>
    </r>
    <r>
      <rPr>
        <sz val="11"/>
        <color theme="1"/>
        <rFont val="맑은 고딕"/>
        <family val="3"/>
        <charset val="129"/>
        <scheme val="minor"/>
      </rPr>
      <t>은 직접 입력하지 않고 목록에서 선택을 해야 하는 부분</t>
    </r>
    <phoneticPr fontId="18" type="noConversion"/>
  </si>
  <si>
    <r>
      <t xml:space="preserve">  </t>
    </r>
    <r>
      <rPr>
        <sz val="16"/>
        <color indexed="10"/>
        <rFont val="맑은 고딕"/>
        <family val="3"/>
        <charset val="129"/>
      </rPr>
      <t>① 물리적조성별 매립량의 합계 ≠ 폐기물 매립총량  ⇒</t>
    </r>
    <r>
      <rPr>
        <b/>
        <sz val="16"/>
        <color indexed="10"/>
        <rFont val="맑은 고딕"/>
        <family val="3"/>
        <charset val="129"/>
      </rPr>
      <t xml:space="preserve"> 합계 확인 후, 재 입력 해야함.</t>
    </r>
    <phoneticPr fontId="2" type="noConversion"/>
  </si>
  <si>
    <r>
      <rPr>
        <sz val="16"/>
        <color indexed="10"/>
        <rFont val="맑은 고딕"/>
        <family val="3"/>
        <charset val="129"/>
      </rPr>
      <t xml:space="preserve">  ② 폐기물 매립시작년도 이전 또는 매립종료 이후 년도에 자료가 입력된 경우 ⇒</t>
    </r>
    <r>
      <rPr>
        <b/>
        <sz val="16"/>
        <color indexed="10"/>
        <rFont val="맑은 고딕"/>
        <family val="3"/>
        <charset val="129"/>
      </rPr>
      <t xml:space="preserve"> 해당 년도의 매립량은 '0'으로 처리됨</t>
    </r>
    <phoneticPr fontId="2" type="noConversion"/>
  </si>
  <si>
    <r>
      <t xml:space="preserve"> </t>
    </r>
    <r>
      <rPr>
        <sz val="10"/>
        <rFont val="맑은 고딕"/>
        <family val="3"/>
        <charset val="129"/>
      </rPr>
      <t xml:space="preserve">- 전기의 발열양은 2150kCal/kwh, 9MJ/KWh이나, </t>
    </r>
    <r>
      <rPr>
        <u/>
        <sz val="10"/>
        <color indexed="10"/>
        <rFont val="맑은 고딕"/>
        <family val="3"/>
        <charset val="129"/>
      </rPr>
      <t xml:space="preserve">최종에너지 사용기준으로 전력양을 환산하는 경우 </t>
    </r>
    <r>
      <rPr>
        <b/>
        <u/>
        <sz val="10"/>
        <color indexed="10"/>
        <rFont val="맑은 고딕"/>
        <family val="3"/>
        <charset val="129"/>
      </rPr>
      <t>1KWh = 860KCal=3.6MJ</t>
    </r>
    <r>
      <rPr>
        <u/>
        <sz val="10"/>
        <color indexed="10"/>
        <rFont val="맑은 고딕"/>
        <family val="3"/>
        <charset val="129"/>
      </rPr>
      <t>을 적용</t>
    </r>
    <r>
      <rPr>
        <sz val="10"/>
        <rFont val="맑은 고딕"/>
        <family val="3"/>
        <charset val="129"/>
      </rPr>
      <t>한다.(에너지법 시행규칙 별표 비고 참조)</t>
    </r>
    <phoneticPr fontId="2" type="noConversion"/>
  </si>
  <si>
    <t>Parameter</t>
    <phoneticPr fontId="18" type="noConversion"/>
  </si>
  <si>
    <t>1. 알림</t>
    <phoneticPr fontId="18" type="noConversion"/>
  </si>
  <si>
    <t>3. 각 셀의 종류에 따른 작성요령</t>
    <phoneticPr fontId="18" type="noConversion"/>
  </si>
  <si>
    <t>: 에너지(연료) 사용에 의한 온실가스배출량 및 에너지 소비량 계산</t>
    <phoneticPr fontId="18" type="noConversion"/>
  </si>
  <si>
    <t>: 고형폐기물 매립시설에서의 온실가스 배출량 계산</t>
  </si>
  <si>
    <t>: 고형폐기물의 생물학적처리(음식물퇴비화 등)에서의 온실가스 배출량 계산</t>
  </si>
  <si>
    <t>: 폐기물의 소각처리에서의 온실가스배출량 계산</t>
  </si>
  <si>
    <t>: 하수처리시설에서의 온실가스배출량 계산</t>
  </si>
  <si>
    <t>: 폐수처리시설에서의 온실가스배출량 계산</t>
  </si>
  <si>
    <t>: 배출량계산에 관여되는 배출계수, 발열량 등의 매개변수가 입련된 시트</t>
  </si>
  <si>
    <t>: 외부에서 공급받은 전력, 스팀의 사용에 의한 온실가스 배출량 및 에너지 소비량 계산</t>
    <phoneticPr fontId="18" type="noConversion"/>
  </si>
  <si>
    <r>
      <t xml:space="preserve">: </t>
    </r>
    <r>
      <rPr>
        <b/>
        <i/>
        <sz val="11"/>
        <color indexed="8"/>
        <rFont val="맑은 고딕"/>
        <family val="3"/>
        <charset val="129"/>
      </rPr>
      <t>선택박스</t>
    </r>
    <r>
      <rPr>
        <sz val="11"/>
        <color theme="1"/>
        <rFont val="맑은 고딕"/>
        <family val="3"/>
        <charset val="129"/>
        <scheme val="minor"/>
      </rPr>
      <t xml:space="preserve">는 배출계수의 선택 등을 위하여 처리유형, 폐기물의 종류 등 선택을 하는 부분 </t>
    </r>
    <phoneticPr fontId="18" type="noConversion"/>
  </si>
  <si>
    <t>하수 처리</t>
    <phoneticPr fontId="2" type="noConversion"/>
  </si>
  <si>
    <t>폐수 처리</t>
    <phoneticPr fontId="2" type="noConversion"/>
  </si>
  <si>
    <t>작성부분</t>
    <phoneticPr fontId="18" type="noConversion"/>
  </si>
  <si>
    <t>자동입력</t>
    <phoneticPr fontId="18" type="noConversion"/>
  </si>
  <si>
    <t>2. 각 시트의 내용 (시트 이름을 클릭하면 해당 시트로 이동)</t>
    <phoneticPr fontId="18" type="noConversion"/>
  </si>
  <si>
    <t>폐기물 부문 온실가스 배출량 및 에너지 소비량 계산 Tool</t>
    <phoneticPr fontId="18" type="noConversion"/>
  </si>
  <si>
    <t>온실가스·에너지 목표관리제 수행을 위한</t>
    <phoneticPr fontId="18" type="noConversion"/>
  </si>
  <si>
    <t>회수/이용(Flaring포함)되는 메탄 가스량을 ton 단위로 입력</t>
    <phoneticPr fontId="2" type="noConversion"/>
  </si>
  <si>
    <r>
      <t xml:space="preserve">가. 본 배출량 계산 파일은 </t>
    </r>
    <r>
      <rPr>
        <b/>
        <sz val="11"/>
        <color indexed="8"/>
        <rFont val="맑은 고딕"/>
        <family val="3"/>
        <charset val="129"/>
      </rPr>
      <t>저탄소</t>
    </r>
    <r>
      <rPr>
        <b/>
        <sz val="11"/>
        <color indexed="8"/>
        <rFont val="맑은 고딕"/>
        <family val="3"/>
        <charset val="129"/>
      </rPr>
      <t xml:space="preserve"> 녹색성장 기본법 제42조 및 같은 법 시행령 제26조</t>
    </r>
    <r>
      <rPr>
        <sz val="11"/>
        <color theme="1"/>
        <rFont val="맑은 고딕"/>
        <family val="3"/>
        <charset val="129"/>
        <scheme val="minor"/>
      </rPr>
      <t>에 따른</t>
    </r>
    <r>
      <rPr>
        <b/>
        <sz val="11"/>
        <color indexed="8"/>
        <rFont val="맑은 고딕"/>
        <family val="3"/>
        <charset val="129"/>
      </rPr>
      <t xml:space="preserve"> 폐기물 분야 관리업체</t>
    </r>
    <r>
      <rPr>
        <sz val="11"/>
        <color theme="1"/>
        <rFont val="맑은 고딕"/>
        <family val="3"/>
        <charset val="129"/>
        <scheme val="minor"/>
      </rPr>
      <t>의 명세서 작성 시 배출량 계산 참조용으로 작성되었습니다.</t>
    </r>
    <phoneticPr fontId="18" type="noConversion"/>
  </si>
  <si>
    <r>
      <t xml:space="preserve">다. 본 파일은 원본 상태로의 배포, 사용만 가능하며, </t>
    </r>
    <r>
      <rPr>
        <b/>
        <sz val="11"/>
        <color indexed="10"/>
        <rFont val="맑은 고딕"/>
        <family val="3"/>
        <charset val="129"/>
      </rPr>
      <t>상업적 목적의 배포는 금지합니다.</t>
    </r>
    <phoneticPr fontId="18" type="noConversion"/>
  </si>
  <si>
    <t>미 공시</t>
    <phoneticPr fontId="2" type="noConversion"/>
  </si>
  <si>
    <t>고정연소</t>
  </si>
  <si>
    <t>07년,08년 배출계수의 평균값 일괄적용</t>
    <phoneticPr fontId="2" type="noConversion"/>
  </si>
  <si>
    <t>※목표관리제 운영지침 p616 국가고유전력배출계수('07~'08년 평균) 사용</t>
    <phoneticPr fontId="2" type="noConversion"/>
  </si>
  <si>
    <t>&lt;표-42&gt;년도별 국가고유전력배출계수 목록</t>
    <phoneticPr fontId="2" type="noConversion"/>
  </si>
  <si>
    <t xml:space="preserve">  ※전력의 국가배출계수는 '07~'08년 전력배출계수의 평균값 사용(온실가스에너지 목표관리제 운영 지침 p616 표-42참조) </t>
    <phoneticPr fontId="27" type="noConversion"/>
  </si>
  <si>
    <r>
      <t xml:space="preserve">② </t>
    </r>
    <r>
      <rPr>
        <sz val="11"/>
        <color indexed="8"/>
        <rFont val="맑은 고딕"/>
        <family val="3"/>
        <charset val="129"/>
      </rPr>
      <t xml:space="preserve">「총괄_에너지및온실가스」시트의 </t>
    </r>
    <r>
      <rPr>
        <sz val="11"/>
        <color theme="1"/>
        <rFont val="맑은 고딕"/>
        <family val="3"/>
        <charset val="129"/>
        <scheme val="minor"/>
      </rPr>
      <t>하수부문 배출량 단위 환산 오류부분 수정</t>
    </r>
    <phoneticPr fontId="18" type="noConversion"/>
  </si>
  <si>
    <t>◇변경사항</t>
    <phoneticPr fontId="18" type="noConversion"/>
  </si>
  <si>
    <t>Ver.1.1</t>
    <phoneticPr fontId="18" type="noConversion"/>
  </si>
  <si>
    <t>Ver.1.2</t>
    <phoneticPr fontId="18" type="noConversion"/>
  </si>
  <si>
    <r>
      <t>① 국가 고유 전력배출계수 변경 부분 반영(산정 년도별 각각 배출계수 적용 ⇒</t>
    </r>
    <r>
      <rPr>
        <sz val="9.35"/>
        <color indexed="8"/>
        <rFont val="맑은 고딕"/>
        <family val="3"/>
        <charset val="129"/>
      </rPr>
      <t xml:space="preserve"> '07~'08년 배출계수 평균값 적용) - 지침 p616 참조 </t>
    </r>
    <phoneticPr fontId="18" type="noConversion"/>
  </si>
  <si>
    <t>① 전력 발열량 수정부분 반영(3.6 TJ/GWh ⇒ 9 TJ/GWh)</t>
    <phoneticPr fontId="18" type="noConversion"/>
  </si>
  <si>
    <t>1) 활동자료</t>
    <phoneticPr fontId="27" type="noConversion"/>
  </si>
  <si>
    <t>2) 배출계수</t>
    <phoneticPr fontId="27" type="noConversion"/>
  </si>
  <si>
    <t>② 배출계수 중 목재류의 k 값 오류 수정</t>
    <phoneticPr fontId="18" type="noConversion"/>
  </si>
  <si>
    <r>
      <t xml:space="preserve">K </t>
    </r>
    <r>
      <rPr>
        <b/>
        <sz val="12"/>
        <rFont val="맑은 고딕"/>
        <family val="3"/>
        <charset val="129"/>
      </rPr>
      <t>= A×B</t>
    </r>
    <r>
      <rPr>
        <b/>
        <vertAlign val="subscript"/>
        <sz val="12"/>
        <rFont val="맑은 고딕"/>
        <family val="3"/>
        <charset val="129"/>
      </rPr>
      <t>1</t>
    </r>
    <phoneticPr fontId="9" type="noConversion"/>
  </si>
  <si>
    <t>도시가스(LNG)발열량 적용</t>
    <phoneticPr fontId="2" type="noConversion"/>
  </si>
  <si>
    <t>③ 이동연소부문 LNG, CNG발열량 오류 수정 - 도시가스(LNG)의 발열량 적용</t>
    <phoneticPr fontId="18" type="noConversion"/>
  </si>
  <si>
    <t>자료실바로가기</t>
  </si>
  <si>
    <t>천연가스</t>
    <phoneticPr fontId="2" type="noConversion"/>
  </si>
  <si>
    <r>
      <t xml:space="preserve">① 고정연소부문 </t>
    </r>
    <r>
      <rPr>
        <b/>
        <sz val="11"/>
        <color indexed="8"/>
        <rFont val="맑은 고딕"/>
        <family val="3"/>
        <charset val="129"/>
      </rPr>
      <t>도시가스(LNG)</t>
    </r>
    <r>
      <rPr>
        <sz val="11"/>
        <color theme="1"/>
        <rFont val="맑은 고딕"/>
        <family val="3"/>
        <charset val="129"/>
        <scheme val="minor"/>
      </rPr>
      <t>의 CO</t>
    </r>
    <r>
      <rPr>
        <vertAlign val="subscript"/>
        <sz val="11"/>
        <color indexed="8"/>
        <rFont val="맑은 고딕"/>
        <family val="3"/>
        <charset val="129"/>
      </rPr>
      <t xml:space="preserve">2 </t>
    </r>
    <r>
      <rPr>
        <sz val="11"/>
        <color theme="1"/>
        <rFont val="맑은 고딕"/>
        <family val="3"/>
        <charset val="129"/>
        <scheme val="minor"/>
      </rPr>
      <t>배출계수 오류 수정(64,200-&gt;56,100)</t>
    </r>
    <phoneticPr fontId="18" type="noConversion"/>
  </si>
  <si>
    <t>Ver.1.3</t>
    <phoneticPr fontId="18" type="noConversion"/>
  </si>
  <si>
    <t>Ver.1.4</t>
    <phoneticPr fontId="18" type="noConversion"/>
  </si>
  <si>
    <t>에너지사용량
(MJ)</t>
    <phoneticPr fontId="9" type="noConversion"/>
  </si>
  <si>
    <t>CO₂배출량
(tCO₂)</t>
    <phoneticPr fontId="9" type="noConversion"/>
  </si>
  <si>
    <t>N₂O배출량
(㎏N₂O)</t>
    <phoneticPr fontId="27" type="noConversion"/>
  </si>
  <si>
    <t>(㎏CH₄/GJ)</t>
    <phoneticPr fontId="27" type="noConversion"/>
  </si>
  <si>
    <t>(㎏N₂O/GJ)</t>
    <phoneticPr fontId="27" type="noConversion"/>
  </si>
  <si>
    <t>CH₄배출량
(㎏CH₄)</t>
    <phoneticPr fontId="27" type="noConversion"/>
  </si>
  <si>
    <t>에너지사용량
(MJ)</t>
    <phoneticPr fontId="9" type="noConversion"/>
  </si>
  <si>
    <r>
      <rPr>
        <b/>
        <sz val="12"/>
        <color indexed="30"/>
        <rFont val="맑은 고딕"/>
        <family val="3"/>
        <charset val="129"/>
      </rPr>
      <t>J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30"/>
        <rFont val="맑은 고딕"/>
        <family val="3"/>
        <charset val="129"/>
      </rPr>
      <t xml:space="preserve"> = </t>
    </r>
    <r>
      <rPr>
        <b/>
        <sz val="12"/>
        <color indexed="8"/>
        <rFont val="맑은 고딕"/>
        <family val="3"/>
        <charset val="129"/>
      </rPr>
      <t xml:space="preserve">A×B
</t>
    </r>
    <r>
      <rPr>
        <b/>
        <sz val="12"/>
        <color indexed="30"/>
        <rFont val="맑은 고딕"/>
        <family val="3"/>
        <charset val="129"/>
      </rPr>
      <t>J</t>
    </r>
    <r>
      <rPr>
        <b/>
        <vertAlign val="subscript"/>
        <sz val="12"/>
        <color indexed="30"/>
        <rFont val="맑은 고딕"/>
        <family val="3"/>
        <charset val="129"/>
      </rPr>
      <t>스팀</t>
    </r>
    <r>
      <rPr>
        <b/>
        <sz val="12"/>
        <color indexed="8"/>
        <rFont val="맑은 고딕"/>
        <family val="3"/>
        <charset val="129"/>
      </rPr>
      <t xml:space="preserve"> = A×10^3 </t>
    </r>
    <phoneticPr fontId="9" type="noConversion"/>
  </si>
  <si>
    <r>
      <t>F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8"/>
        <rFont val="맑은 고딕"/>
        <family val="3"/>
        <charset val="129"/>
      </rPr>
      <t xml:space="preserve">=A×C×(10^-3)
</t>
    </r>
    <r>
      <rPr>
        <b/>
        <sz val="12"/>
        <color indexed="30"/>
        <rFont val="맑은 고딕"/>
        <family val="3"/>
        <charset val="129"/>
      </rPr>
      <t>F</t>
    </r>
    <r>
      <rPr>
        <b/>
        <vertAlign val="subscript"/>
        <sz val="12"/>
        <color indexed="30"/>
        <rFont val="맑은 고딕"/>
        <family val="3"/>
        <charset val="129"/>
      </rPr>
      <t>스팀</t>
    </r>
    <r>
      <rPr>
        <b/>
        <sz val="12"/>
        <color indexed="8"/>
        <rFont val="맑은 고딕"/>
        <family val="3"/>
        <charset val="129"/>
      </rPr>
      <t>=A×C</t>
    </r>
    <phoneticPr fontId="9" type="noConversion"/>
  </si>
  <si>
    <r>
      <t>G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8"/>
        <rFont val="맑은 고딕"/>
        <family val="3"/>
        <charset val="129"/>
      </rPr>
      <t xml:space="preserve">=A×D×(10^-3)
</t>
    </r>
    <r>
      <rPr>
        <b/>
        <sz val="12"/>
        <color indexed="30"/>
        <rFont val="맑은 고딕"/>
        <family val="3"/>
        <charset val="129"/>
      </rPr>
      <t>G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8"/>
        <rFont val="맑은 고딕"/>
        <family val="3"/>
        <charset val="129"/>
      </rPr>
      <t>=A×D</t>
    </r>
    <phoneticPr fontId="9" type="noConversion"/>
  </si>
  <si>
    <r>
      <t>H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8"/>
        <rFont val="맑은 고딕"/>
        <family val="3"/>
        <charset val="129"/>
      </rPr>
      <t xml:space="preserve">=A×E×(10^-3)
</t>
    </r>
    <r>
      <rPr>
        <b/>
        <sz val="12"/>
        <color indexed="30"/>
        <rFont val="맑은 고딕"/>
        <family val="3"/>
        <charset val="129"/>
      </rPr>
      <t>H</t>
    </r>
    <r>
      <rPr>
        <b/>
        <vertAlign val="subscript"/>
        <sz val="12"/>
        <color indexed="30"/>
        <rFont val="맑은 고딕"/>
        <family val="3"/>
        <charset val="129"/>
      </rPr>
      <t>전력</t>
    </r>
    <r>
      <rPr>
        <b/>
        <sz val="12"/>
        <color indexed="8"/>
        <rFont val="맑은 고딕"/>
        <family val="3"/>
        <charset val="129"/>
      </rPr>
      <t>=A×E</t>
    </r>
    <phoneticPr fontId="9" type="noConversion"/>
  </si>
  <si>
    <r>
      <t xml:space="preserve">I </t>
    </r>
    <r>
      <rPr>
        <b/>
        <sz val="12"/>
        <color indexed="8"/>
        <rFont val="맑은 고딕"/>
        <family val="3"/>
        <charset val="129"/>
      </rPr>
      <t xml:space="preserve">= F+(G×21+H×310)×10^-3 </t>
    </r>
    <phoneticPr fontId="9" type="noConversion"/>
  </si>
  <si>
    <r>
      <t>(</t>
    </r>
    <r>
      <rPr>
        <b/>
        <sz val="12"/>
        <color indexed="60"/>
        <rFont val="맑은 고딕"/>
        <family val="3"/>
        <charset val="129"/>
      </rPr>
      <t>㎏CH₄</t>
    </r>
    <r>
      <rPr>
        <sz val="12"/>
        <color indexed="60"/>
        <rFont val="맑은 고딕"/>
        <family val="3"/>
        <charset val="129"/>
      </rPr>
      <t>/yr)</t>
    </r>
    <phoneticPr fontId="9" type="noConversion"/>
  </si>
  <si>
    <r>
      <t>(</t>
    </r>
    <r>
      <rPr>
        <b/>
        <sz val="12"/>
        <color indexed="60"/>
        <rFont val="맑은 고딕"/>
        <family val="3"/>
        <charset val="129"/>
      </rPr>
      <t>㎏N₂O</t>
    </r>
    <r>
      <rPr>
        <sz val="12"/>
        <color indexed="60"/>
        <rFont val="맑은 고딕"/>
        <family val="3"/>
        <charset val="129"/>
      </rPr>
      <t>/yr)</t>
    </r>
    <phoneticPr fontId="9" type="noConversion"/>
  </si>
  <si>
    <r>
      <t>(</t>
    </r>
    <r>
      <rPr>
        <b/>
        <sz val="12"/>
        <color indexed="60"/>
        <rFont val="맑은 고딕"/>
        <family val="3"/>
        <charset val="129"/>
      </rPr>
      <t>tCO₂</t>
    </r>
    <r>
      <rPr>
        <sz val="12"/>
        <color indexed="60"/>
        <rFont val="맑은 고딕"/>
        <family val="3"/>
        <charset val="129"/>
      </rPr>
      <t>/yr)</t>
    </r>
    <phoneticPr fontId="9" type="noConversion"/>
  </si>
  <si>
    <r>
      <t xml:space="preserve">G </t>
    </r>
    <r>
      <rPr>
        <b/>
        <sz val="12"/>
        <rFont val="맑은 고딕"/>
        <family val="3"/>
        <charset val="129"/>
      </rPr>
      <t>= F - (B * 10^3)</t>
    </r>
    <phoneticPr fontId="2" type="noConversion"/>
  </si>
  <si>
    <t>CH₄ 배출량
(㎏CH₄)</t>
    <phoneticPr fontId="2" type="noConversion"/>
  </si>
  <si>
    <r>
      <t xml:space="preserve">H </t>
    </r>
    <r>
      <rPr>
        <b/>
        <sz val="12"/>
        <rFont val="맑은 고딕"/>
        <family val="3"/>
        <charset val="129"/>
      </rPr>
      <t>= A×D</t>
    </r>
    <phoneticPr fontId="2" type="noConversion"/>
  </si>
  <si>
    <t>N₂O 배출량
(㎏N₂O/년)</t>
    <phoneticPr fontId="2" type="noConversion"/>
  </si>
  <si>
    <r>
      <t xml:space="preserve">I </t>
    </r>
    <r>
      <rPr>
        <b/>
        <sz val="12"/>
        <rFont val="맑은 고딕"/>
        <family val="3"/>
        <charset val="129"/>
      </rPr>
      <t>= (F×21+G×310) * 10^-3</t>
    </r>
    <phoneticPr fontId="2" type="noConversion"/>
  </si>
  <si>
    <t>N₂O
배출계수
(gN₂O /tWaste)</t>
    <phoneticPr fontId="2" type="noConversion"/>
  </si>
  <si>
    <t>CH₄
배출계수
(㎏CH₄ /tWaste</t>
    <phoneticPr fontId="2" type="noConversion"/>
  </si>
  <si>
    <r>
      <t>K</t>
    </r>
    <r>
      <rPr>
        <b/>
        <sz val="10"/>
        <color indexed="8"/>
        <rFont val="맑은 고딕"/>
        <family val="3"/>
        <charset val="129"/>
      </rPr>
      <t>=A×H</t>
    </r>
    <phoneticPr fontId="2" type="noConversion"/>
  </si>
  <si>
    <r>
      <t>L</t>
    </r>
    <r>
      <rPr>
        <b/>
        <sz val="10"/>
        <color indexed="8"/>
        <rFont val="맑은 고딕"/>
        <family val="3"/>
        <charset val="129"/>
      </rPr>
      <t>=A×I×10</t>
    </r>
    <r>
      <rPr>
        <sz val="10"/>
        <color indexed="8"/>
        <rFont val="맑은 고딕"/>
        <family val="3"/>
        <charset val="129"/>
      </rPr>
      <t>^-3</t>
    </r>
    <phoneticPr fontId="2" type="noConversion"/>
  </si>
  <si>
    <r>
      <t>M</t>
    </r>
    <r>
      <rPr>
        <b/>
        <sz val="10"/>
        <rFont val="맑은 고딕"/>
        <family val="3"/>
        <charset val="129"/>
      </rPr>
      <t>=J+
(K×2</t>
    </r>
    <r>
      <rPr>
        <b/>
        <sz val="10"/>
        <color indexed="8"/>
        <rFont val="맑은 고딕"/>
        <family val="3"/>
        <charset val="129"/>
      </rPr>
      <t>1+L×310)*10^-3</t>
    </r>
    <phoneticPr fontId="2" type="noConversion"/>
  </si>
  <si>
    <t>CH₄ 배출량
(㎏CH₄/년)</t>
    <phoneticPr fontId="2" type="noConversion"/>
  </si>
  <si>
    <r>
      <t xml:space="preserve">E </t>
    </r>
    <r>
      <rPr>
        <b/>
        <sz val="12"/>
        <rFont val="맑은 고딕"/>
        <family val="3"/>
        <charset val="129"/>
      </rPr>
      <t>= A × C × 10^-3</t>
    </r>
    <phoneticPr fontId="2" type="noConversion"/>
  </si>
  <si>
    <t>CH₄발생량
(tCH₄)</t>
    <phoneticPr fontId="2" type="noConversion"/>
  </si>
  <si>
    <r>
      <rPr>
        <b/>
        <sz val="11"/>
        <color indexed="30"/>
        <rFont val="맑은 고딕"/>
        <family val="3"/>
        <charset val="129"/>
      </rPr>
      <t xml:space="preserve">①회수량/발생량 ≤ 0.75 </t>
    </r>
    <r>
      <rPr>
        <b/>
        <sz val="12"/>
        <color indexed="30"/>
        <rFont val="맑은 고딕"/>
        <family val="3"/>
        <charset val="129"/>
      </rPr>
      <t xml:space="preserve">
  F</t>
    </r>
    <r>
      <rPr>
        <b/>
        <sz val="12"/>
        <rFont val="맑은 고딕"/>
        <family val="3"/>
        <charset val="129"/>
      </rPr>
      <t xml:space="preserve"> = E</t>
    </r>
    <r>
      <rPr>
        <b/>
        <sz val="12"/>
        <color indexed="30"/>
        <rFont val="맑은 고딕"/>
        <family val="3"/>
        <charset val="129"/>
      </rPr>
      <t xml:space="preserve">
②</t>
    </r>
    <r>
      <rPr>
        <b/>
        <sz val="11"/>
        <color indexed="30"/>
        <rFont val="맑은 고딕"/>
        <family val="3"/>
        <charset val="129"/>
      </rPr>
      <t xml:space="preserve">회수량/발생량 &gt; 0.75 </t>
    </r>
    <r>
      <rPr>
        <b/>
        <sz val="12"/>
        <color indexed="30"/>
        <rFont val="맑은 고딕"/>
        <family val="3"/>
        <charset val="129"/>
      </rPr>
      <t xml:space="preserve">
  F</t>
    </r>
    <r>
      <rPr>
        <b/>
        <sz val="12"/>
        <rFont val="맑은 고딕"/>
        <family val="3"/>
        <charset val="129"/>
      </rPr>
      <t>=B * (1/0.75)</t>
    </r>
    <phoneticPr fontId="2" type="noConversion"/>
  </si>
  <si>
    <t>CH₄배출량
(㎏CH₄/yr)</t>
    <phoneticPr fontId="2" type="noConversion"/>
  </si>
  <si>
    <r>
      <t xml:space="preserve">  CH₄</t>
    </r>
    <r>
      <rPr>
        <vertAlign val="subscript"/>
        <sz val="12"/>
        <color indexed="8"/>
        <rFont val="맑은 고딕"/>
        <family val="3"/>
        <charset val="129"/>
      </rPr>
      <t xml:space="preserve">Emissions </t>
    </r>
    <r>
      <rPr>
        <sz val="12"/>
        <color indexed="8"/>
        <rFont val="맑은 고딕"/>
        <family val="3"/>
        <charset val="129"/>
      </rPr>
      <t>=
    (CH₄</t>
    </r>
    <r>
      <rPr>
        <vertAlign val="subscript"/>
        <sz val="12"/>
        <color indexed="8"/>
        <rFont val="맑은 고딕"/>
        <family val="3"/>
        <charset val="129"/>
      </rPr>
      <t>generated</t>
    </r>
    <r>
      <rPr>
        <sz val="12"/>
        <color indexed="8"/>
        <rFont val="맑은 고딕"/>
        <family val="3"/>
        <charset val="129"/>
      </rPr>
      <t xml:space="preserve">-R)×(1-OX)
  </t>
    </r>
    <r>
      <rPr>
        <b/>
        <sz val="12"/>
        <color indexed="30"/>
        <rFont val="맑은 고딕"/>
        <family val="3"/>
        <charset val="129"/>
      </rPr>
      <t xml:space="preserve">E = (D - B) </t>
    </r>
    <r>
      <rPr>
        <b/>
        <i/>
        <sz val="12"/>
        <rFont val="맑은 고딕"/>
        <family val="3"/>
        <charset val="129"/>
      </rPr>
      <t xml:space="preserve">× (1 - OX) 
 </t>
    </r>
    <r>
      <rPr>
        <b/>
        <sz val="12"/>
        <rFont val="맑은 고딕"/>
        <family val="3"/>
        <charset val="129"/>
      </rPr>
      <t>* 10^3</t>
    </r>
    <phoneticPr fontId="2" type="noConversion"/>
  </si>
  <si>
    <r>
      <t xml:space="preserve">  GHG</t>
    </r>
    <r>
      <rPr>
        <vertAlign val="subscript"/>
        <sz val="12"/>
        <color indexed="8"/>
        <rFont val="맑은 고딕"/>
        <family val="3"/>
        <charset val="129"/>
      </rPr>
      <t>EMissions</t>
    </r>
    <r>
      <rPr>
        <sz val="12"/>
        <color indexed="8"/>
        <rFont val="맑은 고딕"/>
        <family val="3"/>
        <charset val="129"/>
      </rPr>
      <t xml:space="preserve"> = 
    CH₄</t>
    </r>
    <r>
      <rPr>
        <vertAlign val="subscript"/>
        <sz val="12"/>
        <color indexed="8"/>
        <rFont val="맑은 고딕"/>
        <family val="3"/>
        <charset val="129"/>
      </rPr>
      <t>Emissions</t>
    </r>
    <r>
      <rPr>
        <sz val="12"/>
        <color indexed="8"/>
        <rFont val="맑은 고딕"/>
        <family val="3"/>
        <charset val="129"/>
      </rPr>
      <t xml:space="preserve"> × GWP(21)
  </t>
    </r>
    <r>
      <rPr>
        <b/>
        <sz val="12"/>
        <color indexed="30"/>
        <rFont val="맑은 고딕"/>
        <family val="3"/>
        <charset val="129"/>
      </rPr>
      <t>F =( E</t>
    </r>
    <r>
      <rPr>
        <b/>
        <i/>
        <sz val="12"/>
        <rFont val="맑은 고딕"/>
        <family val="3"/>
        <charset val="129"/>
      </rPr>
      <t xml:space="preserve"> × 21 ) * 10^-3</t>
    </r>
    <phoneticPr fontId="2" type="noConversion"/>
  </si>
  <si>
    <t>CH₄ 배출량
(㎏CH₄/년)</t>
    <phoneticPr fontId="2" type="noConversion"/>
  </si>
  <si>
    <r>
      <t xml:space="preserve">K </t>
    </r>
    <r>
      <rPr>
        <b/>
        <sz val="11"/>
        <color indexed="8"/>
        <rFont val="맑은 고딕"/>
        <family val="3"/>
        <charset val="129"/>
      </rPr>
      <t>= (J - B) * 10^3</t>
    </r>
    <phoneticPr fontId="2" type="noConversion"/>
  </si>
  <si>
    <r>
      <t>I</t>
    </r>
    <r>
      <rPr>
        <b/>
        <sz val="12"/>
        <rFont val="맑은 고딕"/>
        <family val="3"/>
        <charset val="129"/>
      </rPr>
      <t>=(C-D)×A×G×(10^-6)</t>
    </r>
    <r>
      <rPr>
        <b/>
        <sz val="12"/>
        <color indexed="30"/>
        <rFont val="맑은 고딕"/>
        <family val="3"/>
        <charset val="129"/>
      </rPr>
      <t/>
    </r>
    <phoneticPr fontId="2" type="noConversion"/>
  </si>
  <si>
    <t>N₂O 배출량
(㎏N₂O/년)</t>
    <phoneticPr fontId="2" type="noConversion"/>
  </si>
  <si>
    <r>
      <t xml:space="preserve">J </t>
    </r>
    <r>
      <rPr>
        <b/>
        <sz val="11"/>
        <color indexed="8"/>
        <rFont val="맑은 고딕"/>
        <family val="3"/>
        <charset val="129"/>
      </rPr>
      <t>= A×(E-F)×H×(10^-3)×44/28</t>
    </r>
    <phoneticPr fontId="2" type="noConversion"/>
  </si>
  <si>
    <t>CH₄ 배출량
(㎏CH₄)</t>
    <phoneticPr fontId="9" type="noConversion"/>
  </si>
  <si>
    <r>
      <t>G</t>
    </r>
    <r>
      <rPr>
        <b/>
        <sz val="12"/>
        <color indexed="8"/>
        <rFont val="맑은 고딕"/>
        <family val="3"/>
        <charset val="129"/>
      </rPr>
      <t xml:space="preserve"> = (F×21) * 10^-3</t>
    </r>
    <phoneticPr fontId="2" type="noConversion"/>
  </si>
  <si>
    <r>
      <t xml:space="preserve">H </t>
    </r>
    <r>
      <rPr>
        <b/>
        <sz val="12"/>
        <color indexed="8"/>
        <rFont val="맑은 고딕"/>
        <family val="3"/>
        <charset val="129"/>
      </rPr>
      <t>= (G - B) * 10^3</t>
    </r>
    <phoneticPr fontId="2" type="noConversion"/>
  </si>
  <si>
    <t>② 이동연소부문 경유 N₂O배출계수 오타수정</t>
    <phoneticPr fontId="18" type="noConversion"/>
  </si>
  <si>
    <r>
      <t>K</t>
    </r>
    <r>
      <rPr>
        <b/>
        <sz val="11"/>
        <color indexed="8"/>
        <rFont val="맑은 고딕"/>
        <family val="3"/>
        <charset val="129"/>
      </rPr>
      <t>= (I×21+J×310) * 10^-3</t>
    </r>
    <phoneticPr fontId="2" type="noConversion"/>
  </si>
  <si>
    <t>① 지침고시에 따른 명세서 양식 반영(온실가스별 배출량 단위 수정 ; CO₂ : ton, CH₄ : ㎏, N₂O : ㎏, CO₂eq : ton, Scope별 에너지 : MJ, 에너지총량 :TJ)</t>
    <phoneticPr fontId="18" type="noConversion"/>
  </si>
  <si>
    <t>산화계수(고체연료)</t>
    <phoneticPr fontId="9" type="noConversion"/>
  </si>
  <si>
    <t>Tier1(1.0), Tier2(0.99), Tier3(0.99)</t>
    <phoneticPr fontId="2" type="noConversion"/>
  </si>
  <si>
    <r>
      <t>Tier1(</t>
    </r>
    <r>
      <rPr>
        <sz val="9"/>
        <color indexed="8"/>
        <rFont val="맑은 고딕"/>
        <family val="3"/>
        <charset val="129"/>
      </rPr>
      <t>1.0</t>
    </r>
    <r>
      <rPr>
        <sz val="9"/>
        <color indexed="8"/>
        <rFont val="맑은 고딕"/>
        <family val="3"/>
        <charset val="129"/>
      </rPr>
      <t>)</t>
    </r>
    <r>
      <rPr>
        <sz val="9"/>
        <color indexed="8"/>
        <rFont val="맑은 고딕"/>
        <family val="3"/>
        <charset val="129"/>
      </rPr>
      <t>, Tier2</t>
    </r>
    <r>
      <rPr>
        <sz val="9"/>
        <color indexed="8"/>
        <rFont val="맑은 고딕"/>
        <family val="3"/>
        <charset val="129"/>
      </rPr>
      <t>(0.995)</t>
    </r>
    <r>
      <rPr>
        <sz val="9"/>
        <color indexed="8"/>
        <rFont val="맑은 고딕"/>
        <family val="3"/>
        <charset val="129"/>
      </rPr>
      <t>, Tier3</t>
    </r>
    <r>
      <rPr>
        <sz val="9"/>
        <color indexed="8"/>
        <rFont val="맑은 고딕"/>
        <family val="3"/>
        <charset val="129"/>
      </rPr>
      <t>(배출계수에포함되므로,1로적용함)</t>
    </r>
    <phoneticPr fontId="2" type="noConversion"/>
  </si>
  <si>
    <t>Tier1(1.0), Tier2(발전:0.99, 기타:0.98), Tier3(직접입력)</t>
    <phoneticPr fontId="2" type="noConversion"/>
  </si>
  <si>
    <r>
      <t>1) 배출량 산정대상 사업장유형(제조업,건설업) 및 산정등급 선택(</t>
    </r>
    <r>
      <rPr>
        <b/>
        <sz val="14"/>
        <color indexed="10"/>
        <rFont val="맑은 고딕"/>
        <family val="3"/>
        <charset val="129"/>
      </rPr>
      <t>Tier 3 산정등급 선택시 고체연료의 산화계수 직접입력</t>
    </r>
    <r>
      <rPr>
        <b/>
        <sz val="14"/>
        <color indexed="13"/>
        <rFont val="맑은 고딕"/>
        <family val="3"/>
        <charset val="129"/>
      </rPr>
      <t>)</t>
    </r>
    <phoneticPr fontId="9" type="noConversion"/>
  </si>
  <si>
    <t>이동연소</t>
    <phoneticPr fontId="2" type="noConversion"/>
  </si>
  <si>
    <t>연료산화계수</t>
    <phoneticPr fontId="2" type="noConversion"/>
  </si>
  <si>
    <r>
      <t>적용하지 않으므로</t>
    </r>
    <r>
      <rPr>
        <sz val="9"/>
        <color indexed="8"/>
        <rFont val="맑은 고딕"/>
        <family val="3"/>
        <charset val="129"/>
      </rPr>
      <t xml:space="preserve"> 계산의편의를 위해 1로 적용</t>
    </r>
    <phoneticPr fontId="2" type="noConversion"/>
  </si>
  <si>
    <t>① 「가.에너지」부문 산화계수 적용 오류 수정</t>
    <phoneticPr fontId="18" type="noConversion"/>
  </si>
  <si>
    <r>
      <t>부탄의 발열량</t>
    </r>
    <r>
      <rPr>
        <sz val="9"/>
        <color indexed="8"/>
        <rFont val="맑은 고딕"/>
        <family val="3"/>
        <charset val="129"/>
      </rPr>
      <t>, LPG배출계수 적용</t>
    </r>
    <phoneticPr fontId="2" type="noConversion"/>
  </si>
  <si>
    <t>Ver.1.42</t>
    <phoneticPr fontId="18" type="noConversion"/>
  </si>
  <si>
    <t xml:space="preserve">기후대기본부 기후변화대응처 온실가스목표팀 </t>
    <phoneticPr fontId="18" type="noConversion"/>
  </si>
  <si>
    <t>② 차량용LPG의 발열량 및 배출계수 적용 변경(발열량 - 부탄 적용, 배출계수 - LPG 적용)</t>
    <phoneticPr fontId="18" type="noConversion"/>
  </si>
  <si>
    <r>
      <rPr>
        <sz val="11"/>
        <rFont val="맑은 고딕"/>
        <family val="3"/>
        <charset val="129"/>
      </rPr>
      <t xml:space="preserve">마. 본 파일의 수정에 따른 </t>
    </r>
    <r>
      <rPr>
        <b/>
        <sz val="11"/>
        <color indexed="10"/>
        <rFont val="맑은 고딕"/>
        <family val="3"/>
        <charset val="129"/>
      </rPr>
      <t>신규 버전 파일은 한국환경공단 홈페이지의 기후변화대응 자료실에서 내려 받으시기 바랍니다.</t>
    </r>
    <phoneticPr fontId="18" type="noConversion"/>
  </si>
  <si>
    <t>Ver.1.50</t>
    <phoneticPr fontId="18" type="noConversion"/>
  </si>
  <si>
    <t>① 에너지 부문 온실가스별 산정등급 적용을 달리할 수 있도록 수정</t>
    <phoneticPr fontId="18" type="noConversion"/>
  </si>
  <si>
    <r>
      <t>산정등급(일괄</t>
    </r>
    <r>
      <rPr>
        <b/>
        <sz val="12"/>
        <color indexed="30"/>
        <rFont val="맑은 고딕"/>
        <family val="3"/>
        <charset val="129"/>
      </rPr>
      <t>)</t>
    </r>
    <phoneticPr fontId="9" type="noConversion"/>
  </si>
  <si>
    <t>개별산정</t>
    <phoneticPr fontId="2" type="noConversion"/>
  </si>
  <si>
    <t xml:space="preserve"> -산정등급(CO2)</t>
    <phoneticPr fontId="9" type="noConversion"/>
  </si>
  <si>
    <t xml:space="preserve"> -산정등급(CH4)</t>
    <phoneticPr fontId="9" type="noConversion"/>
  </si>
  <si>
    <t xml:space="preserve"> -산정등급(N2O)</t>
    <phoneticPr fontId="9" type="noConversion"/>
  </si>
  <si>
    <t>CO2</t>
    <phoneticPr fontId="2" type="noConversion"/>
  </si>
  <si>
    <t>N2O</t>
    <phoneticPr fontId="2" type="noConversion"/>
  </si>
  <si>
    <t>CH4</t>
    <phoneticPr fontId="2" type="noConversion"/>
  </si>
  <si>
    <t>1)연료(CO2)의
산화계수</t>
    <phoneticPr fontId="9" type="noConversion"/>
  </si>
  <si>
    <t>1)연료(CH4)의
산화계수</t>
    <phoneticPr fontId="9" type="noConversion"/>
  </si>
  <si>
    <t>1)연료(N2O)의
산화계수</t>
    <phoneticPr fontId="9" type="noConversion"/>
  </si>
  <si>
    <r>
      <t xml:space="preserve">G </t>
    </r>
    <r>
      <rPr>
        <b/>
        <sz val="12"/>
        <color indexed="8"/>
        <rFont val="맑은 고딕"/>
        <family val="3"/>
        <charset val="129"/>
      </rPr>
      <t>= A×B</t>
    </r>
    <r>
      <rPr>
        <b/>
        <vertAlign val="subscript"/>
        <sz val="12"/>
        <color indexed="8"/>
        <rFont val="맑은 고딕"/>
        <family val="3"/>
        <charset val="129"/>
      </rPr>
      <t>2</t>
    </r>
    <r>
      <rPr>
        <b/>
        <sz val="12"/>
        <color indexed="8"/>
        <rFont val="맑은 고딕"/>
        <family val="3"/>
        <charset val="129"/>
      </rPr>
      <t>×C×F</t>
    </r>
    <r>
      <rPr>
        <b/>
        <vertAlign val="subscript"/>
        <sz val="12"/>
        <color indexed="8"/>
        <rFont val="맑은 고딕"/>
        <family val="3"/>
        <charset val="129"/>
      </rPr>
      <t>1</t>
    </r>
    <r>
      <rPr>
        <b/>
        <sz val="12"/>
        <color indexed="8"/>
        <rFont val="맑은 고딕"/>
        <family val="3"/>
        <charset val="129"/>
      </rPr>
      <t>×(10^-9)</t>
    </r>
    <phoneticPr fontId="9" type="noConversion"/>
  </si>
  <si>
    <r>
      <t xml:space="preserve">H </t>
    </r>
    <r>
      <rPr>
        <b/>
        <sz val="12"/>
        <color indexed="8"/>
        <rFont val="맑은 고딕"/>
        <family val="3"/>
        <charset val="129"/>
      </rPr>
      <t>= A×B</t>
    </r>
    <r>
      <rPr>
        <b/>
        <vertAlign val="subscript"/>
        <sz val="12"/>
        <color indexed="8"/>
        <rFont val="맑은 고딕"/>
        <family val="3"/>
        <charset val="129"/>
      </rPr>
      <t>2</t>
    </r>
    <r>
      <rPr>
        <b/>
        <sz val="12"/>
        <color indexed="8"/>
        <rFont val="맑은 고딕"/>
        <family val="3"/>
        <charset val="129"/>
      </rPr>
      <t>×F</t>
    </r>
    <r>
      <rPr>
        <b/>
        <vertAlign val="subscript"/>
        <sz val="12"/>
        <color indexed="8"/>
        <rFont val="맑은 고딕"/>
        <family val="3"/>
        <charset val="129"/>
      </rPr>
      <t>2</t>
    </r>
    <r>
      <rPr>
        <b/>
        <sz val="12"/>
        <color indexed="8"/>
        <rFont val="맑은 고딕"/>
        <family val="3"/>
        <charset val="129"/>
      </rPr>
      <t>×D×(10^-6)</t>
    </r>
    <phoneticPr fontId="9" type="noConversion"/>
  </si>
  <si>
    <r>
      <t xml:space="preserve">I </t>
    </r>
    <r>
      <rPr>
        <b/>
        <sz val="12"/>
        <color indexed="8"/>
        <rFont val="맑은 고딕"/>
        <family val="3"/>
        <charset val="129"/>
      </rPr>
      <t>= A×B</t>
    </r>
    <r>
      <rPr>
        <b/>
        <vertAlign val="subscript"/>
        <sz val="12"/>
        <color indexed="8"/>
        <rFont val="맑은 고딕"/>
        <family val="3"/>
        <charset val="129"/>
      </rPr>
      <t>2</t>
    </r>
    <r>
      <rPr>
        <b/>
        <sz val="12"/>
        <color indexed="8"/>
        <rFont val="맑은 고딕"/>
        <family val="3"/>
        <charset val="129"/>
      </rPr>
      <t>×E×F</t>
    </r>
    <r>
      <rPr>
        <b/>
        <vertAlign val="subscript"/>
        <sz val="12"/>
        <color indexed="8"/>
        <rFont val="맑은 고딕"/>
        <family val="3"/>
        <charset val="129"/>
      </rPr>
      <t>3</t>
    </r>
    <r>
      <rPr>
        <b/>
        <sz val="12"/>
        <color indexed="8"/>
        <rFont val="맑은 고딕"/>
        <family val="3"/>
        <charset val="129"/>
      </rPr>
      <t>×(10^-6)</t>
    </r>
    <phoneticPr fontId="9" type="noConversion"/>
  </si>
  <si>
    <r>
      <t>F</t>
    </r>
    <r>
      <rPr>
        <b/>
        <vertAlign val="subscript"/>
        <sz val="12"/>
        <color indexed="30"/>
        <rFont val="맑은 고딕"/>
        <family val="3"/>
        <charset val="129"/>
      </rPr>
      <t>1</t>
    </r>
    <phoneticPr fontId="9" type="noConversion"/>
  </si>
  <si>
    <r>
      <t>F</t>
    </r>
    <r>
      <rPr>
        <b/>
        <vertAlign val="subscript"/>
        <sz val="12"/>
        <color indexed="30"/>
        <rFont val="맑은 고딕"/>
        <family val="3"/>
        <charset val="129"/>
      </rPr>
      <t>2</t>
    </r>
    <phoneticPr fontId="9" type="noConversion"/>
  </si>
  <si>
    <r>
      <t>F</t>
    </r>
    <r>
      <rPr>
        <b/>
        <vertAlign val="subscript"/>
        <sz val="12"/>
        <color indexed="30"/>
        <rFont val="맑은 고딕"/>
        <family val="3"/>
        <charset val="129"/>
      </rPr>
      <t>3</t>
    </r>
    <phoneticPr fontId="9" type="noConversion"/>
  </si>
  <si>
    <r>
      <t>3)활동자료 입력 - 물리적 조성에 따른 폐기물 매립량(W</t>
    </r>
    <r>
      <rPr>
        <b/>
        <vertAlign val="subscript"/>
        <sz val="14"/>
        <color indexed="30"/>
        <rFont val="맑은 고딕"/>
        <family val="3"/>
        <charset val="129"/>
      </rPr>
      <t xml:space="preserve">T, </t>
    </r>
    <r>
      <rPr>
        <b/>
        <sz val="14"/>
        <color indexed="30"/>
        <rFont val="맑은 고딕"/>
        <family val="3"/>
        <charset val="129"/>
      </rPr>
      <t>tWaste/yr)</t>
    </r>
    <phoneticPr fontId="2" type="noConversion"/>
  </si>
  <si>
    <t>석유환산톤</t>
    <phoneticPr fontId="9" type="noConversion"/>
  </si>
  <si>
    <t>석유환산톤
(TOE)</t>
    <phoneticPr fontId="9" type="noConversion"/>
  </si>
  <si>
    <t>석유환산톤</t>
    <phoneticPr fontId="2" type="noConversion"/>
  </si>
  <si>
    <r>
      <t>총발열량 기준
석유환산계수
(10</t>
    </r>
    <r>
      <rPr>
        <b/>
        <vertAlign val="superscript"/>
        <sz val="12"/>
        <color indexed="30"/>
        <rFont val="맑은 고딕"/>
        <family val="3"/>
        <charset val="129"/>
      </rPr>
      <t>-3</t>
    </r>
    <r>
      <rPr>
        <b/>
        <sz val="12"/>
        <color indexed="30"/>
        <rFont val="맑은 고딕"/>
        <family val="3"/>
        <charset val="129"/>
      </rPr>
      <t>TOE/연료단위)</t>
    </r>
    <phoneticPr fontId="9" type="noConversion"/>
  </si>
  <si>
    <t>Ver.1.51</t>
    <phoneticPr fontId="18" type="noConversion"/>
  </si>
  <si>
    <t>① 에너지 부문 석유환산톤(TOE)산정이 가능하도록 수정(단, 2011년 12월 개정이전의 에너지열량 환산기준임)</t>
    <phoneticPr fontId="18" type="noConversion"/>
  </si>
  <si>
    <t>보일러등유준용</t>
    <phoneticPr fontId="2" type="noConversion"/>
  </si>
  <si>
    <r>
      <t>B</t>
    </r>
    <r>
      <rPr>
        <sz val="9"/>
        <color indexed="8"/>
        <rFont val="맑은 고딕"/>
        <family val="3"/>
        <charset val="129"/>
      </rPr>
      <t>-C유 준용</t>
    </r>
    <phoneticPr fontId="2" type="noConversion"/>
  </si>
  <si>
    <r>
      <t>전기(소비기준</t>
    </r>
    <r>
      <rPr>
        <sz val="11"/>
        <color indexed="8"/>
        <rFont val="맑은 고딕"/>
        <family val="3"/>
        <charset val="129"/>
      </rPr>
      <t>)</t>
    </r>
    <phoneticPr fontId="2" type="noConversion"/>
  </si>
  <si>
    <r>
      <t>전기(발전기준</t>
    </r>
    <r>
      <rPr>
        <sz val="11"/>
        <color indexed="8"/>
        <rFont val="맑은 고딕"/>
        <family val="3"/>
        <charset val="129"/>
      </rPr>
      <t>)</t>
    </r>
    <phoneticPr fontId="2" type="noConversion"/>
  </si>
  <si>
    <t>등유</t>
    <phoneticPr fontId="2" type="noConversion"/>
  </si>
  <si>
    <t>전기(소비기준)</t>
  </si>
  <si>
    <r>
      <t>전기(발전기준</t>
    </r>
    <r>
      <rPr>
        <sz val="9"/>
        <color indexed="8"/>
        <rFont val="맑은 고딕"/>
        <family val="3"/>
        <charset val="129"/>
      </rPr>
      <t>)</t>
    </r>
    <phoneticPr fontId="2" type="noConversion"/>
  </si>
  <si>
    <r>
      <t>전기(소비기준</t>
    </r>
    <r>
      <rPr>
        <sz val="9"/>
        <color indexed="8"/>
        <rFont val="맑은 고딕"/>
        <family val="3"/>
        <charset val="129"/>
      </rPr>
      <t>)</t>
    </r>
    <phoneticPr fontId="2" type="noConversion"/>
  </si>
  <si>
    <t>외부공급</t>
    <phoneticPr fontId="2" type="noConversion"/>
  </si>
  <si>
    <t>2) 외부공급 전기사용량 입력</t>
    <phoneticPr fontId="9" type="noConversion"/>
  </si>
  <si>
    <t>3) 외부공급 열(스팀) 사용량/제공받은 배출계수 입력</t>
    <phoneticPr fontId="9" type="noConversion"/>
  </si>
  <si>
    <t>1) 목록에서 전기(소비기준) or 전기(발전기준) 선택</t>
    <phoneticPr fontId="9" type="noConversion"/>
  </si>
  <si>
    <t>◆[이동연소 온실가스별 배출계수] 출처 : 2006 IPCC Guideline</t>
    <phoneticPr fontId="2" type="noConversion"/>
  </si>
  <si>
    <r>
      <t xml:space="preserve">라. 본 파일을 사용하는 도중에 오류를 발견하거나, 파일을 수정/재가공 하고자 할 경우 </t>
    </r>
    <r>
      <rPr>
        <b/>
        <sz val="11"/>
        <rFont val="맑은 고딕"/>
        <family val="3"/>
        <charset val="129"/>
      </rPr>
      <t>온실가스목표팀(032-590-</t>
    </r>
    <r>
      <rPr>
        <b/>
        <sz val="11"/>
        <rFont val="맑은 고딕"/>
        <family val="3"/>
        <charset val="129"/>
      </rPr>
      <t>5204</t>
    </r>
    <r>
      <rPr>
        <b/>
        <sz val="11"/>
        <rFont val="맑은 고딕"/>
        <family val="3"/>
        <charset val="129"/>
      </rPr>
      <t>)으로 연락 주시기 바랍니다.</t>
    </r>
    <phoneticPr fontId="18" type="noConversion"/>
  </si>
  <si>
    <r>
      <t>나. 본 배출량 계산 파일은 환경부고시 제2012-211호(2012.11.05) "</t>
    </r>
    <r>
      <rPr>
        <b/>
        <sz val="11"/>
        <color indexed="8"/>
        <rFont val="맑은 고딕"/>
        <family val="3"/>
        <charset val="129"/>
      </rPr>
      <t>온실가스</t>
    </r>
    <r>
      <rPr>
        <b/>
        <sz val="11"/>
        <color indexed="8"/>
        <rFont val="맑은 고딕"/>
        <family val="3"/>
        <charset val="129"/>
      </rPr>
      <t>·</t>
    </r>
    <r>
      <rPr>
        <b/>
        <sz val="11"/>
        <color indexed="8"/>
        <rFont val="맑은 고딕"/>
        <family val="3"/>
        <charset val="129"/>
      </rPr>
      <t>에너지 목표관리 운영 등에 관한 지침"의 배출량 산정방법론</t>
    </r>
    <r>
      <rPr>
        <sz val="11"/>
        <color theme="1"/>
        <rFont val="맑은 고딕"/>
        <family val="3"/>
        <charset val="129"/>
        <scheme val="minor"/>
      </rPr>
      <t>에 근거하고 있습니다.</t>
    </r>
    <phoneticPr fontId="18" type="noConversion"/>
  </si>
  <si>
    <t>등유</t>
  </si>
  <si>
    <t>① 환경부고시 제2012-211호(2012.11.05) 기준으로 배출계수, 발열량 등 수정</t>
  </si>
  <si>
    <t>이동연소</t>
  </si>
  <si>
    <t>기타, 비활성 폐기물</t>
    <phoneticPr fontId="2" type="noConversion"/>
  </si>
  <si>
    <t>기타</t>
    <phoneticPr fontId="2" type="noConversion"/>
  </si>
  <si>
    <t>Ver.2.0</t>
    <phoneticPr fontId="2" type="noConversion"/>
  </si>
  <si>
    <t>② 소각(사업장폐기물) 액상폐기물 추가</t>
    <phoneticPr fontId="2" type="noConversion"/>
  </si>
  <si>
    <t>③ 매립(사업장 기타폐기물 및 병원성폐기물) 메탄발생속도상수(k) 수정</t>
    <phoneticPr fontId="2" type="noConversion"/>
  </si>
  <si>
    <t>④ 외부공급 전기부문 콤보박스추가(전력(소비기준), 전력(발전기준))</t>
    <phoneticPr fontId="2" type="noConversion"/>
  </si>
  <si>
    <t>석유제품, 용매, 플라스틱 등</t>
    <phoneticPr fontId="2" type="noConversion"/>
  </si>
  <si>
    <t>액상폐기물</t>
    <phoneticPr fontId="2" type="noConversion"/>
  </si>
  <si>
    <t>-</t>
    <phoneticPr fontId="2" type="noConversion"/>
  </si>
  <si>
    <t>Fossil liquid waste</t>
    <phoneticPr fontId="2" type="noConversion"/>
  </si>
  <si>
    <t>화석 액체 폐기물</t>
    <phoneticPr fontId="2" type="noConversion"/>
  </si>
  <si>
    <t>Ver. 2.0 (2013.03.21)</t>
    <phoneticPr fontId="18" type="noConversion"/>
  </si>
  <si>
    <t>액상폐기물</t>
    <phoneticPr fontId="2" type="noConversion"/>
  </si>
  <si>
    <t>AAAABAAABBBN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</si>
</sst>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-* #,##0_-;\-* #,##0_-;_-* &quot;-&quot;_-;_-@_-"/>
    <numFmt numFmtId="176" formatCode="0.0_ "/>
    <numFmt numFmtId="177" formatCode="0.00_ "/>
    <numFmt numFmtId="178" formatCode="0.0000_ "/>
    <numFmt numFmtId="179" formatCode="0.000_ "/>
    <numFmt numFmtId="180" formatCode="0.0_);[Red]\(0.0\)"/>
    <numFmt numFmtId="181" formatCode="0_);[Red]\(0\)"/>
    <numFmt numFmtId="182" formatCode="#,##0.0_);[Red]\(#,##0.0\)"/>
    <numFmt numFmtId="183" formatCode="0.0%"/>
    <numFmt numFmtId="184" formatCode="#,##0_);[Red]\(#,##0\)"/>
    <numFmt numFmtId="185" formatCode="0.000000_ "/>
    <numFmt numFmtId="186" formatCode="0.00_);[Red]\(0.00\)"/>
    <numFmt numFmtId="187" formatCode="_-* #,##0.0_-;\-* #,##0.0_-;_-* &quot;-&quot;_-;_-@_-"/>
    <numFmt numFmtId="188" formatCode="_-* #,##0.00_-;\-* #,##0.00_-;_-* &quot;-&quot;_-;_-@_-"/>
    <numFmt numFmtId="189" formatCode="_-* #,##0.000_-;\-* #,##0.000_-;_-* &quot;-&quot;_-;_-@_-"/>
    <numFmt numFmtId="190" formatCode="#,##0_ "/>
    <numFmt numFmtId="191" formatCode="#,##0.0_ "/>
    <numFmt numFmtId="192" formatCode="#,##0.0000_);[Red]\(#,##0.0000\)"/>
    <numFmt numFmtId="193" formatCode="0.0000_);[Red]\(0.0000\)"/>
    <numFmt numFmtId="194" formatCode="#,##0.000_ "/>
    <numFmt numFmtId="195" formatCode="#,##0.000_);[Red]\(#,##0.000\)"/>
    <numFmt numFmtId="196" formatCode="0.0"/>
    <numFmt numFmtId="197" formatCode="0.000"/>
    <numFmt numFmtId="198" formatCode="0.0;_섈"/>
    <numFmt numFmtId="205" formatCode="0.000_);[Red]\(0.000\)"/>
  </numFmts>
  <fonts count="173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vertAlign val="subscript"/>
      <sz val="11"/>
      <color indexed="8"/>
      <name val="맑은 고딕"/>
      <family val="3"/>
      <charset val="129"/>
    </font>
    <font>
      <b/>
      <sz val="14"/>
      <color indexed="30"/>
      <name val="맑은 고딕"/>
      <family val="3"/>
      <charset val="129"/>
    </font>
    <font>
      <b/>
      <vertAlign val="subscript"/>
      <sz val="14"/>
      <color indexed="30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vertAlign val="superscript"/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2"/>
      <color indexed="3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2"/>
      <color indexed="81"/>
      <name val="돋움"/>
      <family val="3"/>
      <charset val="129"/>
    </font>
    <font>
      <sz val="12"/>
      <color indexed="81"/>
      <name val="돋움"/>
      <family val="3"/>
      <charset val="129"/>
    </font>
    <font>
      <b/>
      <i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u/>
      <sz val="11"/>
      <color indexed="8"/>
      <name val="맑은 고딕"/>
      <family val="3"/>
      <charset val="129"/>
    </font>
    <font>
      <b/>
      <i/>
      <u/>
      <sz val="11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vertAlign val="subscript"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b/>
      <vertAlign val="subscript"/>
      <sz val="12"/>
      <color indexed="30"/>
      <name val="맑은 고딕"/>
      <family val="3"/>
      <charset val="129"/>
    </font>
    <font>
      <b/>
      <vertAlign val="subscript"/>
      <sz val="12"/>
      <color indexed="8"/>
      <name val="맑은 고딕"/>
      <family val="3"/>
      <charset val="129"/>
    </font>
    <font>
      <b/>
      <vertAlign val="subscript"/>
      <sz val="12"/>
      <name val="맑은 고딕"/>
      <family val="3"/>
      <charset val="129"/>
    </font>
    <font>
      <b/>
      <i/>
      <sz val="14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u/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60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i/>
      <sz val="11"/>
      <color indexed="8"/>
      <name val="맑은 고딕"/>
      <family val="3"/>
      <charset val="129"/>
    </font>
    <font>
      <b/>
      <sz val="14"/>
      <color indexed="22"/>
      <name val="맑은 고딕"/>
      <family val="3"/>
      <charset val="129"/>
    </font>
    <font>
      <b/>
      <sz val="12"/>
      <color indexed="30"/>
      <name val="맑은 고딕"/>
      <family val="3"/>
      <charset val="129"/>
    </font>
    <font>
      <b/>
      <sz val="12"/>
      <color indexed="30"/>
      <name val="맑은 고딕"/>
      <family val="3"/>
      <charset val="129"/>
    </font>
    <font>
      <b/>
      <sz val="14"/>
      <color indexed="30"/>
      <name val="맑은 고딕"/>
      <family val="3"/>
      <charset val="129"/>
    </font>
    <font>
      <sz val="11"/>
      <color indexed="46"/>
      <name val="맑은 고딕"/>
      <family val="3"/>
      <charset val="129"/>
    </font>
    <font>
      <sz val="14"/>
      <color indexed="8"/>
      <name val="맑은 고딕"/>
      <family val="3"/>
      <charset val="129"/>
    </font>
    <font>
      <b/>
      <sz val="11"/>
      <color indexed="30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i/>
      <sz val="12"/>
      <color indexed="60"/>
      <name val="맑은 고딕"/>
      <family val="3"/>
      <charset val="129"/>
    </font>
    <font>
      <sz val="12"/>
      <color indexed="60"/>
      <name val="맑은 고딕"/>
      <family val="3"/>
      <charset val="129"/>
    </font>
    <font>
      <b/>
      <sz val="12"/>
      <color indexed="60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30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30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u/>
      <sz val="14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i/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b/>
      <i/>
      <sz val="11"/>
      <color indexed="60"/>
      <name val="맑은 고딕"/>
      <family val="3"/>
      <charset val="129"/>
    </font>
    <font>
      <b/>
      <i/>
      <sz val="14"/>
      <color indexed="60"/>
      <name val="맑은 고딕"/>
      <family val="3"/>
      <charset val="129"/>
    </font>
    <font>
      <i/>
      <sz val="14"/>
      <color indexed="60"/>
      <name val="맑은 고딕"/>
      <family val="3"/>
      <charset val="129"/>
    </font>
    <font>
      <i/>
      <sz val="14"/>
      <color indexed="8"/>
      <name val="맑은 고딕"/>
      <family val="3"/>
      <charset val="129"/>
    </font>
    <font>
      <sz val="9"/>
      <color indexed="23"/>
      <name val="맑은 고딕"/>
      <family val="3"/>
      <charset val="129"/>
    </font>
    <font>
      <b/>
      <sz val="11"/>
      <color indexed="23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i/>
      <sz val="11"/>
      <name val="맑은 고딕"/>
      <family val="3"/>
      <charset val="129"/>
    </font>
    <font>
      <b/>
      <i/>
      <sz val="14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indexed="9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2"/>
      <color indexed="36"/>
      <name val="맑은 고딕"/>
      <family val="3"/>
      <charset val="129"/>
    </font>
    <font>
      <b/>
      <sz val="10"/>
      <name val="맑은 고딕"/>
      <family val="3"/>
      <charset val="129"/>
    </font>
    <font>
      <i/>
      <sz val="12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vertAlign val="subscript"/>
      <sz val="11"/>
      <color indexed="63"/>
      <name val="맑은 고딕"/>
      <family val="3"/>
      <charset val="129"/>
    </font>
    <font>
      <b/>
      <vertAlign val="subscript"/>
      <sz val="14"/>
      <color indexed="8"/>
      <name val="맑은 고딕"/>
      <family val="3"/>
      <charset val="129"/>
    </font>
    <font>
      <b/>
      <vertAlign val="superscript"/>
      <sz val="14"/>
      <color indexed="8"/>
      <name val="맑은 고딕"/>
      <family val="3"/>
      <charset val="129"/>
    </font>
    <font>
      <sz val="11"/>
      <color indexed="30"/>
      <name val="맑은 고딕"/>
      <family val="3"/>
      <charset val="129"/>
    </font>
    <font>
      <b/>
      <u/>
      <sz val="9"/>
      <color indexed="30"/>
      <name val="맑은 고딕"/>
      <family val="3"/>
      <charset val="129"/>
    </font>
    <font>
      <b/>
      <sz val="16"/>
      <color indexed="10"/>
      <name val="맑은 고딕"/>
      <family val="3"/>
      <charset val="129"/>
    </font>
    <font>
      <sz val="16"/>
      <color indexed="10"/>
      <name val="맑은 고딕"/>
      <family val="3"/>
      <charset val="129"/>
    </font>
    <font>
      <b/>
      <vertAlign val="superscript"/>
      <sz val="14"/>
      <name val="맑은 고딕"/>
      <family val="3"/>
      <charset val="129"/>
    </font>
    <font>
      <b/>
      <i/>
      <vertAlign val="subscript"/>
      <sz val="14"/>
      <name val="맑은 고딕"/>
      <family val="3"/>
      <charset val="129"/>
    </font>
    <font>
      <b/>
      <i/>
      <vertAlign val="superscript"/>
      <sz val="14"/>
      <name val="맑은 고딕"/>
      <family val="3"/>
      <charset val="129"/>
    </font>
    <font>
      <b/>
      <i/>
      <sz val="12"/>
      <name val="맑은 고딕"/>
      <family val="3"/>
      <charset val="129"/>
    </font>
    <font>
      <b/>
      <sz val="14"/>
      <color indexed="13"/>
      <name val="맑은 고딕"/>
      <family val="3"/>
      <charset val="129"/>
    </font>
    <font>
      <b/>
      <i/>
      <sz val="14"/>
      <color indexed="13"/>
      <name val="맑은 고딕"/>
      <family val="3"/>
      <charset val="129"/>
    </font>
    <font>
      <b/>
      <sz val="16"/>
      <color indexed="60"/>
      <name val="맑은 고딕"/>
      <family val="3"/>
      <charset val="129"/>
    </font>
    <font>
      <b/>
      <vertAlign val="subscript"/>
      <sz val="14"/>
      <color indexed="13"/>
      <name val="맑은 고딕"/>
      <family val="3"/>
      <charset val="129"/>
    </font>
    <font>
      <u/>
      <sz val="9"/>
      <color indexed="81"/>
      <name val="돋움"/>
      <family val="3"/>
      <charset val="129"/>
    </font>
    <font>
      <u/>
      <sz val="9"/>
      <color indexed="81"/>
      <name val="Tahoma"/>
      <family val="2"/>
    </font>
    <font>
      <b/>
      <vertAlign val="subscript"/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b/>
      <vertAlign val="superscript"/>
      <sz val="9"/>
      <color indexed="9"/>
      <name val="맑은 고딕"/>
      <family val="3"/>
      <charset val="129"/>
    </font>
    <font>
      <b/>
      <u/>
      <sz val="10"/>
      <color indexed="10"/>
      <name val="맑은 고딕"/>
      <family val="3"/>
      <charset val="129"/>
    </font>
    <font>
      <sz val="10"/>
      <name val="맑은 고딕"/>
      <family val="3"/>
      <charset val="129"/>
    </font>
    <font>
      <u/>
      <sz val="10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2"/>
      <color indexed="81"/>
      <name val="맑은 고딕"/>
      <family val="3"/>
      <charset val="129"/>
    </font>
    <font>
      <sz val="9.35"/>
      <color indexed="8"/>
      <name val="맑은 고딕"/>
      <family val="3"/>
      <charset val="129"/>
    </font>
    <font>
      <b/>
      <sz val="14"/>
      <color indexed="10"/>
      <name val="맑은 고딕"/>
      <family val="3"/>
      <charset val="129"/>
    </font>
    <font>
      <b/>
      <vertAlign val="superscript"/>
      <sz val="12"/>
      <color indexed="3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b/>
      <sz val="10"/>
      <color rgb="FFFFFF00"/>
      <name val="맑은 고딕"/>
      <family val="3"/>
      <charset val="129"/>
    </font>
    <font>
      <b/>
      <sz val="14"/>
      <color rgb="FFFFFF00"/>
      <name val="맑은 고딕"/>
      <family val="3"/>
      <charset val="129"/>
    </font>
    <font>
      <sz val="14"/>
      <color rgb="FFFFFF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sz val="2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</font>
    <font>
      <b/>
      <sz val="11"/>
      <color theme="1" tint="0.1499984740745262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u/>
      <sz val="12"/>
      <color rgb="FF0070C0"/>
      <name val="맑은 고딕"/>
      <family val="3"/>
      <charset val="129"/>
    </font>
    <font>
      <sz val="11"/>
      <color theme="5" tint="-0.249977111117893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00B05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3" tint="-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b/>
      <sz val="16"/>
      <color rgb="FFFF0000"/>
      <name val="맑은 고딕"/>
      <family val="3"/>
      <charset val="129"/>
    </font>
    <font>
      <sz val="11"/>
      <color rgb="FF00B05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 tint="0.1499984740745262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4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i/>
      <sz val="11"/>
      <color rgb="FFFF0000"/>
      <name val="맑은 고딕"/>
      <family val="3"/>
      <charset val="129"/>
    </font>
    <font>
      <b/>
      <u/>
      <sz val="9"/>
      <color rgb="FF7030A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u/>
      <sz val="12"/>
      <color rgb="FF0000FF"/>
      <name val="맑은 고딕"/>
      <family val="3"/>
      <charset val="129"/>
    </font>
    <font>
      <b/>
      <sz val="11"/>
      <color rgb="FF002060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</font>
    <font>
      <b/>
      <sz val="18"/>
      <color theme="1" tint="0.34998626667073579"/>
      <name val="HY견고딕"/>
      <family val="1"/>
      <charset val="129"/>
    </font>
    <font>
      <b/>
      <sz val="20"/>
      <color theme="1" tint="0.34998626667073579"/>
      <name val="HY견고딕"/>
      <family val="1"/>
      <charset val="129"/>
    </font>
    <font>
      <b/>
      <sz val="24"/>
      <color theme="3" tint="-0.249977111117893"/>
      <name val="HY견고딕"/>
      <family val="1"/>
      <charset val="129"/>
    </font>
    <font>
      <b/>
      <sz val="18"/>
      <color rgb="FF002060"/>
      <name val="HY견고딕"/>
      <family val="1"/>
      <charset val="129"/>
    </font>
    <font>
      <b/>
      <sz val="14"/>
      <color rgb="FF0066CC"/>
      <name val="맑은 고딕"/>
      <family val="3"/>
      <charset val="129"/>
    </font>
    <font>
      <sz val="12"/>
      <color rgb="FF0070C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u/>
      <sz val="9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gray125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gray125">
        <fgColor indexed="51"/>
        <bgColor indexed="51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51"/>
      </patternFill>
    </fill>
    <fill>
      <patternFill patternType="lightUp">
        <fgColor indexed="8"/>
        <bgColor theme="0"/>
      </patternFill>
    </fill>
    <fill>
      <patternFill patternType="lightUp">
        <bgColor theme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hair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medium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 style="slantDashDot">
        <color indexed="64"/>
      </right>
      <top/>
      <bottom/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 style="hair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tted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medium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slantDashDot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</cellStyleXfs>
  <cellXfs count="1217">
    <xf numFmtId="0" fontId="0" fillId="0" borderId="0" xfId="0">
      <alignment vertical="center"/>
    </xf>
    <xf numFmtId="180" fontId="0" fillId="0" borderId="0" xfId="0" applyNumberFormat="1" applyFill="1">
      <alignment vertical="center"/>
    </xf>
    <xf numFmtId="180" fontId="0" fillId="0" borderId="0" xfId="0" applyNumberFormat="1" applyFill="1" applyAlignment="1">
      <alignment horizontal="center" vertical="center"/>
    </xf>
    <xf numFmtId="0" fontId="35" fillId="0" borderId="1" xfId="0" applyFont="1" applyFill="1" applyBorder="1" applyAlignment="1" applyProtection="1">
      <alignment horizontal="left" vertical="center"/>
      <protection locked="0"/>
    </xf>
    <xf numFmtId="0" fontId="47" fillId="0" borderId="0" xfId="0" applyFont="1">
      <alignment vertical="center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192" fontId="47" fillId="2" borderId="2" xfId="0" applyNumberFormat="1" applyFont="1" applyFill="1" applyBorder="1" applyAlignment="1" applyProtection="1">
      <alignment horizontal="right" vertical="center" shrinkToFit="1"/>
      <protection locked="0"/>
    </xf>
    <xf numFmtId="192" fontId="47" fillId="2" borderId="3" xfId="0" applyNumberFormat="1" applyFont="1" applyFill="1" applyBorder="1" applyAlignment="1" applyProtection="1">
      <alignment horizontal="right" vertical="center" shrinkToFit="1"/>
      <protection locked="0"/>
    </xf>
    <xf numFmtId="180" fontId="45" fillId="0" borderId="0" xfId="0" applyNumberFormat="1" applyFont="1" applyFill="1" applyAlignment="1" applyProtection="1">
      <alignment horizontal="center" vertical="center"/>
    </xf>
    <xf numFmtId="0" fontId="45" fillId="0" borderId="0" xfId="0" applyFont="1" applyBorder="1" applyAlignment="1" applyProtection="1">
      <alignment horizontal="left" vertical="center"/>
    </xf>
    <xf numFmtId="180" fontId="45" fillId="0" borderId="0" xfId="0" applyNumberFormat="1" applyFont="1" applyFill="1" applyProtection="1">
      <alignment vertical="center"/>
    </xf>
    <xf numFmtId="0" fontId="51" fillId="0" borderId="0" xfId="0" applyFont="1" applyProtection="1">
      <alignment vertical="center"/>
    </xf>
    <xf numFmtId="0" fontId="52" fillId="0" borderId="0" xfId="0" applyFont="1" applyFill="1" applyBorder="1" applyAlignment="1" applyProtection="1">
      <alignment horizontal="right" vertical="center"/>
    </xf>
    <xf numFmtId="0" fontId="53" fillId="0" borderId="0" xfId="0" applyFont="1" applyFill="1" applyBorder="1" applyProtection="1">
      <alignment vertical="center"/>
    </xf>
    <xf numFmtId="0" fontId="52" fillId="0" borderId="4" xfId="0" applyFont="1" applyFill="1" applyBorder="1" applyAlignment="1" applyProtection="1">
      <alignment horizontal="center" vertical="center"/>
    </xf>
    <xf numFmtId="0" fontId="54" fillId="0" borderId="1" xfId="0" applyFont="1" applyFill="1" applyBorder="1" applyAlignment="1" applyProtection="1">
      <alignment horizontal="right" vertical="center"/>
    </xf>
    <xf numFmtId="0" fontId="52" fillId="0" borderId="1" xfId="0" applyFont="1" applyBorder="1" applyAlignment="1" applyProtection="1">
      <alignment horizontal="center" vertical="center"/>
    </xf>
    <xf numFmtId="0" fontId="51" fillId="0" borderId="1" xfId="0" applyFont="1" applyBorder="1" applyAlignment="1" applyProtection="1">
      <alignment horizontal="center" vertical="center" wrapText="1"/>
    </xf>
    <xf numFmtId="0" fontId="51" fillId="0" borderId="5" xfId="0" applyFont="1" applyBorder="1" applyAlignment="1" applyProtection="1">
      <alignment horizontal="center" vertical="center" wrapText="1"/>
    </xf>
    <xf numFmtId="0" fontId="51" fillId="0" borderId="4" xfId="0" applyFont="1" applyBorder="1" applyAlignment="1" applyProtection="1">
      <alignment horizontal="center" vertical="center" wrapText="1"/>
    </xf>
    <xf numFmtId="0" fontId="0" fillId="0" borderId="0" xfId="0" applyFont="1" applyProtection="1">
      <alignment vertical="center"/>
    </xf>
    <xf numFmtId="180" fontId="0" fillId="0" borderId="0" xfId="0" applyNumberFormat="1" applyFill="1" applyAlignment="1" applyProtection="1">
      <alignment horizontal="center" vertical="center"/>
    </xf>
    <xf numFmtId="180" fontId="0" fillId="0" borderId="0" xfId="0" applyNumberFormat="1" applyFill="1" applyProtection="1">
      <alignment vertical="center"/>
    </xf>
    <xf numFmtId="0" fontId="0" fillId="0" borderId="0" xfId="0" applyProtection="1">
      <alignment vertical="center"/>
    </xf>
    <xf numFmtId="0" fontId="46" fillId="0" borderId="1" xfId="0" applyFont="1" applyBorder="1" applyAlignment="1" applyProtection="1">
      <alignment horizontal="center" vertical="center" wrapText="1"/>
    </xf>
    <xf numFmtId="0" fontId="46" fillId="0" borderId="6" xfId="0" applyFont="1" applyBorder="1" applyAlignment="1" applyProtection="1">
      <alignment horizontal="center" vertical="center" wrapText="1"/>
    </xf>
    <xf numFmtId="0" fontId="46" fillId="0" borderId="7" xfId="0" applyFont="1" applyBorder="1" applyAlignment="1" applyProtection="1">
      <alignment horizontal="center" vertical="center" wrapText="1"/>
    </xf>
    <xf numFmtId="0" fontId="46" fillId="0" borderId="8" xfId="0" applyFont="1" applyBorder="1" applyAlignment="1" applyProtection="1">
      <alignment horizontal="center" vertical="center" wrapText="1"/>
    </xf>
    <xf numFmtId="0" fontId="46" fillId="0" borderId="5" xfId="0" applyFont="1" applyBorder="1" applyAlignment="1" applyProtection="1">
      <alignment horizontal="center" vertical="center" wrapText="1"/>
    </xf>
    <xf numFmtId="0" fontId="46" fillId="0" borderId="9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41" fontId="34" fillId="3" borderId="11" xfId="2" applyFont="1" applyFill="1" applyBorder="1" applyProtection="1">
      <alignment vertical="center"/>
    </xf>
    <xf numFmtId="0" fontId="0" fillId="0" borderId="0" xfId="0" applyFill="1" applyProtection="1">
      <alignment vertical="center"/>
    </xf>
    <xf numFmtId="189" fontId="37" fillId="0" borderId="0" xfId="0" applyNumberFormat="1" applyFont="1" applyFill="1" applyBorder="1" applyProtection="1">
      <alignment vertical="center"/>
    </xf>
    <xf numFmtId="41" fontId="37" fillId="0" borderId="0" xfId="0" applyNumberFormat="1" applyFont="1" applyFill="1" applyBorder="1" applyProtection="1">
      <alignment vertical="center"/>
    </xf>
    <xf numFmtId="0" fontId="41" fillId="0" borderId="1" xfId="0" applyFont="1" applyBorder="1" applyAlignment="1" applyProtection="1">
      <alignment horizontal="center" vertical="center" wrapText="1"/>
    </xf>
    <xf numFmtId="0" fontId="41" fillId="0" borderId="6" xfId="0" applyFont="1" applyBorder="1" applyAlignment="1" applyProtection="1">
      <alignment horizontal="center" vertical="center" wrapText="1"/>
    </xf>
    <xf numFmtId="0" fontId="41" fillId="0" borderId="5" xfId="0" applyFont="1" applyBorder="1" applyAlignment="1" applyProtection="1">
      <alignment horizontal="center" vertical="center" wrapText="1"/>
    </xf>
    <xf numFmtId="0" fontId="47" fillId="0" borderId="1" xfId="0" applyFont="1" applyBorder="1" applyAlignment="1" applyProtection="1">
      <alignment horizontal="center" vertical="center" wrapText="1"/>
    </xf>
    <xf numFmtId="0" fontId="47" fillId="0" borderId="6" xfId="0" applyFont="1" applyBorder="1" applyAlignment="1" applyProtection="1">
      <alignment horizontal="center" vertical="center" wrapText="1"/>
    </xf>
    <xf numFmtId="0" fontId="47" fillId="0" borderId="5" xfId="0" applyFont="1" applyBorder="1" applyAlignment="1" applyProtection="1">
      <alignment horizontal="center" vertical="center" wrapText="1"/>
    </xf>
    <xf numFmtId="0" fontId="47" fillId="0" borderId="4" xfId="0" applyFont="1" applyBorder="1" applyAlignment="1" applyProtection="1">
      <alignment horizontal="center" vertical="center" wrapText="1"/>
    </xf>
    <xf numFmtId="0" fontId="58" fillId="0" borderId="0" xfId="0" applyFont="1" applyProtection="1">
      <alignment vertical="center"/>
    </xf>
    <xf numFmtId="0" fontId="58" fillId="0" borderId="1" xfId="0" applyFont="1" applyBorder="1" applyAlignment="1" applyProtection="1">
      <alignment horizontal="center" vertical="center"/>
    </xf>
    <xf numFmtId="0" fontId="58" fillId="0" borderId="1" xfId="0" applyFont="1" applyBorder="1" applyProtection="1">
      <alignment vertical="center"/>
    </xf>
    <xf numFmtId="0" fontId="58" fillId="0" borderId="0" xfId="0" applyFont="1" applyBorder="1" applyAlignment="1" applyProtection="1">
      <alignment horizontal="center" vertical="center"/>
    </xf>
    <xf numFmtId="0" fontId="58" fillId="0" borderId="0" xfId="0" applyFont="1" applyBorder="1" applyProtection="1">
      <alignment vertical="center"/>
    </xf>
    <xf numFmtId="0" fontId="59" fillId="0" borderId="0" xfId="0" applyFont="1" applyBorder="1" applyAlignment="1" applyProtection="1">
      <alignment horizontal="left" vertical="center"/>
    </xf>
    <xf numFmtId="0" fontId="0" fillId="0" borderId="0" xfId="0" applyFont="1" applyBorder="1" applyProtection="1">
      <alignment vertical="center"/>
    </xf>
    <xf numFmtId="0" fontId="58" fillId="0" borderId="12" xfId="0" applyFont="1" applyBorder="1" applyProtection="1">
      <alignment vertical="center"/>
    </xf>
    <xf numFmtId="0" fontId="58" fillId="0" borderId="13" xfId="0" applyFont="1" applyBorder="1" applyAlignment="1" applyProtection="1">
      <alignment horizontal="center" vertical="center"/>
    </xf>
    <xf numFmtId="0" fontId="58" fillId="0" borderId="14" xfId="0" applyFont="1" applyBorder="1" applyProtection="1">
      <alignment vertical="center"/>
    </xf>
    <xf numFmtId="0" fontId="58" fillId="0" borderId="0" xfId="0" applyFont="1" applyBorder="1" applyAlignment="1" applyProtection="1">
      <alignment horizontal="right" vertical="center"/>
    </xf>
    <xf numFmtId="178" fontId="58" fillId="0" borderId="15" xfId="0" applyNumberFormat="1" applyFont="1" applyBorder="1" applyProtection="1">
      <alignment vertical="center"/>
    </xf>
    <xf numFmtId="178" fontId="58" fillId="0" borderId="16" xfId="0" applyNumberFormat="1" applyFont="1" applyBorder="1" applyProtection="1">
      <alignment vertical="center"/>
    </xf>
    <xf numFmtId="0" fontId="60" fillId="4" borderId="17" xfId="0" applyFont="1" applyFill="1" applyBorder="1" applyAlignment="1" applyProtection="1">
      <alignment horizontal="center" vertical="center" wrapText="1"/>
    </xf>
    <xf numFmtId="0" fontId="60" fillId="4" borderId="18" xfId="0" applyFont="1" applyFill="1" applyBorder="1" applyAlignment="1" applyProtection="1">
      <alignment horizontal="center" vertical="center" wrapText="1"/>
    </xf>
    <xf numFmtId="0" fontId="60" fillId="0" borderId="20" xfId="0" applyFont="1" applyFill="1" applyBorder="1" applyAlignment="1" applyProtection="1">
      <alignment horizontal="center" vertical="center" wrapText="1"/>
    </xf>
    <xf numFmtId="176" fontId="61" fillId="0" borderId="21" xfId="0" applyNumberFormat="1" applyFont="1" applyBorder="1" applyAlignment="1" applyProtection="1">
      <alignment horizontal="center" vertical="center" wrapText="1"/>
    </xf>
    <xf numFmtId="176" fontId="61" fillId="0" borderId="22" xfId="0" applyNumberFormat="1" applyFont="1" applyBorder="1" applyAlignment="1" applyProtection="1">
      <alignment horizontal="center" vertical="center" wrapText="1"/>
    </xf>
    <xf numFmtId="190" fontId="39" fillId="0" borderId="1" xfId="0" applyNumberFormat="1" applyFont="1" applyBorder="1" applyProtection="1">
      <alignment vertical="center"/>
    </xf>
    <xf numFmtId="190" fontId="39" fillId="0" borderId="6" xfId="0" applyNumberFormat="1" applyFont="1" applyBorder="1" applyProtection="1">
      <alignment vertical="center"/>
    </xf>
    <xf numFmtId="191" fontId="39" fillId="0" borderId="6" xfId="0" applyNumberFormat="1" applyFont="1" applyBorder="1" applyProtection="1">
      <alignment vertical="center"/>
    </xf>
    <xf numFmtId="191" fontId="39" fillId="0" borderId="9" xfId="0" applyNumberFormat="1" applyFont="1" applyBorder="1" applyProtection="1">
      <alignment vertical="center"/>
    </xf>
    <xf numFmtId="0" fontId="60" fillId="4" borderId="23" xfId="0" applyFont="1" applyFill="1" applyBorder="1" applyAlignment="1" applyProtection="1">
      <alignment horizontal="center" vertical="center" wrapText="1"/>
    </xf>
    <xf numFmtId="0" fontId="60" fillId="4" borderId="24" xfId="0" applyFont="1" applyFill="1" applyBorder="1" applyAlignment="1" applyProtection="1">
      <alignment horizontal="center" vertical="center" wrapText="1"/>
    </xf>
    <xf numFmtId="3" fontId="60" fillId="4" borderId="24" xfId="0" applyNumberFormat="1" applyFont="1" applyFill="1" applyBorder="1" applyAlignment="1" applyProtection="1">
      <alignment horizontal="center" vertical="center" wrapText="1"/>
    </xf>
    <xf numFmtId="0" fontId="60" fillId="0" borderId="26" xfId="0" applyFont="1" applyFill="1" applyBorder="1" applyAlignment="1" applyProtection="1">
      <alignment horizontal="center" vertical="center" wrapText="1"/>
    </xf>
    <xf numFmtId="0" fontId="58" fillId="0" borderId="27" xfId="0" applyFont="1" applyBorder="1" applyAlignment="1" applyProtection="1">
      <alignment horizontal="right" vertical="center"/>
    </xf>
    <xf numFmtId="190" fontId="39" fillId="0" borderId="1" xfId="0" applyNumberFormat="1" applyFont="1" applyFill="1" applyBorder="1" applyProtection="1">
      <alignment vertical="center"/>
    </xf>
    <xf numFmtId="190" fontId="39" fillId="0" borderId="6" xfId="0" applyNumberFormat="1" applyFont="1" applyFill="1" applyBorder="1" applyProtection="1">
      <alignment vertical="center"/>
    </xf>
    <xf numFmtId="191" fontId="39" fillId="0" borderId="6" xfId="0" applyNumberFormat="1" applyFont="1" applyFill="1" applyBorder="1" applyProtection="1">
      <alignment vertical="center"/>
    </xf>
    <xf numFmtId="191" fontId="39" fillId="0" borderId="9" xfId="0" applyNumberFormat="1" applyFont="1" applyFill="1" applyBorder="1" applyProtection="1">
      <alignment vertical="center"/>
    </xf>
    <xf numFmtId="0" fontId="58" fillId="0" borderId="28" xfId="0" applyFont="1" applyBorder="1" applyProtection="1">
      <alignment vertical="center"/>
    </xf>
    <xf numFmtId="0" fontId="58" fillId="0" borderId="29" xfId="0" applyFont="1" applyBorder="1" applyAlignment="1" applyProtection="1">
      <alignment horizontal="right" vertical="center"/>
    </xf>
    <xf numFmtId="178" fontId="58" fillId="0" borderId="30" xfId="0" applyNumberFormat="1" applyFont="1" applyBorder="1" applyProtection="1">
      <alignment vertical="center"/>
    </xf>
    <xf numFmtId="0" fontId="58" fillId="0" borderId="15" xfId="0" applyFont="1" applyBorder="1" applyProtection="1">
      <alignment vertical="center"/>
    </xf>
    <xf numFmtId="0" fontId="58" fillId="5" borderId="14" xfId="0" applyFont="1" applyFill="1" applyBorder="1" applyAlignment="1" applyProtection="1">
      <alignment horizontal="center" vertical="center"/>
    </xf>
    <xf numFmtId="177" fontId="58" fillId="0" borderId="0" xfId="0" applyNumberFormat="1" applyFont="1" applyBorder="1" applyAlignment="1" applyProtection="1">
      <alignment horizontal="left" vertical="center"/>
    </xf>
    <xf numFmtId="0" fontId="58" fillId="0" borderId="16" xfId="0" applyFont="1" applyBorder="1" applyProtection="1">
      <alignment vertical="center"/>
    </xf>
    <xf numFmtId="0" fontId="58" fillId="0" borderId="0" xfId="0" applyFont="1" applyFill="1" applyBorder="1" applyAlignment="1" applyProtection="1">
      <alignment horizontal="right" vertical="center"/>
    </xf>
    <xf numFmtId="177" fontId="58" fillId="6" borderId="31" xfId="0" applyNumberFormat="1" applyFont="1" applyFill="1" applyBorder="1" applyAlignment="1" applyProtection="1">
      <alignment horizontal="left" vertical="center"/>
    </xf>
    <xf numFmtId="0" fontId="60" fillId="4" borderId="32" xfId="0" applyFont="1" applyFill="1" applyBorder="1" applyAlignment="1" applyProtection="1">
      <alignment horizontal="center" vertical="center" wrapText="1"/>
    </xf>
    <xf numFmtId="0" fontId="60" fillId="4" borderId="33" xfId="0" applyFont="1" applyFill="1" applyBorder="1" applyAlignment="1" applyProtection="1">
      <alignment horizontal="center" vertical="center" wrapText="1"/>
    </xf>
    <xf numFmtId="3" fontId="60" fillId="4" borderId="33" xfId="0" applyNumberFormat="1" applyFont="1" applyFill="1" applyBorder="1" applyAlignment="1" applyProtection="1">
      <alignment horizontal="center" vertical="center" wrapText="1"/>
    </xf>
    <xf numFmtId="0" fontId="61" fillId="4" borderId="33" xfId="0" applyFont="1" applyFill="1" applyBorder="1" applyAlignment="1" applyProtection="1">
      <alignment horizontal="center" vertical="center" wrapText="1"/>
    </xf>
    <xf numFmtId="0" fontId="60" fillId="4" borderId="34" xfId="0" applyFont="1" applyFill="1" applyBorder="1" applyAlignment="1" applyProtection="1">
      <alignment horizontal="center" vertical="center" wrapText="1"/>
    </xf>
    <xf numFmtId="0" fontId="60" fillId="0" borderId="35" xfId="0" applyFont="1" applyFill="1" applyBorder="1" applyAlignment="1" applyProtection="1">
      <alignment horizontal="center" vertical="center" wrapText="1"/>
    </xf>
    <xf numFmtId="190" fontId="39" fillId="0" borderId="36" xfId="0" applyNumberFormat="1" applyFont="1" applyBorder="1" applyProtection="1">
      <alignment vertical="center"/>
    </xf>
    <xf numFmtId="190" fontId="39" fillId="0" borderId="37" xfId="0" applyNumberFormat="1" applyFont="1" applyBorder="1" applyProtection="1">
      <alignment vertical="center"/>
    </xf>
    <xf numFmtId="191" fontId="39" fillId="0" borderId="37" xfId="0" applyNumberFormat="1" applyFont="1" applyBorder="1" applyProtection="1">
      <alignment vertical="center"/>
    </xf>
    <xf numFmtId="191" fontId="39" fillId="0" borderId="38" xfId="0" applyNumberFormat="1" applyFont="1" applyBorder="1" applyProtection="1">
      <alignment vertical="center"/>
    </xf>
    <xf numFmtId="177" fontId="58" fillId="0" borderId="29" xfId="0" applyNumberFormat="1" applyFont="1" applyBorder="1" applyAlignment="1" applyProtection="1">
      <alignment horizontal="left" vertical="center"/>
    </xf>
    <xf numFmtId="0" fontId="58" fillId="0" borderId="30" xfId="0" applyFont="1" applyBorder="1" applyProtection="1">
      <alignment vertical="center"/>
    </xf>
    <xf numFmtId="0" fontId="60" fillId="4" borderId="39" xfId="0" applyFont="1" applyFill="1" applyBorder="1" applyAlignment="1" applyProtection="1">
      <alignment horizontal="center" vertical="center" wrapText="1"/>
    </xf>
    <xf numFmtId="0" fontId="60" fillId="0" borderId="41" xfId="0" applyFont="1" applyFill="1" applyBorder="1" applyAlignment="1" applyProtection="1">
      <alignment horizontal="center" vertical="center" wrapText="1"/>
    </xf>
    <xf numFmtId="176" fontId="61" fillId="0" borderId="42" xfId="0" applyNumberFormat="1" applyFont="1" applyBorder="1" applyAlignment="1" applyProtection="1">
      <alignment horizontal="center" vertical="center" wrapText="1"/>
    </xf>
    <xf numFmtId="190" fontId="62" fillId="0" borderId="43" xfId="0" applyNumberFormat="1" applyFont="1" applyBorder="1" applyProtection="1">
      <alignment vertical="center"/>
    </xf>
    <xf numFmtId="190" fontId="39" fillId="0" borderId="43" xfId="0" applyNumberFormat="1" applyFont="1" applyBorder="1" applyProtection="1">
      <alignment vertical="center"/>
    </xf>
    <xf numFmtId="190" fontId="39" fillId="0" borderId="44" xfId="0" applyNumberFormat="1" applyFont="1" applyBorder="1" applyProtection="1">
      <alignment vertical="center"/>
    </xf>
    <xf numFmtId="191" fontId="39" fillId="0" borderId="44" xfId="0" applyNumberFormat="1" applyFont="1" applyBorder="1" applyProtection="1">
      <alignment vertical="center"/>
    </xf>
    <xf numFmtId="191" fontId="39" fillId="0" borderId="45" xfId="0" applyNumberFormat="1" applyFont="1" applyBorder="1" applyProtection="1">
      <alignment vertical="center"/>
    </xf>
    <xf numFmtId="0" fontId="58" fillId="0" borderId="27" xfId="0" applyFont="1" applyBorder="1" applyProtection="1">
      <alignment vertical="center"/>
    </xf>
    <xf numFmtId="176" fontId="61" fillId="0" borderId="46" xfId="0" applyNumberFormat="1" applyFont="1" applyBorder="1" applyAlignment="1" applyProtection="1">
      <alignment horizontal="center" vertical="center" wrapText="1"/>
    </xf>
    <xf numFmtId="176" fontId="61" fillId="0" borderId="47" xfId="0" applyNumberFormat="1" applyFont="1" applyBorder="1" applyAlignment="1" applyProtection="1">
      <alignment horizontal="center" vertical="center" wrapText="1"/>
    </xf>
    <xf numFmtId="190" fontId="39" fillId="0" borderId="48" xfId="0" applyNumberFormat="1" applyFont="1" applyBorder="1" applyProtection="1">
      <alignment vertical="center"/>
    </xf>
    <xf numFmtId="190" fontId="39" fillId="0" borderId="49" xfId="0" applyNumberFormat="1" applyFont="1" applyBorder="1" applyProtection="1">
      <alignment vertical="center"/>
    </xf>
    <xf numFmtId="191" fontId="39" fillId="0" borderId="49" xfId="0" applyNumberFormat="1" applyFont="1" applyBorder="1" applyProtection="1">
      <alignment vertical="center"/>
    </xf>
    <xf numFmtId="191" fontId="39" fillId="0" borderId="50" xfId="0" applyNumberFormat="1" applyFont="1" applyBorder="1" applyProtection="1">
      <alignment vertical="center"/>
    </xf>
    <xf numFmtId="0" fontId="58" fillId="0" borderId="14" xfId="0" applyFont="1" applyBorder="1" applyAlignment="1" applyProtection="1">
      <alignment horizontal="center" vertical="center"/>
    </xf>
    <xf numFmtId="0" fontId="58" fillId="0" borderId="29" xfId="0" applyFont="1" applyBorder="1" applyProtection="1">
      <alignment vertical="center"/>
    </xf>
    <xf numFmtId="0" fontId="51" fillId="0" borderId="0" xfId="0" quotePrefix="1" applyFont="1" applyProtection="1">
      <alignment vertical="center"/>
    </xf>
    <xf numFmtId="0" fontId="58" fillId="0" borderId="51" xfId="0" applyFont="1" applyBorder="1" applyAlignment="1" applyProtection="1">
      <alignment horizontal="right" vertical="center"/>
    </xf>
    <xf numFmtId="177" fontId="58" fillId="7" borderId="27" xfId="0" applyNumberFormat="1" applyFont="1" applyFill="1" applyBorder="1" applyProtection="1">
      <alignment vertical="center"/>
    </xf>
    <xf numFmtId="0" fontId="58" fillId="0" borderId="52" xfId="0" applyFont="1" applyBorder="1" applyAlignment="1" applyProtection="1">
      <alignment horizontal="right" vertical="center"/>
    </xf>
    <xf numFmtId="177" fontId="58" fillId="7" borderId="0" xfId="0" applyNumberFormat="1" applyFont="1" applyFill="1" applyBorder="1" applyProtection="1">
      <alignment vertical="center"/>
    </xf>
    <xf numFmtId="0" fontId="58" fillId="0" borderId="53" xfId="0" applyFont="1" applyBorder="1" applyAlignment="1" applyProtection="1">
      <alignment horizontal="right" vertical="center"/>
    </xf>
    <xf numFmtId="177" fontId="58" fillId="7" borderId="29" xfId="0" applyNumberFormat="1" applyFont="1" applyFill="1" applyBorder="1" applyProtection="1">
      <alignment vertical="center"/>
    </xf>
    <xf numFmtId="0" fontId="58" fillId="0" borderId="53" xfId="0" applyFont="1" applyBorder="1" applyProtection="1">
      <alignment vertical="center"/>
    </xf>
    <xf numFmtId="0" fontId="0" fillId="0" borderId="0" xfId="0" applyBorder="1" applyProtection="1">
      <alignment vertical="center"/>
    </xf>
    <xf numFmtId="0" fontId="0" fillId="0" borderId="0" xfId="0" applyFill="1" applyBorder="1" applyProtection="1">
      <alignment vertical="center"/>
    </xf>
    <xf numFmtId="0" fontId="58" fillId="0" borderId="12" xfId="0" applyFont="1" applyBorder="1" applyAlignment="1" applyProtection="1">
      <alignment horizontal="right" vertical="center"/>
    </xf>
    <xf numFmtId="0" fontId="58" fillId="0" borderId="54" xfId="0" applyFont="1" applyBorder="1" applyProtection="1">
      <alignment vertical="center"/>
    </xf>
    <xf numFmtId="0" fontId="36" fillId="2" borderId="55" xfId="0" applyFont="1" applyFill="1" applyBorder="1" applyProtection="1">
      <alignment vertical="center"/>
      <protection locked="0"/>
    </xf>
    <xf numFmtId="0" fontId="36" fillId="2" borderId="9" xfId="0" applyFont="1" applyFill="1" applyBorder="1" applyProtection="1">
      <alignment vertical="center"/>
      <protection locked="0"/>
    </xf>
    <xf numFmtId="0" fontId="60" fillId="8" borderId="23" xfId="0" applyFont="1" applyFill="1" applyBorder="1" applyAlignment="1" applyProtection="1">
      <alignment horizontal="center" vertical="center" wrapText="1"/>
    </xf>
    <xf numFmtId="0" fontId="60" fillId="8" borderId="24" xfId="0" applyFont="1" applyFill="1" applyBorder="1" applyAlignment="1" applyProtection="1">
      <alignment horizontal="center" vertical="center" wrapText="1"/>
    </xf>
    <xf numFmtId="0" fontId="60" fillId="7" borderId="26" xfId="0" applyFont="1" applyFill="1" applyBorder="1" applyAlignment="1" applyProtection="1">
      <alignment horizontal="center" vertical="center" wrapText="1"/>
    </xf>
    <xf numFmtId="176" fontId="61" fillId="7" borderId="21" xfId="0" applyNumberFormat="1" applyFont="1" applyFill="1" applyBorder="1" applyAlignment="1" applyProtection="1">
      <alignment horizontal="center" vertical="center" wrapText="1"/>
    </xf>
    <xf numFmtId="190" fontId="39" fillId="7" borderId="1" xfId="0" applyNumberFormat="1" applyFont="1" applyFill="1" applyBorder="1" applyProtection="1">
      <alignment vertical="center"/>
    </xf>
    <xf numFmtId="190" fontId="39" fillId="7" borderId="6" xfId="0" applyNumberFormat="1" applyFont="1" applyFill="1" applyBorder="1" applyProtection="1">
      <alignment vertical="center"/>
    </xf>
    <xf numFmtId="191" fontId="39" fillId="7" borderId="6" xfId="0" applyNumberFormat="1" applyFont="1" applyFill="1" applyBorder="1" applyProtection="1">
      <alignment vertical="center"/>
    </xf>
    <xf numFmtId="191" fontId="39" fillId="7" borderId="9" xfId="0" applyNumberFormat="1" applyFont="1" applyFill="1" applyBorder="1" applyProtection="1">
      <alignment vertical="center"/>
    </xf>
    <xf numFmtId="0" fontId="71" fillId="0" borderId="1" xfId="0" applyFont="1" applyBorder="1" applyAlignment="1" applyProtection="1">
      <alignment horizontal="center" vertical="center"/>
    </xf>
    <xf numFmtId="187" fontId="58" fillId="0" borderId="1" xfId="2" applyNumberFormat="1" applyFont="1" applyBorder="1" applyProtection="1">
      <alignment vertical="center"/>
    </xf>
    <xf numFmtId="41" fontId="58" fillId="0" borderId="1" xfId="2" applyNumberFormat="1" applyFont="1" applyBorder="1" applyProtection="1">
      <alignment vertical="center"/>
    </xf>
    <xf numFmtId="0" fontId="71" fillId="0" borderId="5" xfId="0" applyFont="1" applyBorder="1" applyAlignment="1" applyProtection="1">
      <alignment horizontal="center" vertical="center"/>
    </xf>
    <xf numFmtId="0" fontId="58" fillId="0" borderId="0" xfId="0" applyFont="1" applyAlignment="1" applyProtection="1">
      <alignment horizontal="center" vertical="center"/>
    </xf>
    <xf numFmtId="187" fontId="58" fillId="0" borderId="5" xfId="2" applyNumberFormat="1" applyFont="1" applyBorder="1" applyProtection="1">
      <alignment vertical="center"/>
    </xf>
    <xf numFmtId="184" fontId="0" fillId="0" borderId="0" xfId="0" applyNumberFormat="1" applyFill="1" applyBorder="1" applyProtection="1">
      <alignment vertical="center"/>
    </xf>
    <xf numFmtId="0" fontId="51" fillId="0" borderId="6" xfId="0" applyFont="1" applyBorder="1" applyAlignment="1" applyProtection="1">
      <alignment horizontal="center" vertical="center" wrapText="1"/>
    </xf>
    <xf numFmtId="0" fontId="52" fillId="0" borderId="5" xfId="0" applyFont="1" applyBorder="1" applyAlignment="1" applyProtection="1">
      <alignment horizontal="center" vertical="center"/>
    </xf>
    <xf numFmtId="0" fontId="51" fillId="0" borderId="56" xfId="0" applyFont="1" applyBorder="1" applyAlignment="1" applyProtection="1">
      <alignment horizontal="center" vertical="center" wrapText="1"/>
    </xf>
    <xf numFmtId="0" fontId="68" fillId="14" borderId="57" xfId="0" applyFont="1" applyFill="1" applyBorder="1" applyProtection="1">
      <alignment vertical="center"/>
    </xf>
    <xf numFmtId="0" fontId="68" fillId="14" borderId="58" xfId="0" applyFont="1" applyFill="1" applyBorder="1" applyProtection="1">
      <alignment vertical="center"/>
    </xf>
    <xf numFmtId="0" fontId="68" fillId="14" borderId="59" xfId="0" applyFont="1" applyFill="1" applyBorder="1" applyProtection="1">
      <alignment vertical="center"/>
    </xf>
    <xf numFmtId="0" fontId="57" fillId="14" borderId="60" xfId="0" applyFont="1" applyFill="1" applyBorder="1" applyProtection="1">
      <alignment vertical="center"/>
    </xf>
    <xf numFmtId="0" fontId="56" fillId="14" borderId="10" xfId="0" applyFont="1" applyFill="1" applyBorder="1" applyProtection="1">
      <alignment vertical="center"/>
    </xf>
    <xf numFmtId="0" fontId="52" fillId="0" borderId="6" xfId="0" applyFont="1" applyBorder="1" applyAlignment="1" applyProtection="1">
      <alignment horizontal="center" vertical="center"/>
    </xf>
    <xf numFmtId="0" fontId="51" fillId="0" borderId="61" xfId="0" applyFont="1" applyBorder="1" applyAlignment="1" applyProtection="1">
      <alignment horizontal="center" vertical="center" wrapText="1"/>
    </xf>
    <xf numFmtId="183" fontId="34" fillId="0" borderId="56" xfId="1" applyNumberFormat="1" applyFont="1" applyBorder="1" applyProtection="1">
      <alignment vertical="center"/>
    </xf>
    <xf numFmtId="183" fontId="34" fillId="0" borderId="62" xfId="1" applyNumberFormat="1" applyFont="1" applyFill="1" applyBorder="1" applyProtection="1">
      <alignment vertical="center"/>
    </xf>
    <xf numFmtId="0" fontId="52" fillId="0" borderId="61" xfId="0" applyFont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192" fontId="47" fillId="2" borderId="64" xfId="0" applyNumberFormat="1" applyFont="1" applyFill="1" applyBorder="1" applyAlignment="1" applyProtection="1">
      <alignment horizontal="right" vertical="center" shrinkToFit="1"/>
      <protection locked="0"/>
    </xf>
    <xf numFmtId="0" fontId="36" fillId="2" borderId="65" xfId="0" applyFont="1" applyFill="1" applyBorder="1" applyProtection="1">
      <alignment vertical="center"/>
      <protection locked="0"/>
    </xf>
    <xf numFmtId="0" fontId="113" fillId="9" borderId="63" xfId="0" applyFont="1" applyFill="1" applyBorder="1" applyProtection="1">
      <alignment vertical="center"/>
    </xf>
    <xf numFmtId="177" fontId="113" fillId="9" borderId="66" xfId="0" applyNumberFormat="1" applyFont="1" applyFill="1" applyBorder="1" applyProtection="1">
      <alignment vertical="center"/>
    </xf>
    <xf numFmtId="178" fontId="111" fillId="9" borderId="67" xfId="0" applyNumberFormat="1" applyFont="1" applyFill="1" applyBorder="1" applyProtection="1">
      <alignment vertical="center"/>
    </xf>
    <xf numFmtId="0" fontId="58" fillId="0" borderId="51" xfId="0" applyFont="1" applyBorder="1" applyAlignment="1" applyProtection="1">
      <alignment horizontal="center" vertical="center"/>
    </xf>
    <xf numFmtId="0" fontId="58" fillId="0" borderId="27" xfId="0" applyFont="1" applyBorder="1" applyAlignment="1" applyProtection="1">
      <alignment horizontal="center" vertical="center"/>
    </xf>
    <xf numFmtId="0" fontId="51" fillId="14" borderId="6" xfId="0" applyFont="1" applyFill="1" applyBorder="1" applyAlignment="1" applyProtection="1">
      <alignment horizontal="center" vertical="center" wrapText="1"/>
    </xf>
    <xf numFmtId="0" fontId="51" fillId="14" borderId="56" xfId="0" applyFont="1" applyFill="1" applyBorder="1" applyAlignment="1" applyProtection="1">
      <alignment horizontal="center" vertical="center" wrapText="1"/>
    </xf>
    <xf numFmtId="0" fontId="51" fillId="14" borderId="60" xfId="0" applyFont="1" applyFill="1" applyBorder="1" applyAlignment="1" applyProtection="1">
      <alignment horizontal="center" vertical="center" wrapText="1"/>
    </xf>
    <xf numFmtId="0" fontId="57" fillId="14" borderId="61" xfId="0" applyFont="1" applyFill="1" applyBorder="1" applyProtection="1">
      <alignment vertical="center"/>
    </xf>
    <xf numFmtId="0" fontId="51" fillId="14" borderId="10" xfId="0" applyFont="1" applyFill="1" applyBorder="1" applyAlignment="1" applyProtection="1">
      <alignment horizontal="center" vertical="center" wrapText="1"/>
    </xf>
    <xf numFmtId="188" fontId="34" fillId="3" borderId="49" xfId="2" applyNumberFormat="1" applyFont="1" applyFill="1" applyBorder="1" applyProtection="1">
      <alignment vertical="center"/>
    </xf>
    <xf numFmtId="41" fontId="34" fillId="3" borderId="29" xfId="2" applyFont="1" applyFill="1" applyBorder="1" applyProtection="1">
      <alignment vertical="center"/>
    </xf>
    <xf numFmtId="41" fontId="34" fillId="3" borderId="48" xfId="2" applyFont="1" applyFill="1" applyBorder="1" applyProtection="1">
      <alignment vertical="center"/>
    </xf>
    <xf numFmtId="41" fontId="34" fillId="3" borderId="68" xfId="2" applyFont="1" applyFill="1" applyBorder="1" applyProtection="1">
      <alignment vertical="center"/>
    </xf>
    <xf numFmtId="0" fontId="0" fillId="3" borderId="29" xfId="0" applyFont="1" applyFill="1" applyBorder="1" applyProtection="1">
      <alignment vertical="center"/>
    </xf>
    <xf numFmtId="0" fontId="0" fillId="15" borderId="6" xfId="0" applyFill="1" applyBorder="1" applyAlignment="1" applyProtection="1">
      <alignment horizontal="center" vertical="center" wrapText="1"/>
    </xf>
    <xf numFmtId="0" fontId="0" fillId="15" borderId="60" xfId="0" applyFill="1" applyBorder="1" applyAlignment="1" applyProtection="1">
      <alignment horizontal="center" vertical="center" wrapText="1"/>
    </xf>
    <xf numFmtId="0" fontId="0" fillId="15" borderId="60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187" fontId="0" fillId="0" borderId="0" xfId="0" applyNumberFormat="1" applyProtection="1">
      <alignment vertical="center"/>
    </xf>
    <xf numFmtId="0" fontId="21" fillId="0" borderId="6" xfId="0" applyFont="1" applyBorder="1" applyAlignment="1" applyProtection="1">
      <alignment horizontal="center" vertical="center" wrapText="1"/>
    </xf>
    <xf numFmtId="0" fontId="47" fillId="14" borderId="60" xfId="0" applyFont="1" applyFill="1" applyBorder="1" applyAlignment="1" applyProtection="1">
      <alignment horizontal="center" vertical="center" wrapText="1"/>
    </xf>
    <xf numFmtId="0" fontId="33" fillId="0" borderId="27" xfId="0" applyFont="1" applyBorder="1" applyAlignment="1" applyProtection="1">
      <alignment horizontal="right" vertical="center"/>
    </xf>
    <xf numFmtId="177" fontId="33" fillId="6" borderId="69" xfId="0" applyNumberFormat="1" applyFont="1" applyFill="1" applyBorder="1" applyProtection="1">
      <alignment vertical="center"/>
    </xf>
    <xf numFmtId="179" fontId="33" fillId="0" borderId="27" xfId="0" applyNumberFormat="1" applyFont="1" applyBorder="1" applyProtection="1">
      <alignment vertical="center"/>
    </xf>
    <xf numFmtId="0" fontId="33" fillId="0" borderId="13" xfId="0" applyFont="1" applyBorder="1" applyProtection="1">
      <alignment vertical="center"/>
    </xf>
    <xf numFmtId="0" fontId="33" fillId="0" borderId="0" xfId="0" applyFont="1" applyBorder="1" applyAlignment="1" applyProtection="1">
      <alignment horizontal="right" vertical="center"/>
    </xf>
    <xf numFmtId="177" fontId="33" fillId="6" borderId="70" xfId="0" applyNumberFormat="1" applyFont="1" applyFill="1" applyBorder="1" applyProtection="1">
      <alignment vertical="center"/>
    </xf>
    <xf numFmtId="179" fontId="33" fillId="0" borderId="0" xfId="0" applyNumberFormat="1" applyFont="1" applyBorder="1" applyProtection="1">
      <alignment vertical="center"/>
    </xf>
    <xf numFmtId="0" fontId="33" fillId="0" borderId="14" xfId="0" applyFont="1" applyBorder="1" applyProtection="1">
      <alignment vertical="center"/>
    </xf>
    <xf numFmtId="0" fontId="33" fillId="10" borderId="14" xfId="0" applyFont="1" applyFill="1" applyBorder="1" applyProtection="1">
      <alignment vertical="center"/>
    </xf>
    <xf numFmtId="0" fontId="33" fillId="0" borderId="29" xfId="0" applyFont="1" applyBorder="1" applyAlignment="1" applyProtection="1">
      <alignment horizontal="right" vertical="center"/>
    </xf>
    <xf numFmtId="177" fontId="33" fillId="6" borderId="71" xfId="0" applyNumberFormat="1" applyFont="1" applyFill="1" applyBorder="1" applyProtection="1">
      <alignment vertical="center"/>
    </xf>
    <xf numFmtId="179" fontId="33" fillId="0" borderId="29" xfId="0" applyNumberFormat="1" applyFont="1" applyBorder="1" applyProtection="1">
      <alignment vertical="center"/>
    </xf>
    <xf numFmtId="0" fontId="33" fillId="0" borderId="28" xfId="0" applyFont="1" applyBorder="1" applyProtection="1">
      <alignment vertical="center"/>
    </xf>
    <xf numFmtId="179" fontId="85" fillId="0" borderId="0" xfId="0" applyNumberFormat="1" applyFont="1" applyBorder="1" applyProtection="1">
      <alignment vertical="center"/>
    </xf>
    <xf numFmtId="0" fontId="33" fillId="0" borderId="14" xfId="0" applyFont="1" applyFill="1" applyBorder="1" applyProtection="1">
      <alignment vertical="center"/>
    </xf>
    <xf numFmtId="0" fontId="7" fillId="0" borderId="14" xfId="0" applyFont="1" applyBorder="1" applyProtection="1">
      <alignment vertical="center"/>
    </xf>
    <xf numFmtId="0" fontId="7" fillId="0" borderId="52" xfId="0" applyFont="1" applyBorder="1" applyProtection="1">
      <alignment vertical="center"/>
    </xf>
    <xf numFmtId="0" fontId="7" fillId="0" borderId="53" xfId="0" applyFont="1" applyBorder="1" applyProtection="1">
      <alignment vertical="center"/>
    </xf>
    <xf numFmtId="0" fontId="7" fillId="0" borderId="51" xfId="0" applyFont="1" applyBorder="1" applyProtection="1">
      <alignment vertical="center"/>
    </xf>
    <xf numFmtId="0" fontId="0" fillId="0" borderId="72" xfId="0" applyFont="1" applyBorder="1" applyAlignment="1" applyProtection="1">
      <alignment horizontal="center" vertical="center" wrapText="1"/>
    </xf>
    <xf numFmtId="0" fontId="7" fillId="0" borderId="13" xfId="0" applyFont="1" applyBorder="1" applyProtection="1">
      <alignment vertical="center"/>
    </xf>
    <xf numFmtId="0" fontId="114" fillId="0" borderId="73" xfId="0" applyFont="1" applyBorder="1" applyAlignment="1" applyProtection="1">
      <alignment horizontal="center" vertical="center"/>
    </xf>
    <xf numFmtId="0" fontId="41" fillId="0" borderId="73" xfId="0" applyFont="1" applyBorder="1" applyAlignment="1" applyProtection="1">
      <alignment horizontal="center" vertical="center" wrapText="1"/>
    </xf>
    <xf numFmtId="0" fontId="21" fillId="0" borderId="73" xfId="0" applyFont="1" applyBorder="1" applyAlignment="1" applyProtection="1">
      <alignment horizontal="center" vertical="center" wrapText="1"/>
    </xf>
    <xf numFmtId="0" fontId="47" fillId="0" borderId="73" xfId="0" applyFont="1" applyBorder="1" applyAlignment="1" applyProtection="1">
      <alignment horizontal="center" vertical="center" wrapText="1"/>
    </xf>
    <xf numFmtId="0" fontId="46" fillId="0" borderId="74" xfId="0" applyFont="1" applyBorder="1" applyAlignment="1" applyProtection="1">
      <alignment horizontal="center" vertical="center" wrapText="1"/>
    </xf>
    <xf numFmtId="0" fontId="0" fillId="0" borderId="74" xfId="0" applyBorder="1" applyAlignment="1" applyProtection="1">
      <alignment horizontal="center" vertical="center" wrapText="1"/>
    </xf>
    <xf numFmtId="0" fontId="0" fillId="15" borderId="75" xfId="0" applyFont="1" applyFill="1" applyBorder="1" applyAlignment="1" applyProtection="1">
      <alignment horizontal="center" vertical="center" wrapText="1"/>
    </xf>
    <xf numFmtId="0" fontId="0" fillId="3" borderId="76" xfId="0" applyFont="1" applyFill="1" applyBorder="1" applyProtection="1">
      <alignment vertical="center"/>
    </xf>
    <xf numFmtId="0" fontId="52" fillId="0" borderId="8" xfId="0" applyFont="1" applyBorder="1" applyAlignment="1" applyProtection="1">
      <alignment horizontal="center" vertical="center"/>
    </xf>
    <xf numFmtId="0" fontId="51" fillId="0" borderId="8" xfId="0" applyFont="1" applyBorder="1" applyAlignment="1" applyProtection="1">
      <alignment horizontal="center" vertical="center" wrapText="1"/>
    </xf>
    <xf numFmtId="0" fontId="52" fillId="0" borderId="78" xfId="0" applyFont="1" applyBorder="1" applyAlignment="1" applyProtection="1">
      <alignment horizontal="center" vertical="center"/>
    </xf>
    <xf numFmtId="0" fontId="51" fillId="0" borderId="78" xfId="0" applyFont="1" applyBorder="1" applyAlignment="1" applyProtection="1">
      <alignment horizontal="center" vertical="center" wrapText="1"/>
    </xf>
    <xf numFmtId="0" fontId="54" fillId="0" borderId="6" xfId="0" applyFont="1" applyFill="1" applyBorder="1" applyAlignment="1" applyProtection="1">
      <alignment horizontal="right" vertical="center"/>
    </xf>
    <xf numFmtId="0" fontId="52" fillId="0" borderId="6" xfId="0" applyFont="1" applyFill="1" applyBorder="1" applyAlignment="1" applyProtection="1">
      <alignment horizontal="right" vertical="center"/>
    </xf>
    <xf numFmtId="0" fontId="24" fillId="0" borderId="0" xfId="0" applyFont="1" applyProtection="1">
      <alignment vertical="center"/>
    </xf>
    <xf numFmtId="0" fontId="109" fillId="0" borderId="0" xfId="0" applyFont="1" applyFill="1" applyBorder="1" applyAlignment="1" applyProtection="1">
      <alignment horizontal="left" vertical="center"/>
      <protection locked="0"/>
    </xf>
    <xf numFmtId="0" fontId="7" fillId="0" borderId="28" xfId="0" applyFont="1" applyBorder="1" applyProtection="1">
      <alignment vertical="center"/>
    </xf>
    <xf numFmtId="0" fontId="52" fillId="16" borderId="27" xfId="0" applyFont="1" applyFill="1" applyBorder="1" applyProtection="1">
      <alignment vertical="center"/>
    </xf>
    <xf numFmtId="0" fontId="52" fillId="16" borderId="0" xfId="0" applyFont="1" applyFill="1" applyBorder="1" applyProtection="1">
      <alignment vertical="center"/>
    </xf>
    <xf numFmtId="0" fontId="52" fillId="16" borderId="29" xfId="0" applyFont="1" applyFill="1" applyBorder="1" applyProtection="1">
      <alignment vertical="center"/>
    </xf>
    <xf numFmtId="0" fontId="115" fillId="16" borderId="27" xfId="0" applyFont="1" applyFill="1" applyBorder="1" applyProtection="1">
      <alignment vertical="center"/>
    </xf>
    <xf numFmtId="0" fontId="115" fillId="16" borderId="15" xfId="0" applyFont="1" applyFill="1" applyBorder="1" applyProtection="1">
      <alignment vertical="center"/>
    </xf>
    <xf numFmtId="0" fontId="115" fillId="16" borderId="0" xfId="0" applyFont="1" applyFill="1" applyBorder="1" applyProtection="1">
      <alignment vertical="center"/>
    </xf>
    <xf numFmtId="0" fontId="115" fillId="16" borderId="16" xfId="0" applyFont="1" applyFill="1" applyBorder="1" applyProtection="1">
      <alignment vertical="center"/>
    </xf>
    <xf numFmtId="0" fontId="115" fillId="16" borderId="29" xfId="0" applyFont="1" applyFill="1" applyBorder="1" applyProtection="1">
      <alignment vertical="center"/>
    </xf>
    <xf numFmtId="0" fontId="115" fillId="16" borderId="30" xfId="0" applyFont="1" applyFill="1" applyBorder="1" applyProtection="1">
      <alignment vertical="center"/>
    </xf>
    <xf numFmtId="0" fontId="51" fillId="16" borderId="15" xfId="0" applyFont="1" applyFill="1" applyBorder="1" applyProtection="1">
      <alignment vertical="center"/>
    </xf>
    <xf numFmtId="0" fontId="51" fillId="16" borderId="16" xfId="0" applyFont="1" applyFill="1" applyBorder="1" applyProtection="1">
      <alignment vertical="center"/>
    </xf>
    <xf numFmtId="0" fontId="51" fillId="16" borderId="30" xfId="0" applyFont="1" applyFill="1" applyBorder="1" applyProtection="1">
      <alignment vertical="center"/>
    </xf>
    <xf numFmtId="0" fontId="116" fillId="16" borderId="27" xfId="0" applyFont="1" applyFill="1" applyBorder="1">
      <alignment vertical="center"/>
    </xf>
    <xf numFmtId="0" fontId="117" fillId="16" borderId="15" xfId="0" applyFont="1" applyFill="1" applyBorder="1">
      <alignment vertical="center"/>
    </xf>
    <xf numFmtId="0" fontId="116" fillId="16" borderId="0" xfId="0" applyFont="1" applyFill="1" applyBorder="1">
      <alignment vertical="center"/>
    </xf>
    <xf numFmtId="0" fontId="117" fillId="16" borderId="16" xfId="0" applyFont="1" applyFill="1" applyBorder="1">
      <alignment vertical="center"/>
    </xf>
    <xf numFmtId="0" fontId="116" fillId="16" borderId="29" xfId="0" applyFont="1" applyFill="1" applyBorder="1">
      <alignment vertical="center"/>
    </xf>
    <xf numFmtId="0" fontId="117" fillId="16" borderId="30" xfId="0" applyFont="1" applyFill="1" applyBorder="1">
      <alignment vertical="center"/>
    </xf>
    <xf numFmtId="0" fontId="116" fillId="16" borderId="15" xfId="0" applyFont="1" applyFill="1" applyBorder="1">
      <alignment vertical="center"/>
    </xf>
    <xf numFmtId="0" fontId="116" fillId="16" borderId="16" xfId="0" applyFont="1" applyFill="1" applyBorder="1">
      <alignment vertical="center"/>
    </xf>
    <xf numFmtId="0" fontId="116" fillId="16" borderId="30" xfId="0" applyFont="1" applyFill="1" applyBorder="1">
      <alignment vertical="center"/>
    </xf>
    <xf numFmtId="0" fontId="33" fillId="0" borderId="53" xfId="0" applyFont="1" applyBorder="1" applyAlignment="1" applyProtection="1">
      <alignment horizontal="right" vertical="center"/>
    </xf>
    <xf numFmtId="180" fontId="41" fillId="0" borderId="0" xfId="0" applyNumberFormat="1" applyFont="1" applyFill="1" applyProtection="1">
      <alignment vertical="center"/>
    </xf>
    <xf numFmtId="180" fontId="0" fillId="0" borderId="80" xfId="0" applyNumberFormat="1" applyFill="1" applyBorder="1" applyAlignment="1" applyProtection="1">
      <alignment horizontal="center" vertical="center" shrinkToFit="1"/>
    </xf>
    <xf numFmtId="180" fontId="0" fillId="0" borderId="81" xfId="0" applyNumberFormat="1" applyFill="1" applyBorder="1" applyAlignment="1" applyProtection="1">
      <alignment horizontal="center" vertical="center" shrinkToFit="1"/>
    </xf>
    <xf numFmtId="180" fontId="0" fillId="0" borderId="82" xfId="0" applyNumberFormat="1" applyFill="1" applyBorder="1" applyAlignment="1" applyProtection="1">
      <alignment horizontal="center" vertical="center" shrinkToFit="1"/>
    </xf>
    <xf numFmtId="180" fontId="0" fillId="0" borderId="83" xfId="0" applyNumberFormat="1" applyFill="1" applyBorder="1" applyAlignment="1" applyProtection="1">
      <alignment horizontal="center" vertical="center" shrinkToFit="1"/>
    </xf>
    <xf numFmtId="180" fontId="0" fillId="0" borderId="55" xfId="0" applyNumberFormat="1" applyFill="1" applyBorder="1" applyAlignment="1" applyProtection="1">
      <alignment horizontal="center" vertical="center" shrinkToFit="1"/>
    </xf>
    <xf numFmtId="0" fontId="43" fillId="0" borderId="84" xfId="0" applyFont="1" applyFill="1" applyBorder="1" applyAlignment="1" applyProtection="1">
      <alignment horizontal="center" vertical="center"/>
    </xf>
    <xf numFmtId="0" fontId="10" fillId="0" borderId="81" xfId="0" applyFont="1" applyFill="1" applyBorder="1" applyAlignment="1" applyProtection="1">
      <alignment horizontal="right" vertical="center"/>
    </xf>
    <xf numFmtId="0" fontId="116" fillId="16" borderId="51" xfId="0" applyFont="1" applyFill="1" applyBorder="1" applyProtection="1">
      <alignment vertical="center"/>
    </xf>
    <xf numFmtId="0" fontId="118" fillId="16" borderId="27" xfId="0" applyFont="1" applyFill="1" applyBorder="1" applyProtection="1">
      <alignment vertical="center"/>
    </xf>
    <xf numFmtId="0" fontId="118" fillId="16" borderId="15" xfId="0" applyFont="1" applyFill="1" applyBorder="1" applyProtection="1">
      <alignment vertical="center"/>
    </xf>
    <xf numFmtId="0" fontId="46" fillId="0" borderId="0" xfId="0" applyFont="1" applyFill="1" applyBorder="1" applyProtection="1">
      <alignment vertical="center"/>
    </xf>
    <xf numFmtId="180" fontId="0" fillId="9" borderId="85" xfId="0" applyNumberFormat="1" applyFill="1" applyBorder="1" applyAlignment="1" applyProtection="1">
      <alignment horizontal="center" vertical="center" shrinkToFit="1"/>
    </xf>
    <xf numFmtId="0" fontId="0" fillId="0" borderId="86" xfId="0" applyFill="1" applyBorder="1" applyAlignment="1" applyProtection="1">
      <alignment horizontal="center" vertical="center"/>
    </xf>
    <xf numFmtId="0" fontId="41" fillId="0" borderId="1" xfId="0" applyFont="1" applyFill="1" applyBorder="1" applyAlignment="1" applyProtection="1">
      <alignment horizontal="right" vertical="center"/>
    </xf>
    <xf numFmtId="0" fontId="116" fillId="16" borderId="52" xfId="0" applyFont="1" applyFill="1" applyBorder="1" applyProtection="1">
      <alignment vertical="center"/>
    </xf>
    <xf numFmtId="0" fontId="118" fillId="16" borderId="0" xfId="0" applyFont="1" applyFill="1" applyBorder="1" applyProtection="1">
      <alignment vertical="center"/>
    </xf>
    <xf numFmtId="0" fontId="118" fillId="16" borderId="16" xfId="0" applyFont="1" applyFill="1" applyBorder="1" applyProtection="1">
      <alignment vertical="center"/>
    </xf>
    <xf numFmtId="180" fontId="0" fillId="9" borderId="87" xfId="0" applyNumberFormat="1" applyFill="1" applyBorder="1" applyAlignment="1" applyProtection="1">
      <alignment horizontal="center" vertical="center" shrinkToFit="1"/>
    </xf>
    <xf numFmtId="0" fontId="41" fillId="0" borderId="4" xfId="0" applyFont="1" applyFill="1" applyBorder="1" applyAlignment="1" applyProtection="1">
      <alignment horizontal="right" vertical="center"/>
    </xf>
    <xf numFmtId="180" fontId="0" fillId="0" borderId="0" xfId="0" applyNumberFormat="1" applyFill="1" applyBorder="1" applyProtection="1">
      <alignment vertical="center"/>
    </xf>
    <xf numFmtId="0" fontId="0" fillId="0" borderId="12" xfId="0" applyFill="1" applyBorder="1" applyAlignment="1" applyProtection="1">
      <alignment horizontal="center" vertical="center"/>
    </xf>
    <xf numFmtId="0" fontId="41" fillId="0" borderId="12" xfId="0" applyFont="1" applyFill="1" applyBorder="1" applyAlignment="1" applyProtection="1">
      <alignment horizontal="right" vertical="center"/>
    </xf>
    <xf numFmtId="0" fontId="0" fillId="9" borderId="80" xfId="0" applyFill="1" applyBorder="1" applyAlignment="1" applyProtection="1">
      <alignment horizontal="center" vertical="center"/>
    </xf>
    <xf numFmtId="0" fontId="0" fillId="0" borderId="88" xfId="0" applyFill="1" applyBorder="1" applyProtection="1">
      <alignment vertical="center"/>
    </xf>
    <xf numFmtId="0" fontId="0" fillId="0" borderId="89" xfId="0" applyFill="1" applyBorder="1" applyProtection="1">
      <alignment vertical="center"/>
    </xf>
    <xf numFmtId="0" fontId="43" fillId="0" borderId="86" xfId="0" applyFont="1" applyFill="1" applyBorder="1" applyAlignment="1" applyProtection="1">
      <alignment horizontal="center" vertical="center"/>
    </xf>
    <xf numFmtId="0" fontId="42" fillId="0" borderId="90" xfId="0" applyFont="1" applyFill="1" applyBorder="1" applyAlignment="1" applyProtection="1">
      <alignment horizontal="right" vertical="center"/>
    </xf>
    <xf numFmtId="0" fontId="0" fillId="0" borderId="15" xfId="0" applyFill="1" applyBorder="1" applyProtection="1">
      <alignment vertical="center"/>
    </xf>
    <xf numFmtId="0" fontId="0" fillId="9" borderId="85" xfId="0" applyFill="1" applyBorder="1" applyAlignment="1" applyProtection="1">
      <alignment horizontal="center" vertical="center"/>
    </xf>
    <xf numFmtId="0" fontId="0" fillId="0" borderId="60" xfId="0" applyFill="1" applyBorder="1" applyProtection="1">
      <alignment vertical="center"/>
    </xf>
    <xf numFmtId="0" fontId="0" fillId="0" borderId="91" xfId="0" applyFill="1" applyBorder="1" applyProtection="1">
      <alignment vertical="center"/>
    </xf>
    <xf numFmtId="0" fontId="0" fillId="0" borderId="16" xfId="0" applyFill="1" applyBorder="1" applyProtection="1">
      <alignment vertical="center"/>
    </xf>
    <xf numFmtId="0" fontId="43" fillId="0" borderId="0" xfId="0" applyFont="1" applyFill="1" applyBorder="1" applyProtection="1">
      <alignment vertical="center"/>
    </xf>
    <xf numFmtId="0" fontId="116" fillId="16" borderId="53" xfId="0" applyFont="1" applyFill="1" applyBorder="1" applyProtection="1">
      <alignment vertical="center"/>
    </xf>
    <xf numFmtId="0" fontId="118" fillId="16" borderId="29" xfId="0" applyFont="1" applyFill="1" applyBorder="1" applyProtection="1">
      <alignment vertical="center"/>
    </xf>
    <xf numFmtId="0" fontId="118" fillId="16" borderId="30" xfId="0" applyFont="1" applyFill="1" applyBorder="1" applyProtection="1">
      <alignment vertical="center"/>
    </xf>
    <xf numFmtId="0" fontId="0" fillId="9" borderId="87" xfId="0" applyFill="1" applyBorder="1" applyAlignment="1" applyProtection="1">
      <alignment horizontal="center" vertical="center"/>
    </xf>
    <xf numFmtId="0" fontId="0" fillId="0" borderId="92" xfId="0" applyFill="1" applyBorder="1" applyProtection="1">
      <alignment vertical="center"/>
    </xf>
    <xf numFmtId="0" fontId="0" fillId="0" borderId="93" xfId="0" applyFill="1" applyBorder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119" fillId="0" borderId="0" xfId="0" applyFont="1" applyFill="1" applyProtection="1">
      <alignment vertical="center"/>
    </xf>
    <xf numFmtId="0" fontId="0" fillId="0" borderId="0" xfId="0" applyAlignment="1" applyProtection="1">
      <alignment horizontal="center" vertical="center"/>
    </xf>
    <xf numFmtId="0" fontId="4" fillId="0" borderId="73" xfId="0" applyFont="1" applyBorder="1" applyAlignment="1" applyProtection="1">
      <alignment horizontal="center" vertical="center" wrapText="1"/>
    </xf>
    <xf numFmtId="0" fontId="4" fillId="0" borderId="94" xfId="0" applyFont="1" applyBorder="1" applyAlignment="1" applyProtection="1">
      <alignment vertical="center"/>
    </xf>
    <xf numFmtId="0" fontId="10" fillId="0" borderId="95" xfId="0" applyFont="1" applyFill="1" applyBorder="1" applyAlignment="1" applyProtection="1">
      <alignment horizontal="center" vertical="center" wrapText="1"/>
    </xf>
    <xf numFmtId="0" fontId="10" fillId="0" borderId="78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0" borderId="96" xfId="0" applyFont="1" applyFill="1" applyBorder="1" applyAlignment="1" applyProtection="1">
      <alignment horizontal="center" vertical="center" wrapText="1"/>
    </xf>
    <xf numFmtId="0" fontId="43" fillId="0" borderId="78" xfId="0" applyFont="1" applyBorder="1" applyAlignment="1" applyProtection="1">
      <alignment vertical="center"/>
    </xf>
    <xf numFmtId="0" fontId="120" fillId="0" borderId="94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0" borderId="97" xfId="0" applyFont="1" applyFill="1" applyBorder="1" applyAlignment="1" applyProtection="1">
      <alignment horizontal="center" vertical="center" wrapText="1"/>
    </xf>
    <xf numFmtId="0" fontId="37" fillId="17" borderId="78" xfId="0" applyFont="1" applyFill="1" applyBorder="1" applyAlignment="1" applyProtection="1">
      <alignment horizontal="center" vertical="center" wrapText="1"/>
    </xf>
    <xf numFmtId="0" fontId="37" fillId="17" borderId="60" xfId="0" applyFont="1" applyFill="1" applyBorder="1" applyAlignment="1" applyProtection="1">
      <alignment horizontal="center" vertical="center" wrapText="1"/>
    </xf>
    <xf numFmtId="0" fontId="40" fillId="12" borderId="5" xfId="0" applyFont="1" applyFill="1" applyBorder="1" applyAlignment="1" applyProtection="1">
      <alignment horizontal="center" vertical="center" wrapText="1"/>
    </xf>
    <xf numFmtId="0" fontId="121" fillId="0" borderId="98" xfId="0" applyFont="1" applyFill="1" applyBorder="1" applyAlignment="1" applyProtection="1">
      <alignment horizontal="center" vertical="center" wrapText="1"/>
    </xf>
    <xf numFmtId="0" fontId="121" fillId="0" borderId="99" xfId="0" applyFont="1" applyFill="1" applyBorder="1" applyAlignment="1" applyProtection="1">
      <alignment horizontal="center" vertical="center" wrapText="1"/>
    </xf>
    <xf numFmtId="0" fontId="121" fillId="0" borderId="100" xfId="0" applyFont="1" applyFill="1" applyBorder="1" applyAlignment="1" applyProtection="1">
      <alignment horizontal="center" vertical="center" wrapText="1"/>
    </xf>
    <xf numFmtId="0" fontId="121" fillId="0" borderId="101" xfId="0" applyFont="1" applyFill="1" applyBorder="1" applyAlignment="1" applyProtection="1">
      <alignment horizontal="center" vertical="center" wrapText="1"/>
    </xf>
    <xf numFmtId="0" fontId="121" fillId="0" borderId="102" xfId="0" applyFont="1" applyFill="1" applyBorder="1" applyAlignment="1" applyProtection="1">
      <alignment horizontal="center" vertical="center" wrapText="1"/>
    </xf>
    <xf numFmtId="0" fontId="121" fillId="0" borderId="103" xfId="0" applyFont="1" applyFill="1" applyBorder="1" applyAlignment="1" applyProtection="1">
      <alignment horizontal="center" vertical="center" wrapText="1"/>
    </xf>
    <xf numFmtId="0" fontId="122" fillId="0" borderId="74" xfId="0" applyFont="1" applyFill="1" applyBorder="1" applyAlignment="1" applyProtection="1">
      <alignment horizontal="center" vertical="center" wrapText="1"/>
    </xf>
    <xf numFmtId="0" fontId="121" fillId="0" borderId="78" xfId="0" applyFont="1" applyFill="1" applyBorder="1" applyAlignment="1" applyProtection="1">
      <alignment horizontal="center" vertical="center" wrapText="1"/>
    </xf>
    <xf numFmtId="0" fontId="121" fillId="0" borderId="1" xfId="0" applyFont="1" applyFill="1" applyBorder="1" applyAlignment="1" applyProtection="1">
      <alignment horizontal="center" vertical="center" wrapText="1"/>
    </xf>
    <xf numFmtId="0" fontId="121" fillId="0" borderId="74" xfId="0" applyFont="1" applyFill="1" applyBorder="1" applyAlignment="1" applyProtection="1">
      <alignment horizontal="center" vertical="center" wrapText="1"/>
    </xf>
    <xf numFmtId="0" fontId="123" fillId="0" borderId="104" xfId="0" applyFont="1" applyBorder="1" applyAlignment="1" applyProtection="1">
      <alignment vertical="center" wrapText="1"/>
    </xf>
    <xf numFmtId="0" fontId="21" fillId="0" borderId="105" xfId="0" applyFont="1" applyBorder="1" applyAlignment="1" applyProtection="1">
      <alignment vertical="center" wrapText="1"/>
    </xf>
    <xf numFmtId="0" fontId="123" fillId="0" borderId="106" xfId="0" applyFont="1" applyBorder="1" applyAlignment="1" applyProtection="1">
      <alignment vertical="center" wrapText="1"/>
    </xf>
    <xf numFmtId="180" fontId="0" fillId="0" borderId="0" xfId="0" applyNumberFormat="1" applyAlignment="1" applyProtection="1">
      <alignment horizontal="center" vertical="center"/>
    </xf>
    <xf numFmtId="181" fontId="38" fillId="0" borderId="90" xfId="0" applyNumberFormat="1" applyFont="1" applyBorder="1" applyAlignment="1" applyProtection="1">
      <alignment horizontal="center" vertical="center"/>
    </xf>
    <xf numFmtId="180" fontId="0" fillId="0" borderId="0" xfId="0" applyNumberFormat="1" applyProtection="1">
      <alignment vertical="center"/>
    </xf>
    <xf numFmtId="181" fontId="38" fillId="0" borderId="1" xfId="0" applyNumberFormat="1" applyFont="1" applyBorder="1" applyAlignment="1" applyProtection="1">
      <alignment horizontal="center" vertical="center"/>
    </xf>
    <xf numFmtId="181" fontId="38" fillId="0" borderId="107" xfId="0" applyNumberFormat="1" applyFont="1" applyFill="1" applyBorder="1" applyAlignment="1" applyProtection="1">
      <alignment horizontal="center" vertical="center"/>
    </xf>
    <xf numFmtId="184" fontId="124" fillId="0" borderId="0" xfId="0" applyNumberFormat="1" applyFont="1" applyFill="1" applyBorder="1" applyProtection="1">
      <alignment vertical="center"/>
    </xf>
    <xf numFmtId="181" fontId="38" fillId="0" borderId="0" xfId="0" applyNumberFormat="1" applyFont="1" applyFill="1" applyBorder="1" applyAlignment="1" applyProtection="1">
      <alignment horizontal="center" vertical="center"/>
    </xf>
    <xf numFmtId="182" fontId="0" fillId="0" borderId="0" xfId="0" applyNumberFormat="1" applyFill="1" applyBorder="1" applyProtection="1">
      <alignment vertical="center"/>
    </xf>
    <xf numFmtId="186" fontId="0" fillId="0" borderId="0" xfId="0" applyNumberFormat="1" applyFill="1" applyBorder="1" applyProtection="1">
      <alignment vertical="center"/>
    </xf>
    <xf numFmtId="182" fontId="37" fillId="0" borderId="0" xfId="0" applyNumberFormat="1" applyFont="1" applyFill="1" applyBorder="1" applyProtection="1">
      <alignment vertical="center"/>
    </xf>
    <xf numFmtId="180" fontId="0" fillId="0" borderId="0" xfId="0" applyNumberFormat="1" applyFill="1" applyBorder="1" applyAlignment="1" applyProtection="1">
      <alignment horizontal="center" vertical="center"/>
    </xf>
    <xf numFmtId="0" fontId="125" fillId="0" borderId="108" xfId="0" applyFont="1" applyBorder="1" applyAlignment="1" applyProtection="1">
      <alignment horizontal="center" vertical="center"/>
    </xf>
    <xf numFmtId="0" fontId="7" fillId="0" borderId="85" xfId="0" applyFont="1" applyBorder="1" applyAlignment="1" applyProtection="1">
      <alignment horizontal="center" vertical="center"/>
    </xf>
    <xf numFmtId="0" fontId="0" fillId="0" borderId="53" xfId="0" applyFill="1" applyBorder="1" applyAlignment="1" applyProtection="1">
      <alignment horizontal="center" vertical="center"/>
    </xf>
    <xf numFmtId="0" fontId="10" fillId="0" borderId="48" xfId="0" applyFont="1" applyFill="1" applyBorder="1" applyAlignment="1" applyProtection="1">
      <alignment horizontal="right" vertical="center"/>
    </xf>
    <xf numFmtId="0" fontId="0" fillId="0" borderId="30" xfId="0" applyFill="1" applyBorder="1" applyProtection="1">
      <alignment vertical="center"/>
    </xf>
    <xf numFmtId="177" fontId="58" fillId="18" borderId="12" xfId="0" applyNumberFormat="1" applyFont="1" applyFill="1" applyBorder="1" applyProtection="1">
      <alignment vertical="center"/>
    </xf>
    <xf numFmtId="178" fontId="58" fillId="18" borderId="70" xfId="0" applyNumberFormat="1" applyFont="1" applyFill="1" applyBorder="1" applyProtection="1">
      <alignment vertical="center"/>
    </xf>
    <xf numFmtId="177" fontId="58" fillId="18" borderId="71" xfId="0" applyNumberFormat="1" applyFont="1" applyFill="1" applyBorder="1" applyProtection="1">
      <alignment vertical="center"/>
    </xf>
    <xf numFmtId="177" fontId="58" fillId="18" borderId="70" xfId="0" applyNumberFormat="1" applyFont="1" applyFill="1" applyBorder="1" applyProtection="1">
      <alignment vertical="center"/>
    </xf>
    <xf numFmtId="0" fontId="38" fillId="0" borderId="1" xfId="0" applyFont="1" applyBorder="1" applyAlignment="1" applyProtection="1">
      <alignment horizontal="center" vertical="center"/>
    </xf>
    <xf numFmtId="0" fontId="120" fillId="0" borderId="60" xfId="0" applyFont="1" applyBorder="1" applyAlignment="1" applyProtection="1">
      <alignment horizontal="center" vertical="center"/>
    </xf>
    <xf numFmtId="0" fontId="120" fillId="0" borderId="75" xfId="0" applyFont="1" applyBorder="1" applyAlignment="1" applyProtection="1">
      <alignment horizontal="center" vertical="center"/>
    </xf>
    <xf numFmtId="0" fontId="47" fillId="0" borderId="1" xfId="0" applyFont="1" applyBorder="1" applyAlignment="1" applyProtection="1">
      <alignment horizontal="center" vertical="center"/>
    </xf>
    <xf numFmtId="0" fontId="7" fillId="0" borderId="87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7" fillId="0" borderId="38" xfId="0" applyFont="1" applyBorder="1" applyAlignment="1" applyProtection="1">
      <alignment horizontal="center" vertical="center"/>
    </xf>
    <xf numFmtId="0" fontId="7" fillId="0" borderId="109" xfId="0" applyFont="1" applyBorder="1" applyAlignment="1" applyProtection="1">
      <alignment horizontal="center" vertical="center"/>
    </xf>
    <xf numFmtId="0" fontId="7" fillId="0" borderId="110" xfId="0" applyFont="1" applyBorder="1" applyAlignment="1" applyProtection="1">
      <alignment horizontal="center" vertical="center"/>
    </xf>
    <xf numFmtId="0" fontId="7" fillId="0" borderId="16" xfId="0" applyFont="1" applyBorder="1" applyProtection="1">
      <alignment vertical="center"/>
    </xf>
    <xf numFmtId="0" fontId="7" fillId="0" borderId="30" xfId="0" applyFont="1" applyBorder="1" applyProtection="1">
      <alignment vertical="center"/>
    </xf>
    <xf numFmtId="0" fontId="126" fillId="0" borderId="0" xfId="0" applyFont="1" applyBorder="1" applyAlignment="1" applyProtection="1">
      <alignment horizontal="left" vertical="center"/>
    </xf>
    <xf numFmtId="176" fontId="61" fillId="19" borderId="111" xfId="0" applyNumberFormat="1" applyFont="1" applyFill="1" applyBorder="1" applyAlignment="1" applyProtection="1">
      <alignment horizontal="center" vertical="center" wrapText="1"/>
      <protection locked="0"/>
    </xf>
    <xf numFmtId="0" fontId="125" fillId="0" borderId="106" xfId="0" applyFont="1" applyBorder="1" applyAlignment="1" applyProtection="1">
      <alignment horizontal="center" vertical="center"/>
    </xf>
    <xf numFmtId="0" fontId="58" fillId="0" borderId="9" xfId="0" applyFont="1" applyBorder="1" applyProtection="1">
      <alignment vertical="center"/>
    </xf>
    <xf numFmtId="0" fontId="58" fillId="0" borderId="38" xfId="0" applyFont="1" applyBorder="1" applyProtection="1">
      <alignment vertical="center"/>
    </xf>
    <xf numFmtId="0" fontId="58" fillId="0" borderId="112" xfId="0" applyFont="1" applyBorder="1" applyProtection="1">
      <alignment vertical="center"/>
    </xf>
    <xf numFmtId="0" fontId="7" fillId="0" borderId="113" xfId="0" applyFont="1" applyBorder="1" applyProtection="1">
      <alignment vertical="center"/>
    </xf>
    <xf numFmtId="0" fontId="7" fillId="0" borderId="114" xfId="0" applyFont="1" applyFill="1" applyBorder="1" applyProtection="1">
      <alignment vertical="center"/>
    </xf>
    <xf numFmtId="0" fontId="58" fillId="0" borderId="90" xfId="0" applyFont="1" applyFill="1" applyBorder="1" applyProtection="1">
      <alignment vertical="center"/>
    </xf>
    <xf numFmtId="0" fontId="58" fillId="0" borderId="1" xfId="0" applyFont="1" applyFill="1" applyBorder="1" applyProtection="1">
      <alignment vertical="center"/>
    </xf>
    <xf numFmtId="0" fontId="58" fillId="0" borderId="36" xfId="0" applyFont="1" applyFill="1" applyBorder="1" applyProtection="1">
      <alignment vertical="center"/>
    </xf>
    <xf numFmtId="0" fontId="7" fillId="0" borderId="115" xfId="0" applyFont="1" applyFill="1" applyBorder="1" applyProtection="1">
      <alignment vertical="center"/>
    </xf>
    <xf numFmtId="0" fontId="58" fillId="0" borderId="59" xfId="0" applyFont="1" applyFill="1" applyBorder="1" applyProtection="1">
      <alignment vertical="center"/>
    </xf>
    <xf numFmtId="0" fontId="58" fillId="0" borderId="5" xfId="0" applyFont="1" applyFill="1" applyBorder="1" applyProtection="1">
      <alignment vertical="center"/>
    </xf>
    <xf numFmtId="0" fontId="58" fillId="0" borderId="116" xfId="0" applyFont="1" applyFill="1" applyBorder="1" applyProtection="1">
      <alignment vertical="center"/>
    </xf>
    <xf numFmtId="0" fontId="32" fillId="0" borderId="117" xfId="0" applyFont="1" applyBorder="1" applyAlignment="1" applyProtection="1">
      <alignment horizontal="center" vertical="center"/>
    </xf>
    <xf numFmtId="0" fontId="32" fillId="0" borderId="113" xfId="0" applyFont="1" applyBorder="1" applyAlignment="1" applyProtection="1">
      <alignment horizontal="center" vertical="center"/>
    </xf>
    <xf numFmtId="0" fontId="32" fillId="0" borderId="118" xfId="0" applyFont="1" applyBorder="1" applyAlignment="1" applyProtection="1">
      <alignment horizontal="center" vertical="center"/>
    </xf>
    <xf numFmtId="0" fontId="32" fillId="0" borderId="85" xfId="0" applyFont="1" applyBorder="1" applyAlignment="1" applyProtection="1">
      <alignment horizontal="center" vertical="center"/>
    </xf>
    <xf numFmtId="0" fontId="32" fillId="0" borderId="87" xfId="0" applyFont="1" applyBorder="1" applyAlignment="1" applyProtection="1">
      <alignment horizontal="center" vertical="center"/>
    </xf>
    <xf numFmtId="0" fontId="70" fillId="0" borderId="12" xfId="0" applyFont="1" applyFill="1" applyBorder="1" applyProtection="1">
      <alignment vertical="center"/>
      <protection locked="0"/>
    </xf>
    <xf numFmtId="0" fontId="0" fillId="0" borderId="29" xfId="0" applyFill="1" applyBorder="1" applyProtection="1">
      <alignment vertical="center"/>
      <protection locked="0"/>
    </xf>
    <xf numFmtId="0" fontId="41" fillId="0" borderId="1" xfId="0" applyFont="1" applyBorder="1" applyAlignment="1" applyProtection="1">
      <alignment horizontal="center" vertical="center"/>
    </xf>
    <xf numFmtId="0" fontId="38" fillId="0" borderId="1" xfId="0" applyFont="1" applyBorder="1" applyAlignment="1" applyProtection="1">
      <alignment horizontal="center" vertical="center" wrapText="1"/>
    </xf>
    <xf numFmtId="0" fontId="21" fillId="0" borderId="4" xfId="0" applyFont="1" applyBorder="1" applyAlignment="1" applyProtection="1">
      <alignment horizontal="center" vertical="center" wrapText="1"/>
    </xf>
    <xf numFmtId="0" fontId="21" fillId="0" borderId="119" xfId="0" applyFont="1" applyBorder="1" applyAlignment="1" applyProtection="1">
      <alignment horizontal="center" vertical="center" wrapText="1"/>
    </xf>
    <xf numFmtId="0" fontId="21" fillId="0" borderId="1" xfId="0" applyFont="1" applyBorder="1" applyAlignment="1" applyProtection="1">
      <alignment horizontal="center" vertical="center" wrapText="1"/>
    </xf>
    <xf numFmtId="0" fontId="47" fillId="0" borderId="1" xfId="0" applyFont="1" applyFill="1" applyBorder="1" applyAlignment="1" applyProtection="1">
      <alignment horizontal="center" vertical="center" wrapText="1"/>
    </xf>
    <xf numFmtId="0" fontId="38" fillId="14" borderId="6" xfId="0" applyFont="1" applyFill="1" applyBorder="1" applyAlignment="1" applyProtection="1">
      <alignment horizontal="center" vertical="center"/>
    </xf>
    <xf numFmtId="0" fontId="38" fillId="14" borderId="60" xfId="0" applyFont="1" applyFill="1" applyBorder="1" applyAlignment="1" applyProtection="1">
      <alignment horizontal="center" vertical="center" wrapText="1"/>
    </xf>
    <xf numFmtId="0" fontId="21" fillId="14" borderId="60" xfId="0" applyFont="1" applyFill="1" applyBorder="1" applyAlignment="1" applyProtection="1">
      <alignment horizontal="center" vertical="center" wrapText="1"/>
    </xf>
    <xf numFmtId="0" fontId="47" fillId="14" borderId="5" xfId="0" applyFont="1" applyFill="1" applyBorder="1" applyAlignment="1" applyProtection="1">
      <alignment horizontal="center" vertical="center" wrapText="1"/>
    </xf>
    <xf numFmtId="0" fontId="41" fillId="0" borderId="1" xfId="0" applyFont="1" applyFill="1" applyBorder="1" applyAlignment="1" applyProtection="1">
      <alignment horizontal="center" vertical="center" wrapText="1"/>
    </xf>
    <xf numFmtId="192" fontId="47" fillId="0" borderId="81" xfId="0" applyNumberFormat="1" applyFont="1" applyFill="1" applyBorder="1" applyAlignment="1" applyProtection="1">
      <alignment horizontal="center" vertical="center" shrinkToFit="1"/>
    </xf>
    <xf numFmtId="0" fontId="10" fillId="0" borderId="1" xfId="0" applyFont="1" applyBorder="1" applyAlignment="1" applyProtection="1">
      <alignment horizontal="center" vertical="center"/>
    </xf>
    <xf numFmtId="0" fontId="10" fillId="14" borderId="60" xfId="0" applyFont="1" applyFill="1" applyBorder="1" applyAlignment="1" applyProtection="1">
      <alignment horizontal="center" vertical="center" wrapText="1"/>
    </xf>
    <xf numFmtId="0" fontId="10" fillId="14" borderId="60" xfId="0" applyFont="1" applyFill="1" applyBorder="1" applyAlignment="1" applyProtection="1">
      <alignment horizontal="center" vertical="center"/>
    </xf>
    <xf numFmtId="0" fontId="41" fillId="14" borderId="60" xfId="0" applyFont="1" applyFill="1" applyBorder="1" applyAlignment="1" applyProtection="1">
      <alignment horizontal="center" vertical="center"/>
    </xf>
    <xf numFmtId="0" fontId="116" fillId="16" borderId="51" xfId="0" applyFont="1" applyFill="1" applyBorder="1" applyProtection="1">
      <alignment vertical="center"/>
      <protection locked="0"/>
    </xf>
    <xf numFmtId="0" fontId="116" fillId="16" borderId="52" xfId="0" applyFont="1" applyFill="1" applyBorder="1" applyProtection="1">
      <alignment vertical="center"/>
      <protection locked="0"/>
    </xf>
    <xf numFmtId="0" fontId="116" fillId="16" borderId="53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hidden="1"/>
    </xf>
    <xf numFmtId="0" fontId="0" fillId="0" borderId="0" xfId="0" applyBorder="1" applyProtection="1">
      <alignment vertical="center"/>
      <protection hidden="1"/>
    </xf>
    <xf numFmtId="0" fontId="0" fillId="2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20" borderId="0" xfId="0" applyFill="1" applyBorder="1" applyAlignment="1" applyProtection="1">
      <alignment horizontal="center" vertical="center"/>
      <protection hidden="1"/>
    </xf>
    <xf numFmtId="0" fontId="0" fillId="9" borderId="0" xfId="0" applyFill="1" applyBorder="1" applyAlignment="1" applyProtection="1">
      <alignment horizontal="center" vertical="center"/>
      <protection hidden="1"/>
    </xf>
    <xf numFmtId="0" fontId="56" fillId="0" borderId="0" xfId="0" applyFont="1" applyFill="1" applyBorder="1" applyAlignment="1" applyProtection="1">
      <alignment horizontal="center" vertical="center"/>
      <protection hidden="1"/>
    </xf>
    <xf numFmtId="0" fontId="127" fillId="11" borderId="0" xfId="0" applyFont="1" applyFill="1" applyBorder="1" applyAlignment="1" applyProtection="1">
      <alignment horizontal="center" vertical="center"/>
      <protection hidden="1"/>
    </xf>
    <xf numFmtId="0" fontId="128" fillId="16" borderId="120" xfId="0" applyFont="1" applyFill="1" applyBorder="1" applyAlignment="1" applyProtection="1">
      <alignment horizontal="center" vertical="center"/>
      <protection hidden="1"/>
    </xf>
    <xf numFmtId="0" fontId="43" fillId="0" borderId="1" xfId="0" applyFont="1" applyFill="1" applyBorder="1" applyAlignment="1" applyProtection="1">
      <alignment horizontal="center" vertical="center"/>
    </xf>
    <xf numFmtId="0" fontId="42" fillId="0" borderId="1" xfId="0" applyFont="1" applyFill="1" applyBorder="1" applyAlignment="1" applyProtection="1">
      <alignment horizontal="right" vertical="center"/>
    </xf>
    <xf numFmtId="0" fontId="116" fillId="16" borderId="27" xfId="0" applyFont="1" applyFill="1" applyBorder="1" applyProtection="1">
      <alignment vertical="center"/>
    </xf>
    <xf numFmtId="0" fontId="117" fillId="16" borderId="27" xfId="0" applyFont="1" applyFill="1" applyBorder="1" applyProtection="1">
      <alignment vertical="center"/>
    </xf>
    <xf numFmtId="0" fontId="128" fillId="16" borderId="27" xfId="0" applyFont="1" applyFill="1" applyBorder="1" applyProtection="1">
      <alignment vertical="center"/>
    </xf>
    <xf numFmtId="0" fontId="128" fillId="16" borderId="15" xfId="0" applyFont="1" applyFill="1" applyBorder="1" applyProtection="1">
      <alignment vertical="center"/>
    </xf>
    <xf numFmtId="0" fontId="42" fillId="0" borderId="0" xfId="0" applyFont="1" applyFill="1" applyBorder="1" applyAlignment="1" applyProtection="1">
      <alignment horizontal="right" vertical="center"/>
    </xf>
    <xf numFmtId="0" fontId="0" fillId="0" borderId="0" xfId="0" applyFill="1" applyBorder="1" applyAlignment="1" applyProtection="1">
      <alignment horizontal="left" vertical="center"/>
    </xf>
    <xf numFmtId="0" fontId="116" fillId="16" borderId="0" xfId="0" applyFont="1" applyFill="1" applyBorder="1" applyProtection="1">
      <alignment vertical="center"/>
    </xf>
    <xf numFmtId="0" fontId="117" fillId="16" borderId="0" xfId="0" applyFont="1" applyFill="1" applyBorder="1" applyProtection="1">
      <alignment vertical="center"/>
    </xf>
    <xf numFmtId="0" fontId="128" fillId="16" borderId="0" xfId="0" applyFont="1" applyFill="1" applyBorder="1" applyProtection="1">
      <alignment vertical="center"/>
    </xf>
    <xf numFmtId="0" fontId="128" fillId="16" borderId="16" xfId="0" applyFont="1" applyFill="1" applyBorder="1" applyProtection="1">
      <alignment vertical="center"/>
    </xf>
    <xf numFmtId="0" fontId="44" fillId="0" borderId="0" xfId="0" applyFont="1" applyProtection="1">
      <alignment vertical="center"/>
    </xf>
    <xf numFmtId="0" fontId="41" fillId="0" borderId="0" xfId="0" applyFont="1" applyFill="1" applyBorder="1" applyAlignment="1" applyProtection="1">
      <alignment horizontal="right" vertical="center"/>
    </xf>
    <xf numFmtId="0" fontId="116" fillId="16" borderId="29" xfId="0" applyFont="1" applyFill="1" applyBorder="1" applyProtection="1">
      <alignment vertical="center"/>
    </xf>
    <xf numFmtId="0" fontId="117" fillId="16" borderId="29" xfId="0" applyFont="1" applyFill="1" applyBorder="1" applyProtection="1">
      <alignment vertical="center"/>
    </xf>
    <xf numFmtId="0" fontId="128" fillId="16" borderId="29" xfId="0" applyFont="1" applyFill="1" applyBorder="1" applyProtection="1">
      <alignment vertical="center"/>
    </xf>
    <xf numFmtId="0" fontId="128" fillId="16" borderId="30" xfId="0" applyFont="1" applyFill="1" applyBorder="1" applyProtection="1">
      <alignment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10" fillId="0" borderId="7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0" fillId="0" borderId="109" xfId="0" applyFont="1" applyBorder="1" applyAlignment="1" applyProtection="1">
      <alignment horizontal="center" vertical="center"/>
    </xf>
    <xf numFmtId="0" fontId="10" fillId="0" borderId="9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121" xfId="0" applyBorder="1" applyAlignment="1" applyProtection="1">
      <alignment horizontal="center" vertical="center" wrapText="1"/>
    </xf>
    <xf numFmtId="0" fontId="111" fillId="0" borderId="119" xfId="0" applyFont="1" applyBorder="1" applyAlignment="1" applyProtection="1">
      <alignment horizontal="center" vertical="center" wrapText="1"/>
    </xf>
    <xf numFmtId="0" fontId="111" fillId="0" borderId="122" xfId="0" applyFont="1" applyBorder="1" applyAlignment="1" applyProtection="1">
      <alignment horizontal="center" vertical="center" wrapText="1"/>
    </xf>
    <xf numFmtId="0" fontId="111" fillId="0" borderId="123" xfId="0" applyFont="1" applyBorder="1" applyAlignment="1" applyProtection="1">
      <alignment horizontal="center" vertical="center" wrapText="1"/>
    </xf>
    <xf numFmtId="0" fontId="0" fillId="14" borderId="124" xfId="0" applyFont="1" applyFill="1" applyBorder="1" applyAlignment="1" applyProtection="1">
      <alignment horizontal="center" vertical="center"/>
    </xf>
    <xf numFmtId="0" fontId="0" fillId="14" borderId="125" xfId="0" applyFont="1" applyFill="1" applyBorder="1" applyAlignment="1" applyProtection="1">
      <alignment horizontal="center" vertical="center"/>
    </xf>
    <xf numFmtId="0" fontId="0" fillId="14" borderId="119" xfId="0" applyFont="1" applyFill="1" applyBorder="1" applyAlignment="1" applyProtection="1">
      <alignment horizontal="center" vertical="center" wrapText="1"/>
    </xf>
    <xf numFmtId="0" fontId="0" fillId="14" borderId="107" xfId="0" applyFont="1" applyFill="1" applyBorder="1" applyAlignment="1" applyProtection="1">
      <alignment horizontal="center" vertical="center" wrapText="1"/>
    </xf>
    <xf numFmtId="0" fontId="10" fillId="0" borderId="78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vertical="center" wrapText="1"/>
    </xf>
    <xf numFmtId="0" fontId="0" fillId="5" borderId="84" xfId="0" applyFont="1" applyFill="1" applyBorder="1" applyAlignment="1" applyProtection="1">
      <alignment horizontal="center" vertical="center" wrapText="1"/>
    </xf>
    <xf numFmtId="0" fontId="0" fillId="5" borderId="86" xfId="0" applyFont="1" applyFill="1" applyBorder="1" applyAlignment="1" applyProtection="1">
      <alignment horizontal="center" vertical="center" wrapText="1"/>
    </xf>
    <xf numFmtId="0" fontId="0" fillId="5" borderId="126" xfId="0" applyFont="1" applyFill="1" applyBorder="1" applyAlignment="1" applyProtection="1">
      <alignment horizontal="center" vertical="center" wrapText="1"/>
    </xf>
    <xf numFmtId="0" fontId="118" fillId="16" borderId="51" xfId="0" applyFont="1" applyFill="1" applyBorder="1" applyProtection="1">
      <alignment vertical="center"/>
      <protection locked="0"/>
    </xf>
    <xf numFmtId="0" fontId="118" fillId="16" borderId="52" xfId="0" applyFont="1" applyFill="1" applyBorder="1" applyProtection="1">
      <alignment vertical="center"/>
      <protection locked="0"/>
    </xf>
    <xf numFmtId="0" fontId="118" fillId="16" borderId="53" xfId="0" applyFont="1" applyFill="1" applyBorder="1" applyProtection="1">
      <alignment vertical="center"/>
      <protection locked="0"/>
    </xf>
    <xf numFmtId="0" fontId="55" fillId="0" borderId="0" xfId="0" applyFont="1" applyFill="1" applyBorder="1" applyAlignment="1" applyProtection="1">
      <alignment horizontal="left" vertical="center"/>
      <protection locked="0"/>
    </xf>
    <xf numFmtId="0" fontId="51" fillId="0" borderId="0" xfId="0" applyFont="1" applyFill="1" applyBorder="1" applyAlignment="1" applyProtection="1">
      <alignment horizontal="left" vertical="center"/>
      <protection locked="0"/>
    </xf>
    <xf numFmtId="0" fontId="0" fillId="0" borderId="125" xfId="0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46" fillId="0" borderId="1" xfId="0" applyFont="1" applyBorder="1" applyAlignment="1" applyProtection="1">
      <alignment vertical="center" wrapText="1"/>
    </xf>
    <xf numFmtId="0" fontId="55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NumberFormat="1" applyFill="1" applyBorder="1" applyProtection="1">
      <alignment vertical="center"/>
      <protection hidden="1"/>
    </xf>
    <xf numFmtId="0" fontId="0" fillId="0" borderId="5" xfId="0" applyNumberFormat="1" applyFill="1" applyBorder="1" applyAlignment="1" applyProtection="1">
      <alignment vertical="center" shrinkToFit="1"/>
      <protection hidden="1"/>
    </xf>
    <xf numFmtId="0" fontId="0" fillId="0" borderId="1" xfId="0" applyNumberFormat="1" applyFill="1" applyBorder="1" applyAlignment="1" applyProtection="1">
      <alignment vertical="center" shrinkToFit="1"/>
      <protection hidden="1"/>
    </xf>
    <xf numFmtId="0" fontId="0" fillId="0" borderId="6" xfId="0" applyNumberFormat="1" applyFill="1" applyBorder="1" applyAlignment="1" applyProtection="1">
      <alignment vertical="center" shrinkToFit="1"/>
      <protection hidden="1"/>
    </xf>
    <xf numFmtId="0" fontId="0" fillId="0" borderId="9" xfId="0" applyNumberFormat="1" applyFill="1" applyBorder="1" applyAlignment="1" applyProtection="1">
      <alignment vertical="center" shrinkToFit="1"/>
      <protection hidden="1"/>
    </xf>
    <xf numFmtId="0" fontId="0" fillId="0" borderId="48" xfId="0" applyNumberFormat="1" applyFill="1" applyBorder="1" applyProtection="1">
      <alignment vertical="center"/>
      <protection hidden="1"/>
    </xf>
    <xf numFmtId="0" fontId="0" fillId="0" borderId="116" xfId="0" applyNumberFormat="1" applyFill="1" applyBorder="1" applyAlignment="1" applyProtection="1">
      <alignment vertical="center" shrinkToFit="1"/>
      <protection hidden="1"/>
    </xf>
    <xf numFmtId="0" fontId="0" fillId="0" borderId="36" xfId="0" applyNumberFormat="1" applyFill="1" applyBorder="1" applyAlignment="1" applyProtection="1">
      <alignment vertical="center" shrinkToFit="1"/>
      <protection hidden="1"/>
    </xf>
    <xf numFmtId="0" fontId="0" fillId="0" borderId="37" xfId="0" applyNumberFormat="1" applyFill="1" applyBorder="1" applyAlignment="1" applyProtection="1">
      <alignment vertical="center" shrinkToFit="1"/>
      <protection hidden="1"/>
    </xf>
    <xf numFmtId="0" fontId="0" fillId="0" borderId="38" xfId="0" applyNumberFormat="1" applyFill="1" applyBorder="1" applyAlignment="1" applyProtection="1">
      <alignment vertical="center" shrinkToFit="1"/>
      <protection hidden="1"/>
    </xf>
    <xf numFmtId="0" fontId="0" fillId="0" borderId="81" xfId="0" applyFill="1" applyBorder="1" applyProtection="1">
      <alignment vertical="center"/>
      <protection hidden="1"/>
    </xf>
    <xf numFmtId="0" fontId="0" fillId="0" borderId="1" xfId="0" applyFill="1" applyBorder="1" applyProtection="1">
      <alignment vertical="center"/>
      <protection hidden="1"/>
    </xf>
    <xf numFmtId="0" fontId="0" fillId="0" borderId="36" xfId="0" applyFill="1" applyBorder="1" applyProtection="1">
      <alignment vertical="center"/>
      <protection hidden="1"/>
    </xf>
    <xf numFmtId="0" fontId="129" fillId="21" borderId="120" xfId="0" applyFont="1" applyFill="1" applyBorder="1" applyProtection="1">
      <alignment vertical="center"/>
    </xf>
    <xf numFmtId="0" fontId="129" fillId="21" borderId="127" xfId="0" applyFont="1" applyFill="1" applyBorder="1" applyAlignment="1" applyProtection="1">
      <alignment horizontal="center" vertical="center" wrapText="1"/>
    </xf>
    <xf numFmtId="0" fontId="129" fillId="21" borderId="12" xfId="0" applyFont="1" applyFill="1" applyBorder="1" applyAlignment="1" applyProtection="1">
      <alignment horizontal="center" vertical="center"/>
    </xf>
    <xf numFmtId="0" fontId="129" fillId="21" borderId="120" xfId="0" applyFont="1" applyFill="1" applyBorder="1" applyAlignment="1" applyProtection="1">
      <alignment horizontal="center" vertical="center" wrapText="1"/>
    </xf>
    <xf numFmtId="0" fontId="129" fillId="21" borderId="54" xfId="0" applyFont="1" applyFill="1" applyBorder="1" applyAlignment="1" applyProtection="1">
      <alignment horizontal="center" vertical="center"/>
    </xf>
    <xf numFmtId="0" fontId="129" fillId="21" borderId="51" xfId="0" applyFont="1" applyFill="1" applyBorder="1" applyAlignment="1" applyProtection="1">
      <alignment horizontal="center" vertical="center"/>
    </xf>
    <xf numFmtId="0" fontId="129" fillId="21" borderId="13" xfId="0" applyFont="1" applyFill="1" applyBorder="1" applyAlignment="1" applyProtection="1">
      <alignment horizontal="center" vertical="center"/>
    </xf>
    <xf numFmtId="0" fontId="58" fillId="0" borderId="28" xfId="0" applyFont="1" applyBorder="1" applyAlignment="1" applyProtection="1">
      <alignment horizontal="center" vertical="center"/>
    </xf>
    <xf numFmtId="0" fontId="58" fillId="5" borderId="28" xfId="0" applyFont="1" applyFill="1" applyBorder="1" applyAlignment="1" applyProtection="1">
      <alignment horizontal="center" vertical="center"/>
    </xf>
    <xf numFmtId="0" fontId="58" fillId="0" borderId="120" xfId="0" applyFont="1" applyBorder="1" applyAlignment="1" applyProtection="1">
      <alignment horizontal="center" vertical="center"/>
    </xf>
    <xf numFmtId="0" fontId="58" fillId="0" borderId="52" xfId="0" applyFont="1" applyBorder="1" applyAlignment="1" applyProtection="1">
      <alignment horizontal="center" vertical="center"/>
    </xf>
    <xf numFmtId="0" fontId="58" fillId="0" borderId="53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7" fillId="0" borderId="52" xfId="0" applyFont="1" applyBorder="1" applyAlignment="1" applyProtection="1">
      <alignment horizontal="center" vertical="center"/>
    </xf>
    <xf numFmtId="0" fontId="99" fillId="14" borderId="109" xfId="0" applyFont="1" applyFill="1" applyBorder="1" applyAlignment="1" applyProtection="1">
      <alignment horizontal="center" vertical="center"/>
    </xf>
    <xf numFmtId="0" fontId="7" fillId="22" borderId="9" xfId="0" applyFont="1" applyFill="1" applyBorder="1" applyProtection="1">
      <alignment vertical="center"/>
    </xf>
    <xf numFmtId="0" fontId="7" fillId="22" borderId="38" xfId="0" applyFont="1" applyFill="1" applyBorder="1" applyProtection="1">
      <alignment vertical="center"/>
    </xf>
    <xf numFmtId="0" fontId="7" fillId="23" borderId="9" xfId="0" applyFont="1" applyFill="1" applyBorder="1" applyProtection="1">
      <alignment vertical="center"/>
    </xf>
    <xf numFmtId="0" fontId="7" fillId="23" borderId="38" xfId="0" applyFont="1" applyFill="1" applyBorder="1" applyProtection="1">
      <alignment vertical="center"/>
    </xf>
    <xf numFmtId="0" fontId="7" fillId="24" borderId="9" xfId="0" applyFont="1" applyFill="1" applyBorder="1" applyProtection="1">
      <alignment vertical="center"/>
    </xf>
    <xf numFmtId="0" fontId="7" fillId="24" borderId="38" xfId="0" applyFont="1" applyFill="1" applyBorder="1" applyProtection="1">
      <alignment vertical="center"/>
    </xf>
    <xf numFmtId="0" fontId="7" fillId="25" borderId="124" xfId="0" applyFont="1" applyFill="1" applyBorder="1" applyAlignment="1" applyProtection="1">
      <alignment horizontal="center" vertical="center"/>
    </xf>
    <xf numFmtId="0" fontId="7" fillId="25" borderId="9" xfId="0" applyFont="1" applyFill="1" applyBorder="1" applyProtection="1">
      <alignment vertical="center"/>
    </xf>
    <xf numFmtId="0" fontId="7" fillId="25" borderId="128" xfId="0" applyFont="1" applyFill="1" applyBorder="1" applyAlignment="1" applyProtection="1">
      <alignment horizontal="center" vertical="center"/>
    </xf>
    <xf numFmtId="0" fontId="7" fillId="25" borderId="38" xfId="0" applyFont="1" applyFill="1" applyBorder="1" applyProtection="1">
      <alignment vertical="center"/>
    </xf>
    <xf numFmtId="0" fontId="7" fillId="22" borderId="85" xfId="0" applyFont="1" applyFill="1" applyBorder="1" applyAlignment="1" applyProtection="1">
      <alignment horizontal="center" vertical="center"/>
    </xf>
    <xf numFmtId="0" fontId="7" fillId="22" borderId="87" xfId="0" applyFont="1" applyFill="1" applyBorder="1" applyAlignment="1" applyProtection="1">
      <alignment horizontal="center" vertical="center"/>
    </xf>
    <xf numFmtId="0" fontId="7" fillId="24" borderId="85" xfId="0" applyFont="1" applyFill="1" applyBorder="1" applyAlignment="1" applyProtection="1">
      <alignment horizontal="center" vertical="center"/>
    </xf>
    <xf numFmtId="0" fontId="7" fillId="24" borderId="87" xfId="0" applyFont="1" applyFill="1" applyBorder="1" applyAlignment="1" applyProtection="1">
      <alignment horizontal="center" vertical="center"/>
    </xf>
    <xf numFmtId="0" fontId="7" fillId="23" borderId="85" xfId="0" applyFont="1" applyFill="1" applyBorder="1" applyAlignment="1" applyProtection="1">
      <alignment horizontal="center" vertical="center"/>
    </xf>
    <xf numFmtId="0" fontId="7" fillId="23" borderId="87" xfId="0" applyFont="1" applyFill="1" applyBorder="1" applyAlignment="1" applyProtection="1">
      <alignment horizontal="center" vertical="center"/>
    </xf>
    <xf numFmtId="0" fontId="130" fillId="21" borderId="129" xfId="0" applyFont="1" applyFill="1" applyBorder="1" applyAlignment="1" applyProtection="1">
      <alignment horizontal="center" vertical="center"/>
    </xf>
    <xf numFmtId="0" fontId="130" fillId="21" borderId="130" xfId="0" applyFont="1" applyFill="1" applyBorder="1" applyAlignment="1" applyProtection="1">
      <alignment horizontal="center" vertical="center"/>
    </xf>
    <xf numFmtId="41" fontId="32" fillId="19" borderId="112" xfId="2" applyFont="1" applyFill="1" applyBorder="1" applyAlignment="1" applyProtection="1">
      <alignment horizontal="center" vertical="center"/>
      <protection locked="0"/>
    </xf>
    <xf numFmtId="41" fontId="32" fillId="19" borderId="9" xfId="2" applyFont="1" applyFill="1" applyBorder="1" applyAlignment="1" applyProtection="1">
      <alignment horizontal="center" vertical="center"/>
      <protection locked="0"/>
    </xf>
    <xf numFmtId="41" fontId="32" fillId="19" borderId="38" xfId="2" applyFont="1" applyFill="1" applyBorder="1" applyAlignment="1" applyProtection="1">
      <alignment horizontal="center" vertical="center"/>
      <protection locked="0"/>
    </xf>
    <xf numFmtId="0" fontId="131" fillId="21" borderId="131" xfId="0" applyFont="1" applyFill="1" applyBorder="1" applyAlignment="1" applyProtection="1">
      <alignment horizontal="center" vertical="center" wrapText="1"/>
    </xf>
    <xf numFmtId="0" fontId="131" fillId="21" borderId="132" xfId="0" applyFont="1" applyFill="1" applyBorder="1" applyAlignment="1" applyProtection="1">
      <alignment horizontal="center" vertical="center" wrapText="1"/>
    </xf>
    <xf numFmtId="0" fontId="132" fillId="26" borderId="133" xfId="0" applyFont="1" applyFill="1" applyBorder="1" applyAlignment="1" applyProtection="1">
      <alignment horizontal="center" vertical="center" wrapText="1"/>
    </xf>
    <xf numFmtId="0" fontId="132" fillId="21" borderId="21" xfId="0" applyFont="1" applyFill="1" applyBorder="1" applyAlignment="1" applyProtection="1">
      <alignment horizontal="center" vertical="center" wrapText="1"/>
    </xf>
    <xf numFmtId="0" fontId="132" fillId="21" borderId="22" xfId="0" applyFont="1" applyFill="1" applyBorder="1" applyAlignment="1" applyProtection="1">
      <alignment horizontal="center" vertical="center" wrapText="1"/>
    </xf>
    <xf numFmtId="0" fontId="110" fillId="21" borderId="1" xfId="0" applyFont="1" applyFill="1" applyBorder="1" applyAlignment="1" applyProtection="1">
      <alignment horizontal="center" vertical="center" shrinkToFit="1"/>
    </xf>
    <xf numFmtId="0" fontId="110" fillId="21" borderId="9" xfId="0" applyFont="1" applyFill="1" applyBorder="1" applyAlignment="1" applyProtection="1">
      <alignment horizontal="center" vertical="center" shrinkToFit="1"/>
    </xf>
    <xf numFmtId="0" fontId="69" fillId="2" borderId="80" xfId="0" applyFont="1" applyFill="1" applyBorder="1" applyProtection="1">
      <alignment vertical="center"/>
      <protection locked="0"/>
    </xf>
    <xf numFmtId="0" fontId="69" fillId="2" borderId="81" xfId="0" applyFont="1" applyFill="1" applyBorder="1" applyProtection="1">
      <alignment vertical="center"/>
      <protection locked="0"/>
    </xf>
    <xf numFmtId="0" fontId="69" fillId="2" borderId="55" xfId="0" applyFont="1" applyFill="1" applyBorder="1" applyProtection="1">
      <alignment vertical="center"/>
      <protection locked="0"/>
    </xf>
    <xf numFmtId="0" fontId="69" fillId="2" borderId="87" xfId="0" applyFont="1" applyFill="1" applyBorder="1" applyProtection="1">
      <alignment vertical="center"/>
      <protection locked="0"/>
    </xf>
    <xf numFmtId="0" fontId="69" fillId="2" borderId="36" xfId="0" applyFont="1" applyFill="1" applyBorder="1" applyProtection="1">
      <alignment vertical="center"/>
      <protection locked="0"/>
    </xf>
    <xf numFmtId="0" fontId="69" fillId="2" borderId="38" xfId="0" applyFont="1" applyFill="1" applyBorder="1" applyProtection="1">
      <alignment vertical="center"/>
      <protection locked="0"/>
    </xf>
    <xf numFmtId="182" fontId="0" fillId="9" borderId="134" xfId="0" applyNumberFormat="1" applyFill="1" applyBorder="1" applyAlignment="1" applyProtection="1">
      <alignment vertical="center" shrinkToFit="1"/>
    </xf>
    <xf numFmtId="182" fontId="0" fillId="9" borderId="135" xfId="0" applyNumberFormat="1" applyFill="1" applyBorder="1" applyAlignment="1" applyProtection="1">
      <alignment vertical="center" shrinkToFit="1"/>
    </xf>
    <xf numFmtId="182" fontId="0" fillId="9" borderId="136" xfId="0" applyNumberFormat="1" applyFill="1" applyBorder="1" applyAlignment="1" applyProtection="1">
      <alignment vertical="center" shrinkToFit="1"/>
    </xf>
    <xf numFmtId="182" fontId="0" fillId="9" borderId="137" xfId="0" applyNumberFormat="1" applyFill="1" applyBorder="1" applyAlignment="1" applyProtection="1">
      <alignment vertical="center" shrinkToFit="1"/>
    </xf>
    <xf numFmtId="182" fontId="0" fillId="9" borderId="138" xfId="0" applyNumberFormat="1" applyFill="1" applyBorder="1" applyAlignment="1" applyProtection="1">
      <alignment vertical="center" shrinkToFit="1"/>
    </xf>
    <xf numFmtId="182" fontId="0" fillId="9" borderId="139" xfId="0" applyNumberFormat="1" applyFill="1" applyBorder="1" applyAlignment="1" applyProtection="1">
      <alignment vertical="center" shrinkToFit="1"/>
    </xf>
    <xf numFmtId="182" fontId="133" fillId="9" borderId="140" xfId="0" applyNumberFormat="1" applyFont="1" applyFill="1" applyBorder="1" applyAlignment="1" applyProtection="1">
      <alignment vertical="center" shrinkToFit="1"/>
    </xf>
    <xf numFmtId="182" fontId="134" fillId="9" borderId="137" xfId="0" applyNumberFormat="1" applyFont="1" applyFill="1" applyBorder="1" applyAlignment="1" applyProtection="1">
      <alignment vertical="center" shrinkToFit="1"/>
    </xf>
    <xf numFmtId="182" fontId="135" fillId="9" borderId="140" xfId="0" applyNumberFormat="1" applyFont="1" applyFill="1" applyBorder="1" applyAlignment="1" applyProtection="1">
      <alignment vertical="center" shrinkToFit="1"/>
    </xf>
    <xf numFmtId="182" fontId="133" fillId="9" borderId="141" xfId="0" applyNumberFormat="1" applyFont="1" applyFill="1" applyBorder="1" applyAlignment="1" applyProtection="1">
      <alignment vertical="center" shrinkToFit="1"/>
    </xf>
    <xf numFmtId="182" fontId="135" fillId="9" borderId="90" xfId="0" applyNumberFormat="1" applyFont="1" applyFill="1" applyBorder="1" applyAlignment="1" applyProtection="1">
      <alignment vertical="center" shrinkToFit="1"/>
    </xf>
    <xf numFmtId="182" fontId="136" fillId="9" borderId="140" xfId="0" applyNumberFormat="1" applyFont="1" applyFill="1" applyBorder="1" applyAlignment="1" applyProtection="1">
      <alignment vertical="center" shrinkToFit="1"/>
    </xf>
    <xf numFmtId="182" fontId="0" fillId="9" borderId="101" xfId="0" applyNumberFormat="1" applyFill="1" applyBorder="1" applyAlignment="1" applyProtection="1">
      <alignment vertical="center" shrinkToFit="1"/>
    </xf>
    <xf numFmtId="182" fontId="0" fillId="9" borderId="99" xfId="0" applyNumberFormat="1" applyFill="1" applyBorder="1" applyAlignment="1" applyProtection="1">
      <alignment vertical="center" shrinkToFit="1"/>
    </xf>
    <xf numFmtId="182" fontId="0" fillId="9" borderId="102" xfId="0" applyNumberFormat="1" applyFill="1" applyBorder="1" applyAlignment="1" applyProtection="1">
      <alignment vertical="center" shrinkToFit="1"/>
    </xf>
    <xf numFmtId="182" fontId="0" fillId="9" borderId="142" xfId="0" applyNumberFormat="1" applyFill="1" applyBorder="1" applyAlignment="1" applyProtection="1">
      <alignment vertical="center" shrinkToFit="1"/>
    </xf>
    <xf numFmtId="182" fontId="0" fillId="9" borderId="100" xfId="0" applyNumberFormat="1" applyFill="1" applyBorder="1" applyAlignment="1" applyProtection="1">
      <alignment vertical="center" shrinkToFit="1"/>
    </xf>
    <xf numFmtId="182" fontId="133" fillId="9" borderId="74" xfId="0" applyNumberFormat="1" applyFont="1" applyFill="1" applyBorder="1" applyAlignment="1" applyProtection="1">
      <alignment vertical="center" shrinkToFit="1"/>
    </xf>
    <xf numFmtId="182" fontId="0" fillId="18" borderId="99" xfId="0" applyNumberFormat="1" applyFill="1" applyBorder="1" applyAlignment="1" applyProtection="1">
      <alignment vertical="center" shrinkToFit="1"/>
    </xf>
    <xf numFmtId="182" fontId="133" fillId="9" borderId="96" xfId="0" applyNumberFormat="1" applyFont="1" applyFill="1" applyBorder="1" applyAlignment="1" applyProtection="1">
      <alignment vertical="center" shrinkToFit="1"/>
    </xf>
    <xf numFmtId="0" fontId="7" fillId="0" borderId="0" xfId="0" applyFont="1" applyProtection="1">
      <alignment vertical="center"/>
    </xf>
    <xf numFmtId="177" fontId="58" fillId="0" borderId="70" xfId="0" applyNumberFormat="1" applyFont="1" applyFill="1" applyBorder="1" applyProtection="1">
      <alignment vertical="center"/>
      <protection locked="0"/>
    </xf>
    <xf numFmtId="176" fontId="58" fillId="0" borderId="27" xfId="0" applyNumberFormat="1" applyFont="1" applyFill="1" applyBorder="1" applyProtection="1">
      <alignment vertical="center"/>
      <protection locked="0"/>
    </xf>
    <xf numFmtId="185" fontId="58" fillId="0" borderId="27" xfId="0" applyNumberFormat="1" applyFont="1" applyFill="1" applyBorder="1" applyProtection="1">
      <alignment vertical="center"/>
      <protection locked="0"/>
    </xf>
    <xf numFmtId="179" fontId="58" fillId="0" borderId="0" xfId="0" applyNumberFormat="1" applyFont="1" applyFill="1" applyBorder="1" applyProtection="1">
      <alignment vertical="center"/>
      <protection locked="0"/>
    </xf>
    <xf numFmtId="0" fontId="0" fillId="14" borderId="52" xfId="0" applyFill="1" applyBorder="1" applyProtection="1">
      <alignment vertical="center"/>
      <protection hidden="1"/>
    </xf>
    <xf numFmtId="0" fontId="0" fillId="14" borderId="0" xfId="0" applyFill="1" applyBorder="1" applyProtection="1">
      <alignment vertical="center"/>
      <protection hidden="1"/>
    </xf>
    <xf numFmtId="0" fontId="0" fillId="14" borderId="16" xfId="0" applyFill="1" applyBorder="1" applyProtection="1">
      <alignment vertical="center"/>
      <protection hidden="1"/>
    </xf>
    <xf numFmtId="0" fontId="36" fillId="14" borderId="52" xfId="0" applyFont="1" applyFill="1" applyBorder="1" applyProtection="1">
      <alignment vertical="center"/>
      <protection hidden="1"/>
    </xf>
    <xf numFmtId="0" fontId="64" fillId="14" borderId="0" xfId="0" applyFont="1" applyFill="1" applyBorder="1" applyProtection="1">
      <alignment vertical="center"/>
      <protection hidden="1"/>
    </xf>
    <xf numFmtId="0" fontId="0" fillId="14" borderId="29" xfId="0" applyFill="1" applyBorder="1" applyProtection="1">
      <alignment vertical="center"/>
      <protection hidden="1"/>
    </xf>
    <xf numFmtId="0" fontId="0" fillId="14" borderId="30" xfId="0" applyFill="1" applyBorder="1" applyAlignment="1" applyProtection="1">
      <alignment horizontal="right" vertical="center"/>
      <protection hidden="1"/>
    </xf>
    <xf numFmtId="0" fontId="0" fillId="14" borderId="27" xfId="0" applyFill="1" applyBorder="1" applyProtection="1">
      <alignment vertical="center"/>
      <protection hidden="1"/>
    </xf>
    <xf numFmtId="0" fontId="0" fillId="14" borderId="53" xfId="0" applyFill="1" applyBorder="1" applyProtection="1">
      <alignment vertical="center"/>
      <protection hidden="1"/>
    </xf>
    <xf numFmtId="0" fontId="0" fillId="14" borderId="0" xfId="0" applyFill="1" applyProtection="1">
      <alignment vertical="center"/>
      <protection hidden="1"/>
    </xf>
    <xf numFmtId="0" fontId="0" fillId="14" borderId="0" xfId="0" applyFill="1" applyBorder="1" applyAlignment="1" applyProtection="1">
      <alignment horizontal="center" vertical="center"/>
      <protection hidden="1"/>
    </xf>
    <xf numFmtId="0" fontId="137" fillId="0" borderId="143" xfId="0" applyFont="1" applyBorder="1" applyAlignment="1" applyProtection="1">
      <alignment horizontal="center" vertical="center" wrapText="1"/>
      <protection hidden="1"/>
    </xf>
    <xf numFmtId="0" fontId="137" fillId="0" borderId="2" xfId="0" applyFont="1" applyBorder="1" applyAlignment="1" applyProtection="1">
      <alignment horizontal="center" vertical="center" wrapText="1"/>
      <protection hidden="1"/>
    </xf>
    <xf numFmtId="0" fontId="137" fillId="0" borderId="144" xfId="0" applyFont="1" applyBorder="1" applyAlignment="1" applyProtection="1">
      <alignment horizontal="center" vertical="center" wrapText="1"/>
      <protection hidden="1"/>
    </xf>
    <xf numFmtId="0" fontId="138" fillId="0" borderId="143" xfId="0" applyFont="1" applyBorder="1" applyAlignment="1" applyProtection="1">
      <alignment horizontal="center" vertical="center" wrapText="1"/>
      <protection hidden="1"/>
    </xf>
    <xf numFmtId="0" fontId="138" fillId="0" borderId="2" xfId="0" applyFont="1" applyBorder="1" applyAlignment="1" applyProtection="1">
      <alignment horizontal="center" vertical="center" wrapText="1"/>
      <protection hidden="1"/>
    </xf>
    <xf numFmtId="0" fontId="138" fillId="0" borderId="144" xfId="0" applyFont="1" applyBorder="1" applyAlignment="1" applyProtection="1">
      <alignment horizontal="center" vertical="center" wrapText="1"/>
      <protection hidden="1"/>
    </xf>
    <xf numFmtId="192" fontId="47" fillId="9" borderId="143" xfId="0" applyNumberFormat="1" applyFont="1" applyFill="1" applyBorder="1" applyAlignment="1" applyProtection="1">
      <alignment horizontal="right" vertical="center" shrinkToFit="1"/>
      <protection hidden="1"/>
    </xf>
    <xf numFmtId="192" fontId="47" fillId="9" borderId="2" xfId="0" applyNumberFormat="1" applyFont="1" applyFill="1" applyBorder="1" applyAlignment="1" applyProtection="1">
      <alignment horizontal="right" vertical="center" shrinkToFit="1"/>
      <protection hidden="1"/>
    </xf>
    <xf numFmtId="192" fontId="47" fillId="9" borderId="3" xfId="0" applyNumberFormat="1" applyFont="1" applyFill="1" applyBorder="1" applyAlignment="1" applyProtection="1">
      <alignment horizontal="right" vertical="center" shrinkToFit="1"/>
      <protection hidden="1"/>
    </xf>
    <xf numFmtId="184" fontId="86" fillId="0" borderId="0" xfId="0" applyNumberFormat="1" applyFont="1" applyFill="1" applyBorder="1" applyProtection="1">
      <alignment vertical="center"/>
    </xf>
    <xf numFmtId="0" fontId="58" fillId="14" borderId="1" xfId="0" applyFont="1" applyFill="1" applyBorder="1" applyAlignment="1" applyProtection="1">
      <alignment horizontal="center" vertical="center"/>
    </xf>
    <xf numFmtId="0" fontId="58" fillId="14" borderId="1" xfId="0" applyFont="1" applyFill="1" applyBorder="1" applyProtection="1">
      <alignment vertical="center"/>
    </xf>
    <xf numFmtId="0" fontId="58" fillId="14" borderId="4" xfId="0" applyFont="1" applyFill="1" applyBorder="1" applyProtection="1">
      <alignment vertical="center"/>
    </xf>
    <xf numFmtId="0" fontId="58" fillId="14" borderId="6" xfId="0" applyFont="1" applyFill="1" applyBorder="1" applyAlignment="1" applyProtection="1">
      <alignment horizontal="center" vertical="center"/>
    </xf>
    <xf numFmtId="0" fontId="0" fillId="14" borderId="0" xfId="0" applyFill="1" applyProtection="1">
      <alignment vertical="center"/>
    </xf>
    <xf numFmtId="0" fontId="63" fillId="14" borderId="0" xfId="0" applyFont="1" applyFill="1" applyProtection="1">
      <alignment vertical="center"/>
    </xf>
    <xf numFmtId="0" fontId="47" fillId="14" borderId="145" xfId="0" applyFont="1" applyFill="1" applyBorder="1" applyAlignment="1" applyProtection="1">
      <alignment horizontal="center" vertical="center"/>
    </xf>
    <xf numFmtId="0" fontId="47" fillId="14" borderId="4" xfId="0" applyFont="1" applyFill="1" applyBorder="1" applyAlignment="1" applyProtection="1">
      <alignment horizontal="center" vertical="center"/>
    </xf>
    <xf numFmtId="0" fontId="38" fillId="14" borderId="146" xfId="0" applyFont="1" applyFill="1" applyBorder="1" applyAlignment="1" applyProtection="1">
      <alignment horizontal="center" vertical="center"/>
    </xf>
    <xf numFmtId="0" fontId="139" fillId="0" borderId="0" xfId="0" applyFont="1" applyProtection="1">
      <alignment vertical="center"/>
    </xf>
    <xf numFmtId="0" fontId="64" fillId="14" borderId="52" xfId="0" applyFont="1" applyFill="1" applyBorder="1" applyProtection="1">
      <alignment vertical="center"/>
      <protection hidden="1"/>
    </xf>
    <xf numFmtId="186" fontId="0" fillId="18" borderId="98" xfId="0" applyNumberFormat="1" applyFill="1" applyBorder="1" applyAlignment="1" applyProtection="1">
      <alignment vertical="center" shrinkToFit="1"/>
    </xf>
    <xf numFmtId="186" fontId="0" fillId="18" borderId="99" xfId="0" applyNumberFormat="1" applyFill="1" applyBorder="1" applyAlignment="1" applyProtection="1">
      <alignment vertical="center" shrinkToFit="1"/>
    </xf>
    <xf numFmtId="186" fontId="0" fillId="18" borderId="100" xfId="0" applyNumberFormat="1" applyFill="1" applyBorder="1" applyAlignment="1" applyProtection="1">
      <alignment vertical="center" shrinkToFit="1"/>
    </xf>
    <xf numFmtId="180" fontId="0" fillId="0" borderId="74" xfId="0" applyNumberFormat="1" applyBorder="1" applyAlignment="1" applyProtection="1">
      <alignment vertical="center" shrinkToFit="1"/>
    </xf>
    <xf numFmtId="184" fontId="0" fillId="9" borderId="78" xfId="0" applyNumberFormat="1" applyFill="1" applyBorder="1" applyAlignment="1" applyProtection="1">
      <alignment vertical="center" shrinkToFit="1"/>
    </xf>
    <xf numFmtId="184" fontId="140" fillId="0" borderId="107" xfId="0" applyNumberFormat="1" applyFont="1" applyFill="1" applyBorder="1" applyAlignment="1" applyProtection="1">
      <alignment horizontal="left" vertical="center" shrinkToFit="1"/>
    </xf>
    <xf numFmtId="184" fontId="0" fillId="0" borderId="107" xfId="0" applyNumberFormat="1" applyFill="1" applyBorder="1" applyAlignment="1" applyProtection="1">
      <alignment vertical="center" shrinkToFit="1"/>
    </xf>
    <xf numFmtId="182" fontId="0" fillId="0" borderId="107" xfId="0" applyNumberFormat="1" applyFill="1" applyBorder="1" applyAlignment="1" applyProtection="1">
      <alignment vertical="center" shrinkToFit="1"/>
    </xf>
    <xf numFmtId="186" fontId="0" fillId="0" borderId="107" xfId="0" applyNumberFormat="1" applyFill="1" applyBorder="1" applyAlignment="1" applyProtection="1">
      <alignment vertical="center" shrinkToFit="1"/>
    </xf>
    <xf numFmtId="180" fontId="0" fillId="0" borderId="107" xfId="0" applyNumberFormat="1" applyFill="1" applyBorder="1" applyAlignment="1" applyProtection="1">
      <alignment vertical="center" shrinkToFit="1"/>
    </xf>
    <xf numFmtId="182" fontId="37" fillId="0" borderId="107" xfId="0" applyNumberFormat="1" applyFont="1" applyFill="1" applyBorder="1" applyAlignment="1" applyProtection="1">
      <alignment vertical="center" shrinkToFit="1"/>
    </xf>
    <xf numFmtId="182" fontId="141" fillId="0" borderId="107" xfId="0" applyNumberFormat="1" applyFont="1" applyFill="1" applyBorder="1" applyAlignment="1" applyProtection="1">
      <alignment vertical="center" shrinkToFit="1"/>
    </xf>
    <xf numFmtId="0" fontId="0" fillId="2" borderId="147" xfId="0" applyFill="1" applyBorder="1" applyAlignment="1" applyProtection="1">
      <alignment horizontal="center" vertical="center" shrinkToFit="1"/>
      <protection locked="0"/>
    </xf>
    <xf numFmtId="0" fontId="0" fillId="9" borderId="148" xfId="0" applyFont="1" applyFill="1" applyBorder="1" applyAlignment="1" applyProtection="1">
      <alignment vertical="center" shrinkToFit="1"/>
      <protection hidden="1"/>
    </xf>
    <xf numFmtId="0" fontId="0" fillId="9" borderId="149" xfId="0" applyFont="1" applyFill="1" applyBorder="1" applyAlignment="1" applyProtection="1">
      <alignment vertical="center" shrinkToFit="1"/>
      <protection hidden="1"/>
    </xf>
    <xf numFmtId="0" fontId="0" fillId="2" borderId="150" xfId="0" applyFill="1" applyBorder="1" applyAlignment="1" applyProtection="1">
      <alignment horizontal="center" vertical="center" shrinkToFit="1"/>
      <protection locked="0"/>
    </xf>
    <xf numFmtId="0" fontId="0" fillId="9" borderId="151" xfId="0" applyFont="1" applyFill="1" applyBorder="1" applyAlignment="1" applyProtection="1">
      <alignment vertical="center" shrinkToFit="1"/>
      <protection hidden="1"/>
    </xf>
    <xf numFmtId="0" fontId="0" fillId="9" borderId="152" xfId="0" applyFont="1" applyFill="1" applyBorder="1" applyAlignment="1" applyProtection="1">
      <alignment vertical="center" shrinkToFit="1"/>
      <protection hidden="1"/>
    </xf>
    <xf numFmtId="0" fontId="0" fillId="2" borderId="153" xfId="0" applyFont="1" applyFill="1" applyBorder="1" applyAlignment="1" applyProtection="1">
      <alignment horizontal="center" vertical="center" shrinkToFit="1"/>
      <protection locked="0"/>
    </xf>
    <xf numFmtId="0" fontId="0" fillId="9" borderId="154" xfId="0" applyFont="1" applyFill="1" applyBorder="1" applyAlignment="1" applyProtection="1">
      <alignment vertical="center" shrinkToFit="1"/>
      <protection hidden="1"/>
    </xf>
    <xf numFmtId="0" fontId="0" fillId="9" borderId="155" xfId="0" applyFont="1" applyFill="1" applyBorder="1" applyAlignment="1" applyProtection="1">
      <alignment vertical="center" shrinkToFit="1"/>
      <protection hidden="1"/>
    </xf>
    <xf numFmtId="188" fontId="47" fillId="3" borderId="37" xfId="2" applyNumberFormat="1" applyFont="1" applyFill="1" applyBorder="1" applyAlignment="1" applyProtection="1">
      <alignment vertical="center" shrinkToFit="1"/>
    </xf>
    <xf numFmtId="41" fontId="47" fillId="3" borderId="92" xfId="2" applyFont="1" applyFill="1" applyBorder="1" applyAlignment="1" applyProtection="1">
      <alignment vertical="center" shrinkToFit="1"/>
    </xf>
    <xf numFmtId="41" fontId="47" fillId="3" borderId="36" xfId="2" applyFont="1" applyFill="1" applyBorder="1" applyAlignment="1" applyProtection="1">
      <alignment vertical="center" shrinkToFit="1"/>
    </xf>
    <xf numFmtId="41" fontId="47" fillId="3" borderId="37" xfId="2" applyFont="1" applyFill="1" applyBorder="1" applyAlignment="1" applyProtection="1">
      <alignment vertical="center" shrinkToFit="1"/>
    </xf>
    <xf numFmtId="0" fontId="47" fillId="3" borderId="156" xfId="0" applyFont="1" applyFill="1" applyBorder="1" applyAlignment="1" applyProtection="1">
      <alignment vertical="center" shrinkToFit="1"/>
    </xf>
    <xf numFmtId="0" fontId="47" fillId="2" borderId="147" xfId="0" applyFont="1" applyFill="1" applyBorder="1" applyAlignment="1" applyProtection="1">
      <alignment horizontal="center" vertical="center" shrinkToFit="1"/>
      <protection locked="0"/>
    </xf>
    <xf numFmtId="0" fontId="47" fillId="9" borderId="157" xfId="0" applyFont="1" applyFill="1" applyBorder="1" applyAlignment="1" applyProtection="1">
      <alignment vertical="center" shrinkToFit="1"/>
      <protection hidden="1"/>
    </xf>
    <xf numFmtId="0" fontId="47" fillId="2" borderId="150" xfId="0" applyFont="1" applyFill="1" applyBorder="1" applyAlignment="1" applyProtection="1">
      <alignment horizontal="center" vertical="center" shrinkToFit="1"/>
      <protection locked="0"/>
    </xf>
    <xf numFmtId="0" fontId="47" fillId="9" borderId="158" xfId="0" applyFont="1" applyFill="1" applyBorder="1" applyAlignment="1" applyProtection="1">
      <alignment vertical="center" shrinkToFit="1"/>
      <protection hidden="1"/>
    </xf>
    <xf numFmtId="0" fontId="47" fillId="2" borderId="153" xfId="0" applyFont="1" applyFill="1" applyBorder="1" applyAlignment="1" applyProtection="1">
      <alignment horizontal="center" vertical="center" shrinkToFit="1"/>
      <protection locked="0"/>
    </xf>
    <xf numFmtId="0" fontId="47" fillId="9" borderId="159" xfId="0" applyFont="1" applyFill="1" applyBorder="1" applyAlignment="1" applyProtection="1">
      <alignment vertical="center" shrinkToFit="1"/>
    </xf>
    <xf numFmtId="183" fontId="34" fillId="0" borderId="160" xfId="1" applyNumberFormat="1" applyFont="1" applyFill="1" applyBorder="1" applyAlignment="1" applyProtection="1">
      <alignment vertical="center" shrinkToFit="1"/>
    </xf>
    <xf numFmtId="0" fontId="113" fillId="9" borderId="161" xfId="0" applyFont="1" applyFill="1" applyBorder="1" applyAlignment="1" applyProtection="1">
      <alignment vertical="center" shrinkToFit="1"/>
      <protection hidden="1"/>
    </xf>
    <xf numFmtId="0" fontId="113" fillId="9" borderId="143" xfId="0" applyFont="1" applyFill="1" applyBorder="1" applyAlignment="1" applyProtection="1">
      <alignment vertical="center" shrinkToFit="1"/>
      <protection hidden="1"/>
    </xf>
    <xf numFmtId="177" fontId="113" fillId="9" borderId="162" xfId="0" applyNumberFormat="1" applyFont="1" applyFill="1" applyBorder="1" applyAlignment="1" applyProtection="1">
      <alignment vertical="center" shrinkToFit="1"/>
      <protection hidden="1"/>
    </xf>
    <xf numFmtId="0" fontId="0" fillId="14" borderId="107" xfId="0" applyFont="1" applyFill="1" applyBorder="1" applyAlignment="1" applyProtection="1">
      <alignment vertical="center" shrinkToFit="1"/>
    </xf>
    <xf numFmtId="0" fontId="68" fillId="14" borderId="119" xfId="0" applyFont="1" applyFill="1" applyBorder="1" applyAlignment="1" applyProtection="1">
      <alignment vertical="center" shrinkToFit="1"/>
    </xf>
    <xf numFmtId="0" fontId="68" fillId="14" borderId="107" xfId="0" applyFont="1" applyFill="1" applyBorder="1" applyAlignment="1" applyProtection="1">
      <alignment vertical="center" shrinkToFit="1"/>
    </xf>
    <xf numFmtId="0" fontId="68" fillId="14" borderId="72" xfId="0" applyFont="1" applyFill="1" applyBorder="1" applyAlignment="1" applyProtection="1">
      <alignment vertical="center" shrinkToFit="1"/>
    </xf>
    <xf numFmtId="183" fontId="34" fillId="0" borderId="164" xfId="1" applyNumberFormat="1" applyFont="1" applyFill="1" applyBorder="1" applyAlignment="1" applyProtection="1">
      <alignment vertical="center" shrinkToFit="1"/>
    </xf>
    <xf numFmtId="0" fontId="113" fillId="9" borderId="165" xfId="0" applyFont="1" applyFill="1" applyBorder="1" applyAlignment="1" applyProtection="1">
      <alignment vertical="center" shrinkToFit="1"/>
      <protection hidden="1"/>
    </xf>
    <xf numFmtId="0" fontId="113" fillId="9" borderId="2" xfId="0" applyFont="1" applyFill="1" applyBorder="1" applyAlignment="1" applyProtection="1">
      <alignment vertical="center" shrinkToFit="1"/>
      <protection hidden="1"/>
    </xf>
    <xf numFmtId="177" fontId="113" fillId="9" borderId="166" xfId="0" applyNumberFormat="1" applyFont="1" applyFill="1" applyBorder="1" applyAlignment="1" applyProtection="1">
      <alignment vertical="center" shrinkToFit="1"/>
      <protection hidden="1"/>
    </xf>
    <xf numFmtId="0" fontId="0" fillId="14" borderId="0" xfId="0" applyFont="1" applyFill="1" applyBorder="1" applyAlignment="1" applyProtection="1">
      <alignment vertical="center" shrinkToFit="1"/>
    </xf>
    <xf numFmtId="0" fontId="68" fillId="14" borderId="168" xfId="0" applyFont="1" applyFill="1" applyBorder="1" applyAlignment="1" applyProtection="1">
      <alignment vertical="center" shrinkToFit="1"/>
    </xf>
    <xf numFmtId="0" fontId="68" fillId="14" borderId="0" xfId="0" applyFont="1" applyFill="1" applyBorder="1" applyAlignment="1" applyProtection="1">
      <alignment vertical="center" shrinkToFit="1"/>
    </xf>
    <xf numFmtId="183" fontId="34" fillId="0" borderId="169" xfId="1" applyNumberFormat="1" applyFont="1" applyFill="1" applyBorder="1" applyAlignment="1" applyProtection="1">
      <alignment vertical="center" shrinkToFit="1"/>
    </xf>
    <xf numFmtId="0" fontId="113" fillId="9" borderId="170" xfId="0" applyFont="1" applyFill="1" applyBorder="1" applyAlignment="1" applyProtection="1">
      <alignment vertical="center" shrinkToFit="1"/>
      <protection hidden="1"/>
    </xf>
    <xf numFmtId="0" fontId="113" fillId="9" borderId="144" xfId="0" applyFont="1" applyFill="1" applyBorder="1" applyAlignment="1" applyProtection="1">
      <alignment vertical="center" shrinkToFit="1"/>
      <protection hidden="1"/>
    </xf>
    <xf numFmtId="177" fontId="113" fillId="9" borderId="171" xfId="0" applyNumberFormat="1" applyFont="1" applyFill="1" applyBorder="1" applyAlignment="1" applyProtection="1">
      <alignment vertical="center" shrinkToFit="1"/>
      <protection hidden="1"/>
    </xf>
    <xf numFmtId="0" fontId="111" fillId="9" borderId="5" xfId="0" applyFont="1" applyFill="1" applyBorder="1" applyAlignment="1" applyProtection="1">
      <alignment vertical="center" shrinkToFit="1"/>
      <protection hidden="1"/>
    </xf>
    <xf numFmtId="188" fontId="34" fillId="14" borderId="37" xfId="2" applyNumberFormat="1" applyFont="1" applyFill="1" applyBorder="1" applyAlignment="1" applyProtection="1">
      <alignment vertical="center" shrinkToFit="1"/>
    </xf>
    <xf numFmtId="41" fontId="34" fillId="14" borderId="92" xfId="2" applyFont="1" applyFill="1" applyBorder="1" applyAlignment="1" applyProtection="1">
      <alignment vertical="center" shrinkToFit="1"/>
    </xf>
    <xf numFmtId="0" fontId="0" fillId="14" borderId="92" xfId="0" applyFont="1" applyFill="1" applyBorder="1" applyAlignment="1" applyProtection="1">
      <alignment vertical="center" shrinkToFit="1"/>
    </xf>
    <xf numFmtId="176" fontId="0" fillId="9" borderId="148" xfId="0" applyNumberFormat="1" applyFont="1" applyFill="1" applyBorder="1" applyAlignment="1" applyProtection="1">
      <alignment vertical="center" shrinkToFit="1"/>
      <protection hidden="1"/>
    </xf>
    <xf numFmtId="0" fontId="0" fillId="9" borderId="173" xfId="0" applyFont="1" applyFill="1" applyBorder="1" applyAlignment="1" applyProtection="1">
      <alignment vertical="center" shrinkToFit="1"/>
      <protection hidden="1"/>
    </xf>
    <xf numFmtId="176" fontId="0" fillId="9" borderId="151" xfId="0" applyNumberFormat="1" applyFont="1" applyFill="1" applyBorder="1" applyAlignment="1" applyProtection="1">
      <alignment vertical="center" shrinkToFit="1"/>
      <protection hidden="1"/>
    </xf>
    <xf numFmtId="0" fontId="0" fillId="9" borderId="174" xfId="0" applyFont="1" applyFill="1" applyBorder="1" applyAlignment="1" applyProtection="1">
      <alignment vertical="center" shrinkToFit="1"/>
      <protection hidden="1"/>
    </xf>
    <xf numFmtId="0" fontId="0" fillId="2" borderId="151" xfId="0" applyFont="1" applyFill="1" applyBorder="1" applyAlignment="1" applyProtection="1">
      <alignment vertical="center" shrinkToFit="1"/>
      <protection locked="0"/>
    </xf>
    <xf numFmtId="0" fontId="0" fillId="2" borderId="174" xfId="0" applyFont="1" applyFill="1" applyBorder="1" applyAlignment="1" applyProtection="1">
      <alignment vertical="center" shrinkToFit="1"/>
      <protection locked="0"/>
    </xf>
    <xf numFmtId="0" fontId="0" fillId="2" borderId="175" xfId="0" applyFont="1" applyFill="1" applyBorder="1" applyAlignment="1" applyProtection="1">
      <alignment vertical="center" shrinkToFit="1"/>
      <protection locked="0"/>
    </xf>
    <xf numFmtId="0" fontId="0" fillId="2" borderId="176" xfId="0" applyFont="1" applyFill="1" applyBorder="1" applyAlignment="1" applyProtection="1">
      <alignment vertical="center" shrinkToFit="1"/>
      <protection locked="0"/>
    </xf>
    <xf numFmtId="176" fontId="0" fillId="9" borderId="173" xfId="0" applyNumberFormat="1" applyFont="1" applyFill="1" applyBorder="1" applyAlignment="1" applyProtection="1">
      <alignment vertical="center" shrinkToFit="1"/>
      <protection hidden="1"/>
    </xf>
    <xf numFmtId="176" fontId="0" fillId="9" borderId="174" xfId="0" applyNumberFormat="1" applyFont="1" applyFill="1" applyBorder="1" applyAlignment="1" applyProtection="1">
      <alignment vertical="center" shrinkToFit="1"/>
      <protection hidden="1"/>
    </xf>
    <xf numFmtId="0" fontId="47" fillId="14" borderId="37" xfId="0" applyFont="1" applyFill="1" applyBorder="1" applyAlignment="1" applyProtection="1">
      <alignment horizontal="center" vertical="center" shrinkToFit="1"/>
    </xf>
    <xf numFmtId="0" fontId="47" fillId="14" borderId="92" xfId="0" applyFont="1" applyFill="1" applyBorder="1" applyAlignment="1" applyProtection="1">
      <alignment horizontal="center" vertical="center" shrinkToFit="1"/>
    </xf>
    <xf numFmtId="0" fontId="21" fillId="14" borderId="92" xfId="0" applyFont="1" applyFill="1" applyBorder="1" applyAlignment="1" applyProtection="1">
      <alignment horizontal="center" vertical="center" shrinkToFit="1"/>
    </xf>
    <xf numFmtId="0" fontId="47" fillId="14" borderId="116" xfId="0" applyFont="1" applyFill="1" applyBorder="1" applyAlignment="1" applyProtection="1">
      <alignment horizontal="center" vertical="center" shrinkToFit="1"/>
    </xf>
    <xf numFmtId="0" fontId="75" fillId="13" borderId="177" xfId="0" applyFont="1" applyFill="1" applyBorder="1" applyAlignment="1" applyProtection="1">
      <alignment horizontal="left" vertical="center" shrinkToFit="1"/>
    </xf>
    <xf numFmtId="0" fontId="75" fillId="13" borderId="88" xfId="0" applyFont="1" applyFill="1" applyBorder="1" applyAlignment="1" applyProtection="1">
      <alignment horizontal="left" vertical="center" shrinkToFit="1"/>
    </xf>
    <xf numFmtId="0" fontId="75" fillId="13" borderId="82" xfId="0" applyFont="1" applyFill="1" applyBorder="1" applyAlignment="1" applyProtection="1">
      <alignment horizontal="left" vertical="center" shrinkToFit="1"/>
    </xf>
    <xf numFmtId="0" fontId="21" fillId="0" borderId="44" xfId="0" applyFont="1" applyFill="1" applyBorder="1" applyAlignment="1" applyProtection="1">
      <alignment horizontal="center" vertical="center" shrinkToFit="1"/>
    </xf>
    <xf numFmtId="0" fontId="47" fillId="0" borderId="27" xfId="0" applyFont="1" applyFill="1" applyBorder="1" applyAlignment="1" applyProtection="1">
      <alignment horizontal="center" vertical="center" shrinkToFit="1"/>
    </xf>
    <xf numFmtId="0" fontId="47" fillId="0" borderId="178" xfId="0" applyFont="1" applyFill="1" applyBorder="1" applyAlignment="1" applyProtection="1">
      <alignment horizontal="center" vertical="center" shrinkToFit="1"/>
    </xf>
    <xf numFmtId="0" fontId="47" fillId="2" borderId="179" xfId="0" applyFont="1" applyFill="1" applyBorder="1" applyAlignment="1" applyProtection="1">
      <alignment vertical="center" shrinkToFit="1"/>
      <protection locked="0"/>
    </xf>
    <xf numFmtId="0" fontId="47" fillId="9" borderId="143" xfId="0" applyFont="1" applyFill="1" applyBorder="1" applyAlignment="1" applyProtection="1">
      <alignment vertical="center" shrinkToFit="1"/>
      <protection hidden="1"/>
    </xf>
    <xf numFmtId="0" fontId="47" fillId="9" borderId="143" xfId="0" applyFont="1" applyFill="1" applyBorder="1" applyAlignment="1" applyProtection="1">
      <alignment horizontal="right" vertical="center" shrinkToFit="1"/>
      <protection hidden="1"/>
    </xf>
    <xf numFmtId="0" fontId="47" fillId="9" borderId="180" xfId="0" applyFont="1" applyFill="1" applyBorder="1" applyAlignment="1" applyProtection="1">
      <alignment vertical="center" shrinkToFit="1"/>
      <protection hidden="1"/>
    </xf>
    <xf numFmtId="0" fontId="47" fillId="2" borderId="150" xfId="0" applyFont="1" applyFill="1" applyBorder="1" applyAlignment="1" applyProtection="1">
      <alignment vertical="center" shrinkToFit="1"/>
      <protection locked="0"/>
    </xf>
    <xf numFmtId="0" fontId="47" fillId="9" borderId="2" xfId="0" applyFont="1" applyFill="1" applyBorder="1" applyAlignment="1" applyProtection="1">
      <alignment horizontal="center" vertical="center" shrinkToFit="1"/>
    </xf>
    <xf numFmtId="0" fontId="47" fillId="9" borderId="2" xfId="0" applyFont="1" applyFill="1" applyBorder="1" applyAlignment="1" applyProtection="1">
      <alignment vertical="center" shrinkToFit="1"/>
      <protection hidden="1"/>
    </xf>
    <xf numFmtId="0" fontId="47" fillId="9" borderId="2" xfId="0" applyFont="1" applyFill="1" applyBorder="1" applyAlignment="1" applyProtection="1">
      <alignment horizontal="right" vertical="center" shrinkToFit="1"/>
      <protection hidden="1"/>
    </xf>
    <xf numFmtId="0" fontId="47" fillId="9" borderId="174" xfId="0" applyFont="1" applyFill="1" applyBorder="1" applyAlignment="1" applyProtection="1">
      <alignment vertical="center" shrinkToFit="1"/>
      <protection hidden="1"/>
    </xf>
    <xf numFmtId="0" fontId="47" fillId="2" borderId="181" xfId="0" applyFont="1" applyFill="1" applyBorder="1" applyAlignment="1" applyProtection="1">
      <alignment vertical="center" shrinkToFit="1"/>
      <protection locked="0"/>
    </xf>
    <xf numFmtId="0" fontId="47" fillId="9" borderId="3" xfId="0" applyFont="1" applyFill="1" applyBorder="1" applyAlignment="1" applyProtection="1">
      <alignment horizontal="center" vertical="center" shrinkToFit="1"/>
    </xf>
    <xf numFmtId="0" fontId="47" fillId="9" borderId="3" xfId="0" applyFont="1" applyFill="1" applyBorder="1" applyAlignment="1" applyProtection="1">
      <alignment vertical="center" shrinkToFit="1"/>
      <protection hidden="1"/>
    </xf>
    <xf numFmtId="0" fontId="47" fillId="9" borderId="3" xfId="0" applyFont="1" applyFill="1" applyBorder="1" applyAlignment="1" applyProtection="1">
      <alignment horizontal="right" vertical="center" shrinkToFit="1"/>
      <protection hidden="1"/>
    </xf>
    <xf numFmtId="0" fontId="47" fillId="9" borderId="176" xfId="0" applyFont="1" applyFill="1" applyBorder="1" applyAlignment="1" applyProtection="1">
      <alignment vertical="center" shrinkToFit="1"/>
      <protection hidden="1"/>
    </xf>
    <xf numFmtId="0" fontId="47" fillId="2" borderId="182" xfId="0" applyFont="1" applyFill="1" applyBorder="1" applyAlignment="1" applyProtection="1">
      <alignment vertical="center" shrinkToFit="1"/>
      <protection locked="0"/>
    </xf>
    <xf numFmtId="0" fontId="47" fillId="9" borderId="64" xfId="0" applyFont="1" applyFill="1" applyBorder="1" applyAlignment="1" applyProtection="1">
      <alignment horizontal="center" vertical="center" shrinkToFit="1"/>
    </xf>
    <xf numFmtId="0" fontId="47" fillId="9" borderId="64" xfId="0" applyFont="1" applyFill="1" applyBorder="1" applyAlignment="1" applyProtection="1">
      <alignment vertical="center" shrinkToFit="1"/>
    </xf>
    <xf numFmtId="0" fontId="47" fillId="14" borderId="168" xfId="0" applyFont="1" applyFill="1" applyBorder="1" applyAlignment="1" applyProtection="1">
      <alignment horizontal="right" vertical="center" shrinkToFit="1"/>
    </xf>
    <xf numFmtId="0" fontId="47" fillId="14" borderId="72" xfId="0" applyFont="1" applyFill="1" applyBorder="1" applyAlignment="1" applyProtection="1">
      <alignment vertical="center" shrinkToFit="1"/>
    </xf>
    <xf numFmtId="0" fontId="47" fillId="9" borderId="2" xfId="0" applyFont="1" applyFill="1" applyBorder="1" applyAlignment="1" applyProtection="1">
      <alignment vertical="center" shrinkToFit="1"/>
    </xf>
    <xf numFmtId="0" fontId="47" fillId="9" borderId="3" xfId="0" applyFont="1" applyFill="1" applyBorder="1" applyAlignment="1" applyProtection="1">
      <alignment vertical="center" shrinkToFit="1"/>
    </xf>
    <xf numFmtId="0" fontId="47" fillId="14" borderId="57" xfId="0" applyFont="1" applyFill="1" applyBorder="1" applyAlignment="1" applyProtection="1">
      <alignment horizontal="right" vertical="center" shrinkToFit="1"/>
    </xf>
    <xf numFmtId="0" fontId="47" fillId="14" borderId="59" xfId="0" applyFont="1" applyFill="1" applyBorder="1" applyAlignment="1" applyProtection="1">
      <alignment vertical="center" shrinkToFit="1"/>
    </xf>
    <xf numFmtId="0" fontId="47" fillId="3" borderId="6" xfId="0" applyFont="1" applyFill="1" applyBorder="1" applyAlignment="1" applyProtection="1">
      <alignment horizontal="center" vertical="center" shrinkToFit="1"/>
    </xf>
    <xf numFmtId="0" fontId="47" fillId="3" borderId="60" xfId="0" applyFont="1" applyFill="1" applyBorder="1" applyAlignment="1" applyProtection="1">
      <alignment horizontal="center" vertical="center" shrinkToFit="1"/>
    </xf>
    <xf numFmtId="0" fontId="21" fillId="3" borderId="60" xfId="0" applyFont="1" applyFill="1" applyBorder="1" applyAlignment="1" applyProtection="1">
      <alignment horizontal="center" vertical="center" shrinkToFit="1"/>
    </xf>
    <xf numFmtId="0" fontId="47" fillId="3" borderId="5" xfId="0" applyFont="1" applyFill="1" applyBorder="1" applyAlignment="1" applyProtection="1">
      <alignment horizontal="center" vertical="center" shrinkToFit="1"/>
    </xf>
    <xf numFmtId="0" fontId="21" fillId="2" borderId="1" xfId="0" applyFont="1" applyFill="1" applyBorder="1" applyAlignment="1" applyProtection="1">
      <alignment horizontal="center" vertical="center" shrinkToFit="1"/>
      <protection locked="0"/>
    </xf>
    <xf numFmtId="0" fontId="21" fillId="20" borderId="1" xfId="0" applyFont="1" applyFill="1" applyBorder="1" applyAlignment="1" applyProtection="1">
      <alignment horizontal="center" vertical="center" shrinkToFit="1"/>
      <protection locked="0"/>
    </xf>
    <xf numFmtId="0" fontId="47" fillId="20" borderId="1" xfId="0" applyFont="1" applyFill="1" applyBorder="1" applyAlignment="1" applyProtection="1">
      <alignment horizontal="center" vertical="center" shrinkToFit="1"/>
      <protection locked="0"/>
    </xf>
    <xf numFmtId="0" fontId="47" fillId="9" borderId="1" xfId="0" applyFont="1" applyFill="1" applyBorder="1" applyAlignment="1" applyProtection="1">
      <alignment vertical="center" shrinkToFit="1"/>
      <protection hidden="1"/>
    </xf>
    <xf numFmtId="184" fontId="47" fillId="9" borderId="1" xfId="0" applyNumberFormat="1" applyFont="1" applyFill="1" applyBorder="1" applyAlignment="1" applyProtection="1">
      <alignment horizontal="right" vertical="center" shrinkToFit="1"/>
      <protection hidden="1"/>
    </xf>
    <xf numFmtId="182" fontId="47" fillId="9" borderId="1" xfId="0" applyNumberFormat="1" applyFont="1" applyFill="1" applyBorder="1" applyAlignment="1" applyProtection="1">
      <alignment horizontal="right" vertical="center" shrinkToFit="1"/>
      <protection hidden="1"/>
    </xf>
    <xf numFmtId="0" fontId="47" fillId="2" borderId="1" xfId="0" applyFont="1" applyFill="1" applyBorder="1" applyAlignment="1" applyProtection="1">
      <alignment horizontal="center" vertical="center" shrinkToFit="1"/>
      <protection locked="0"/>
    </xf>
    <xf numFmtId="0" fontId="0" fillId="14" borderId="6" xfId="0" applyFont="1" applyFill="1" applyBorder="1" applyAlignment="1" applyProtection="1">
      <alignment horizontal="center" vertical="center" shrinkToFit="1"/>
    </xf>
    <xf numFmtId="0" fontId="0" fillId="14" borderId="6" xfId="0" applyFill="1" applyBorder="1" applyAlignment="1" applyProtection="1">
      <alignment horizontal="center" vertical="center" shrinkToFit="1"/>
    </xf>
    <xf numFmtId="0" fontId="0" fillId="14" borderId="37" xfId="0" applyFill="1" applyBorder="1" applyAlignment="1" applyProtection="1">
      <alignment horizontal="center" vertical="center" shrinkToFit="1"/>
    </xf>
    <xf numFmtId="0" fontId="0" fillId="14" borderId="37" xfId="0" applyFont="1" applyFill="1" applyBorder="1" applyAlignment="1" applyProtection="1">
      <alignment horizontal="center" vertical="center" shrinkToFit="1"/>
    </xf>
    <xf numFmtId="0" fontId="0" fillId="14" borderId="183" xfId="0" applyFill="1" applyBorder="1" applyAlignment="1" applyProtection="1">
      <alignment horizontal="center" vertical="center"/>
      <protection hidden="1"/>
    </xf>
    <xf numFmtId="0" fontId="0" fillId="14" borderId="183" xfId="0" applyFill="1" applyBorder="1" applyProtection="1">
      <alignment vertical="center"/>
      <protection hidden="1"/>
    </xf>
    <xf numFmtId="0" fontId="0" fillId="14" borderId="184" xfId="0" applyFill="1" applyBorder="1" applyProtection="1">
      <alignment vertical="center"/>
      <protection hidden="1"/>
    </xf>
    <xf numFmtId="0" fontId="0" fillId="14" borderId="185" xfId="0" applyFill="1" applyBorder="1" applyProtection="1">
      <alignment vertical="center"/>
      <protection hidden="1"/>
    </xf>
    <xf numFmtId="0" fontId="128" fillId="14" borderId="186" xfId="0" applyFont="1" applyFill="1" applyBorder="1" applyAlignment="1" applyProtection="1">
      <alignment horizontal="center" vertical="center"/>
      <protection hidden="1"/>
    </xf>
    <xf numFmtId="0" fontId="0" fillId="14" borderId="186" xfId="0" applyFill="1" applyBorder="1" applyProtection="1">
      <alignment vertical="center"/>
      <protection hidden="1"/>
    </xf>
    <xf numFmtId="0" fontId="0" fillId="14" borderId="187" xfId="0" applyFill="1" applyBorder="1" applyProtection="1">
      <alignment vertical="center"/>
      <protection hidden="1"/>
    </xf>
    <xf numFmtId="0" fontId="36" fillId="14" borderId="188" xfId="0" applyFont="1" applyFill="1" applyBorder="1" applyProtection="1">
      <alignment vertical="center"/>
      <protection hidden="1"/>
    </xf>
    <xf numFmtId="0" fontId="0" fillId="14" borderId="189" xfId="0" applyFill="1" applyBorder="1" applyProtection="1">
      <alignment vertical="center"/>
      <protection hidden="1"/>
    </xf>
    <xf numFmtId="0" fontId="0" fillId="0" borderId="186" xfId="0" applyFill="1" applyBorder="1" applyAlignment="1" applyProtection="1">
      <alignment horizontal="center" vertical="center"/>
      <protection hidden="1"/>
    </xf>
    <xf numFmtId="0" fontId="111" fillId="14" borderId="188" xfId="0" applyFont="1" applyFill="1" applyBorder="1" applyAlignment="1" applyProtection="1">
      <alignment vertical="center" textRotation="255"/>
      <protection hidden="1"/>
    </xf>
    <xf numFmtId="0" fontId="111" fillId="14" borderId="189" xfId="0" applyFont="1" applyFill="1" applyBorder="1" applyAlignment="1" applyProtection="1">
      <alignment vertical="center" textRotation="255"/>
      <protection hidden="1"/>
    </xf>
    <xf numFmtId="0" fontId="0" fillId="0" borderId="27" xfId="0" applyBorder="1" applyProtection="1">
      <alignment vertical="center"/>
      <protection hidden="1"/>
    </xf>
    <xf numFmtId="0" fontId="142" fillId="14" borderId="54" xfId="0" applyFont="1" applyFill="1" applyBorder="1" applyAlignment="1" applyProtection="1">
      <alignment horizontal="right" vertical="center"/>
      <protection hidden="1"/>
    </xf>
    <xf numFmtId="184" fontId="124" fillId="0" borderId="0" xfId="0" applyNumberFormat="1" applyFont="1" applyFill="1" applyBorder="1" applyAlignment="1" applyProtection="1">
      <alignment vertical="center"/>
    </xf>
    <xf numFmtId="0" fontId="0" fillId="0" borderId="190" xfId="0" applyFill="1" applyBorder="1" applyAlignment="1" applyProtection="1">
      <alignment horizontal="center" vertical="center" wrapText="1"/>
    </xf>
    <xf numFmtId="0" fontId="142" fillId="14" borderId="54" xfId="0" applyFont="1" applyFill="1" applyBorder="1" applyAlignment="1" applyProtection="1">
      <alignment horizontal="left" vertical="center"/>
      <protection hidden="1"/>
    </xf>
    <xf numFmtId="0" fontId="143" fillId="0" borderId="191" xfId="0" applyFont="1" applyFill="1" applyBorder="1" applyAlignment="1" applyProtection="1">
      <alignment horizontal="center" vertical="center" wrapText="1"/>
      <protection hidden="1"/>
    </xf>
    <xf numFmtId="0" fontId="143" fillId="0" borderId="192" xfId="0" applyFont="1" applyFill="1" applyBorder="1" applyAlignment="1" applyProtection="1">
      <alignment horizontal="center" vertical="center" wrapText="1"/>
      <protection hidden="1"/>
    </xf>
    <xf numFmtId="0" fontId="143" fillId="0" borderId="193" xfId="0" applyFont="1" applyFill="1" applyBorder="1" applyAlignment="1" applyProtection="1">
      <alignment horizontal="center" vertical="center" wrapText="1"/>
      <protection hidden="1"/>
    </xf>
    <xf numFmtId="0" fontId="143" fillId="0" borderId="194" xfId="0" applyFont="1" applyFill="1" applyBorder="1" applyAlignment="1" applyProtection="1">
      <alignment horizontal="center" vertical="center" wrapText="1"/>
      <protection hidden="1"/>
    </xf>
    <xf numFmtId="0" fontId="144" fillId="14" borderId="195" xfId="0" applyFont="1" applyFill="1" applyBorder="1" applyAlignment="1" applyProtection="1">
      <alignment horizontal="center" vertical="center" wrapText="1"/>
      <protection hidden="1"/>
    </xf>
    <xf numFmtId="0" fontId="144" fillId="14" borderId="196" xfId="0" applyFont="1" applyFill="1" applyBorder="1" applyAlignment="1" applyProtection="1">
      <alignment horizontal="center" vertical="center" wrapText="1"/>
      <protection hidden="1"/>
    </xf>
    <xf numFmtId="0" fontId="144" fillId="14" borderId="197" xfId="0" applyFont="1" applyFill="1" applyBorder="1" applyAlignment="1" applyProtection="1">
      <alignment horizontal="center" vertical="center" wrapText="1"/>
      <protection hidden="1"/>
    </xf>
    <xf numFmtId="0" fontId="145" fillId="14" borderId="198" xfId="0" applyFont="1" applyFill="1" applyBorder="1" applyAlignment="1" applyProtection="1">
      <alignment horizontal="center" vertical="center" wrapText="1"/>
      <protection hidden="1"/>
    </xf>
    <xf numFmtId="0" fontId="77" fillId="14" borderId="125" xfId="0" applyFont="1" applyFill="1" applyBorder="1" applyAlignment="1" applyProtection="1">
      <alignment vertical="center" wrapText="1"/>
    </xf>
    <xf numFmtId="186" fontId="0" fillId="14" borderId="199" xfId="0" applyNumberFormat="1" applyFill="1" applyBorder="1" applyAlignment="1" applyProtection="1">
      <alignment horizontal="center" vertical="center"/>
    </xf>
    <xf numFmtId="186" fontId="0" fillId="14" borderId="200" xfId="0" applyNumberFormat="1" applyFill="1" applyBorder="1" applyAlignment="1" applyProtection="1">
      <alignment horizontal="center" vertical="center"/>
    </xf>
    <xf numFmtId="186" fontId="0" fillId="14" borderId="201" xfId="0" applyNumberFormat="1" applyFill="1" applyBorder="1" applyAlignment="1" applyProtection="1">
      <alignment horizontal="center" vertical="center"/>
    </xf>
    <xf numFmtId="186" fontId="0" fillId="14" borderId="202" xfId="0" applyNumberFormat="1" applyFill="1" applyBorder="1" applyAlignment="1" applyProtection="1">
      <alignment horizontal="center" vertical="center"/>
    </xf>
    <xf numFmtId="176" fontId="0" fillId="14" borderId="96" xfId="0" applyNumberFormat="1" applyFill="1" applyBorder="1" applyAlignment="1" applyProtection="1">
      <alignment horizontal="right" vertical="center"/>
    </xf>
    <xf numFmtId="184" fontId="0" fillId="9" borderId="203" xfId="0" applyNumberFormat="1" applyFill="1" applyBorder="1" applyAlignment="1" applyProtection="1">
      <alignment vertical="center" shrinkToFit="1"/>
    </xf>
    <xf numFmtId="186" fontId="0" fillId="18" borderId="204" xfId="0" applyNumberFormat="1" applyFill="1" applyBorder="1" applyAlignment="1" applyProtection="1">
      <alignment vertical="center" shrinkToFit="1"/>
    </xf>
    <xf numFmtId="186" fontId="0" fillId="18" borderId="205" xfId="0" applyNumberFormat="1" applyFill="1" applyBorder="1" applyAlignment="1" applyProtection="1">
      <alignment vertical="center" shrinkToFit="1"/>
    </xf>
    <xf numFmtId="186" fontId="0" fillId="18" borderId="206" xfId="0" applyNumberFormat="1" applyFill="1" applyBorder="1" applyAlignment="1" applyProtection="1">
      <alignment vertical="center" shrinkToFit="1"/>
    </xf>
    <xf numFmtId="180" fontId="0" fillId="0" borderId="207" xfId="0" applyNumberFormat="1" applyBorder="1" applyAlignment="1" applyProtection="1">
      <alignment vertical="center" shrinkToFit="1"/>
    </xf>
    <xf numFmtId="0" fontId="146" fillId="11" borderId="208" xfId="0" applyFont="1" applyFill="1" applyBorder="1" applyAlignment="1" applyProtection="1">
      <alignment horizontal="center" vertical="center" wrapText="1"/>
    </xf>
    <xf numFmtId="0" fontId="146" fillId="11" borderId="209" xfId="0" applyFont="1" applyFill="1" applyBorder="1" applyAlignment="1" applyProtection="1">
      <alignment horizontal="center" vertical="center" wrapText="1"/>
    </xf>
    <xf numFmtId="0" fontId="123" fillId="0" borderId="210" xfId="0" applyFont="1" applyBorder="1" applyAlignment="1" applyProtection="1">
      <alignment vertical="center" wrapText="1"/>
    </xf>
    <xf numFmtId="0" fontId="7" fillId="0" borderId="27" xfId="0" applyFont="1" applyBorder="1" applyProtection="1">
      <alignment vertical="center"/>
    </xf>
    <xf numFmtId="0" fontId="7" fillId="0" borderId="0" xfId="0" applyFont="1" applyBorder="1" applyProtection="1">
      <alignment vertical="center"/>
    </xf>
    <xf numFmtId="0" fontId="7" fillId="0" borderId="29" xfId="0" applyFont="1" applyBorder="1" applyProtection="1">
      <alignment vertical="center"/>
    </xf>
    <xf numFmtId="0" fontId="147" fillId="0" borderId="0" xfId="0" applyFont="1" applyProtection="1">
      <alignment vertical="center"/>
    </xf>
    <xf numFmtId="0" fontId="76" fillId="0" borderId="0" xfId="0" applyFont="1" applyBorder="1" applyAlignment="1" applyProtection="1">
      <alignment vertical="center" wrapText="1"/>
      <protection hidden="1"/>
    </xf>
    <xf numFmtId="0" fontId="148" fillId="14" borderId="51" xfId="0" applyFont="1" applyFill="1" applyBorder="1" applyProtection="1">
      <alignment vertical="center"/>
      <protection hidden="1"/>
    </xf>
    <xf numFmtId="0" fontId="111" fillId="14" borderId="52" xfId="0" applyFont="1" applyFill="1" applyBorder="1" applyProtection="1">
      <alignment vertical="center"/>
      <protection hidden="1"/>
    </xf>
    <xf numFmtId="0" fontId="149" fillId="14" borderId="0" xfId="0" applyFont="1" applyFill="1" applyBorder="1" applyProtection="1">
      <alignment vertical="center"/>
      <protection hidden="1"/>
    </xf>
    <xf numFmtId="0" fontId="43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right" vertical="center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112" fillId="14" borderId="0" xfId="3" applyFont="1" applyFill="1" applyBorder="1" applyAlignment="1" applyProtection="1">
      <alignment vertical="center"/>
      <protection hidden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7" borderId="26" xfId="0" applyFont="1" applyFill="1" applyBorder="1" applyAlignment="1" applyProtection="1">
      <alignment horizontal="center" vertical="center" wrapText="1"/>
    </xf>
    <xf numFmtId="187" fontId="150" fillId="0" borderId="1" xfId="2" applyNumberFormat="1" applyFont="1" applyBorder="1" applyProtection="1">
      <alignment vertical="center"/>
    </xf>
    <xf numFmtId="190" fontId="151" fillId="7" borderId="1" xfId="0" applyNumberFormat="1" applyFont="1" applyFill="1" applyBorder="1" applyProtection="1">
      <alignment vertical="center"/>
    </xf>
    <xf numFmtId="193" fontId="150" fillId="18" borderId="15" xfId="0" applyNumberFormat="1" applyFont="1" applyFill="1" applyBorder="1" applyAlignment="1" applyProtection="1">
      <alignment horizontal="right" vertical="center"/>
    </xf>
    <xf numFmtId="193" fontId="150" fillId="18" borderId="16" xfId="0" applyNumberFormat="1" applyFont="1" applyFill="1" applyBorder="1" applyAlignment="1" applyProtection="1">
      <alignment horizontal="right" vertical="center"/>
    </xf>
    <xf numFmtId="193" fontId="150" fillId="18" borderId="30" xfId="0" applyNumberFormat="1" applyFont="1" applyFill="1" applyBorder="1" applyAlignment="1" applyProtection="1">
      <alignment horizontal="right" vertical="center"/>
    </xf>
    <xf numFmtId="0" fontId="151" fillId="4" borderId="39" xfId="0" applyFont="1" applyFill="1" applyBorder="1" applyAlignment="1" applyProtection="1">
      <alignment horizontal="center" vertical="center" wrapText="1"/>
    </xf>
    <xf numFmtId="177" fontId="152" fillId="6" borderId="70" xfId="0" applyNumberFormat="1" applyFont="1" applyFill="1" applyBorder="1" applyProtection="1">
      <alignment vertical="center"/>
    </xf>
    <xf numFmtId="195" fontId="48" fillId="11" borderId="1" xfId="0" applyNumberFormat="1" applyFont="1" applyFill="1" applyBorder="1" applyAlignment="1" applyProtection="1">
      <alignment vertical="center" shrinkToFit="1"/>
    </xf>
    <xf numFmtId="195" fontId="49" fillId="11" borderId="1" xfId="0" applyNumberFormat="1" applyFont="1" applyFill="1" applyBorder="1" applyAlignment="1" applyProtection="1">
      <alignment horizontal="right" vertical="center" shrinkToFit="1"/>
    </xf>
    <xf numFmtId="195" fontId="50" fillId="11" borderId="1" xfId="0" applyNumberFormat="1" applyFont="1" applyFill="1" applyBorder="1" applyAlignment="1" applyProtection="1">
      <alignment vertical="center" shrinkToFit="1"/>
    </xf>
    <xf numFmtId="195" fontId="48" fillId="11" borderId="4" xfId="0" applyNumberFormat="1" applyFont="1" applyFill="1" applyBorder="1" applyAlignment="1" applyProtection="1">
      <alignment vertical="center" shrinkToFit="1"/>
    </xf>
    <xf numFmtId="195" fontId="79" fillId="17" borderId="81" xfId="0" applyNumberFormat="1" applyFont="1" applyFill="1" applyBorder="1" applyAlignment="1" applyProtection="1">
      <alignment vertical="center" shrinkToFit="1"/>
    </xf>
    <xf numFmtId="195" fontId="49" fillId="11" borderId="143" xfId="0" applyNumberFormat="1" applyFont="1" applyFill="1" applyBorder="1" applyAlignment="1" applyProtection="1">
      <alignment horizontal="right" vertical="center" shrinkToFit="1"/>
    </xf>
    <xf numFmtId="195" fontId="49" fillId="11" borderId="143" xfId="0" applyNumberFormat="1" applyFont="1" applyFill="1" applyBorder="1" applyAlignment="1" applyProtection="1">
      <alignment vertical="center" shrinkToFit="1"/>
    </xf>
    <xf numFmtId="195" fontId="49" fillId="11" borderId="2" xfId="0" applyNumberFormat="1" applyFont="1" applyFill="1" applyBorder="1" applyAlignment="1" applyProtection="1">
      <alignment horizontal="right" vertical="center" shrinkToFit="1"/>
    </xf>
    <xf numFmtId="195" fontId="49" fillId="11" borderId="2" xfId="0" applyNumberFormat="1" applyFont="1" applyFill="1" applyBorder="1" applyAlignment="1" applyProtection="1">
      <alignment vertical="center" shrinkToFit="1"/>
    </xf>
    <xf numFmtId="195" fontId="49" fillId="11" borderId="3" xfId="0" applyNumberFormat="1" applyFont="1" applyFill="1" applyBorder="1" applyAlignment="1" applyProtection="1">
      <alignment horizontal="right" vertical="center" shrinkToFit="1"/>
    </xf>
    <xf numFmtId="195" fontId="49" fillId="11" borderId="3" xfId="0" applyNumberFormat="1" applyFont="1" applyFill="1" applyBorder="1" applyAlignment="1" applyProtection="1">
      <alignment vertical="center" shrinkToFit="1"/>
    </xf>
    <xf numFmtId="195" fontId="79" fillId="17" borderId="81" xfId="0" applyNumberFormat="1" applyFont="1" applyFill="1" applyBorder="1" applyAlignment="1" applyProtection="1">
      <alignment horizontal="right" vertical="center" shrinkToFit="1"/>
    </xf>
    <xf numFmtId="195" fontId="49" fillId="11" borderId="64" xfId="0" applyNumberFormat="1" applyFont="1" applyFill="1" applyBorder="1" applyAlignment="1" applyProtection="1">
      <alignment horizontal="right" vertical="center" shrinkToFit="1"/>
    </xf>
    <xf numFmtId="195" fontId="49" fillId="11" borderId="64" xfId="0" applyNumberFormat="1" applyFont="1" applyFill="1" applyBorder="1" applyAlignment="1" applyProtection="1">
      <alignment vertical="center" shrinkToFit="1"/>
    </xf>
    <xf numFmtId="192" fontId="21" fillId="0" borderId="81" xfId="0" applyNumberFormat="1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vertical="center" wrapText="1"/>
    </xf>
    <xf numFmtId="0" fontId="10" fillId="0" borderId="5" xfId="0" applyFont="1" applyFill="1" applyBorder="1" applyAlignment="1" applyProtection="1">
      <alignment vertical="center" wrapText="1"/>
    </xf>
    <xf numFmtId="189" fontId="72" fillId="14" borderId="211" xfId="2" applyNumberFormat="1" applyFont="1" applyFill="1" applyBorder="1" applyAlignment="1" applyProtection="1">
      <alignment horizontal="center" vertical="center" shrinkToFit="1"/>
    </xf>
    <xf numFmtId="189" fontId="72" fillId="14" borderId="81" xfId="2" applyNumberFormat="1" applyFont="1" applyFill="1" applyBorder="1" applyAlignment="1" applyProtection="1">
      <alignment horizontal="center" vertical="center" shrinkToFit="1"/>
    </xf>
    <xf numFmtId="189" fontId="72" fillId="11" borderId="212" xfId="2" applyNumberFormat="1" applyFont="1" applyFill="1" applyBorder="1" applyAlignment="1" applyProtection="1">
      <alignment horizontal="center" vertical="center" shrinkToFit="1"/>
    </xf>
    <xf numFmtId="189" fontId="72" fillId="11" borderId="89" xfId="0" applyNumberFormat="1" applyFont="1" applyFill="1" applyBorder="1" applyAlignment="1" applyProtection="1">
      <alignment vertical="center" shrinkToFit="1"/>
    </xf>
    <xf numFmtId="189" fontId="34" fillId="14" borderId="8" xfId="2" applyNumberFormat="1" applyFont="1" applyFill="1" applyBorder="1" applyAlignment="1" applyProtection="1">
      <alignment horizontal="center" vertical="center" shrinkToFit="1"/>
    </xf>
    <xf numFmtId="189" fontId="34" fillId="14" borderId="1" xfId="2" applyNumberFormat="1" applyFont="1" applyFill="1" applyBorder="1" applyAlignment="1" applyProtection="1">
      <alignment horizontal="center" vertical="center" shrinkToFit="1"/>
    </xf>
    <xf numFmtId="189" fontId="56" fillId="11" borderId="7" xfId="2" applyNumberFormat="1" applyFont="1" applyFill="1" applyBorder="1" applyAlignment="1" applyProtection="1">
      <alignment horizontal="center" vertical="center" shrinkToFit="1"/>
    </xf>
    <xf numFmtId="189" fontId="0" fillId="11" borderId="91" xfId="0" applyNumberFormat="1" applyFont="1" applyFill="1" applyBorder="1" applyAlignment="1" applyProtection="1">
      <alignment vertical="center" shrinkToFit="1"/>
    </xf>
    <xf numFmtId="189" fontId="34" fillId="14" borderId="213" xfId="2" applyNumberFormat="1" applyFont="1" applyFill="1" applyBorder="1" applyAlignment="1" applyProtection="1">
      <alignment horizontal="center" vertical="center" shrinkToFit="1"/>
    </xf>
    <xf numFmtId="189" fontId="34" fillId="14" borderId="36" xfId="2" applyNumberFormat="1" applyFont="1" applyFill="1" applyBorder="1" applyAlignment="1" applyProtection="1">
      <alignment horizontal="center" vertical="center" shrinkToFit="1"/>
    </xf>
    <xf numFmtId="189" fontId="56" fillId="11" borderId="214" xfId="2" applyNumberFormat="1" applyFont="1" applyFill="1" applyBorder="1" applyAlignment="1" applyProtection="1">
      <alignment horizontal="center" vertical="center" shrinkToFit="1"/>
    </xf>
    <xf numFmtId="189" fontId="0" fillId="11" borderId="93" xfId="0" applyNumberFormat="1" applyFont="1" applyFill="1" applyBorder="1" applyAlignment="1" applyProtection="1">
      <alignment vertical="center" shrinkToFit="1"/>
    </xf>
    <xf numFmtId="189" fontId="72" fillId="14" borderId="211" xfId="0" applyNumberFormat="1" applyFont="1" applyFill="1" applyBorder="1" applyAlignment="1" applyProtection="1">
      <alignment horizontal="center" vertical="center" shrinkToFit="1"/>
    </xf>
    <xf numFmtId="189" fontId="72" fillId="14" borderId="81" xfId="0" applyNumberFormat="1" applyFont="1" applyFill="1" applyBorder="1" applyAlignment="1" applyProtection="1">
      <alignment horizontal="center" vertical="center" shrinkToFit="1"/>
    </xf>
    <xf numFmtId="189" fontId="72" fillId="11" borderId="212" xfId="0" applyNumberFormat="1" applyFont="1" applyFill="1" applyBorder="1" applyAlignment="1" applyProtection="1">
      <alignment horizontal="center" vertical="center" shrinkToFit="1"/>
    </xf>
    <xf numFmtId="189" fontId="72" fillId="11" borderId="89" xfId="0" applyNumberFormat="1" applyFont="1" applyFill="1" applyBorder="1" applyAlignment="1" applyProtection="1">
      <alignment horizontal="center" vertical="center" shrinkToFit="1"/>
    </xf>
    <xf numFmtId="189" fontId="34" fillId="27" borderId="8" xfId="2" applyNumberFormat="1" applyFont="1" applyFill="1" applyBorder="1" applyAlignment="1" applyProtection="1">
      <alignment horizontal="center" vertical="center" shrinkToFit="1"/>
    </xf>
    <xf numFmtId="189" fontId="34" fillId="27" borderId="1" xfId="2" applyNumberFormat="1" applyFont="1" applyFill="1" applyBorder="1" applyAlignment="1" applyProtection="1">
      <alignment horizontal="center" vertical="center" shrinkToFit="1"/>
    </xf>
    <xf numFmtId="189" fontId="0" fillId="28" borderId="91" xfId="0" applyNumberFormat="1" applyFont="1" applyFill="1" applyBorder="1" applyAlignment="1" applyProtection="1">
      <alignment vertical="center" shrinkToFit="1"/>
    </xf>
    <xf numFmtId="189" fontId="73" fillId="0" borderId="215" xfId="0" applyNumberFormat="1" applyFont="1" applyBorder="1" applyAlignment="1" applyProtection="1">
      <alignment horizontal="center" vertical="center" shrinkToFit="1"/>
    </xf>
    <xf numFmtId="189" fontId="73" fillId="0" borderId="216" xfId="0" applyNumberFormat="1" applyFont="1" applyBorder="1" applyAlignment="1" applyProtection="1">
      <alignment horizontal="center" vertical="center" shrinkToFit="1"/>
    </xf>
    <xf numFmtId="189" fontId="66" fillId="11" borderId="217" xfId="0" applyNumberFormat="1" applyFont="1" applyFill="1" applyBorder="1" applyAlignment="1" applyProtection="1">
      <alignment horizontal="center" vertical="center" shrinkToFit="1"/>
    </xf>
    <xf numFmtId="189" fontId="66" fillId="11" borderId="54" xfId="0" applyNumberFormat="1" applyFont="1" applyFill="1" applyBorder="1" applyAlignment="1" applyProtection="1">
      <alignment horizontal="center" vertical="center" shrinkToFit="1"/>
    </xf>
    <xf numFmtId="0" fontId="153" fillId="14" borderId="4" xfId="0" applyFont="1" applyFill="1" applyBorder="1" applyAlignment="1" applyProtection="1">
      <alignment horizontal="center" vertical="center"/>
    </xf>
    <xf numFmtId="0" fontId="154" fillId="14" borderId="68" xfId="0" applyFont="1" applyFill="1" applyBorder="1" applyAlignment="1" applyProtection="1">
      <alignment horizontal="center" vertical="center"/>
    </xf>
    <xf numFmtId="0" fontId="154" fillId="14" borderId="48" xfId="0" applyFont="1" applyFill="1" applyBorder="1" applyAlignment="1" applyProtection="1">
      <alignment horizontal="center" vertical="center"/>
    </xf>
    <xf numFmtId="0" fontId="155" fillId="14" borderId="11" xfId="0" applyFont="1" applyFill="1" applyBorder="1" applyAlignment="1" applyProtection="1">
      <alignment horizontal="center" vertical="center"/>
    </xf>
    <xf numFmtId="0" fontId="155" fillId="0" borderId="30" xfId="0" applyFont="1" applyFill="1" applyBorder="1" applyAlignment="1" applyProtection="1">
      <alignment horizontal="center" vertical="center"/>
    </xf>
    <xf numFmtId="0" fontId="10" fillId="0" borderId="91" xfId="0" applyFont="1" applyBorder="1" applyAlignment="1" applyProtection="1">
      <alignment horizontal="center" vertical="center" wrapText="1"/>
    </xf>
    <xf numFmtId="195" fontId="65" fillId="29" borderId="121" xfId="0" applyNumberFormat="1" applyFont="1" applyFill="1" applyBorder="1" applyAlignment="1" applyProtection="1">
      <alignment vertical="center" shrinkToFit="1"/>
    </xf>
    <xf numFmtId="195" fontId="65" fillId="29" borderId="4" xfId="0" applyNumberFormat="1" applyFont="1" applyFill="1" applyBorder="1" applyAlignment="1" applyProtection="1">
      <alignment vertical="center" shrinkToFit="1"/>
    </xf>
    <xf numFmtId="195" fontId="65" fillId="11" borderId="122" xfId="0" applyNumberFormat="1" applyFont="1" applyFill="1" applyBorder="1" applyAlignment="1" applyProtection="1">
      <alignment vertical="center" shrinkToFit="1"/>
    </xf>
    <xf numFmtId="195" fontId="48" fillId="11" borderId="120" xfId="0" applyNumberFormat="1" applyFont="1" applyFill="1" applyBorder="1" applyAlignment="1" applyProtection="1">
      <alignment vertical="center" shrinkToFit="1"/>
    </xf>
    <xf numFmtId="195" fontId="65" fillId="29" borderId="218" xfId="0" applyNumberFormat="1" applyFont="1" applyFill="1" applyBorder="1" applyAlignment="1" applyProtection="1">
      <alignment vertical="center" shrinkToFit="1"/>
    </xf>
    <xf numFmtId="195" fontId="65" fillId="29" borderId="173" xfId="0" applyNumberFormat="1" applyFont="1" applyFill="1" applyBorder="1" applyAlignment="1" applyProtection="1">
      <alignment vertical="center" shrinkToFit="1"/>
    </xf>
    <xf numFmtId="195" fontId="65" fillId="11" borderId="173" xfId="0" applyNumberFormat="1" applyFont="1" applyFill="1" applyBorder="1" applyAlignment="1" applyProtection="1">
      <alignment vertical="center" shrinkToFit="1"/>
    </xf>
    <xf numFmtId="195" fontId="65" fillId="11" borderId="219" xfId="0" applyNumberFormat="1" applyFont="1" applyFill="1" applyBorder="1" applyAlignment="1" applyProtection="1">
      <alignment vertical="center" shrinkToFit="1"/>
    </xf>
    <xf numFmtId="195" fontId="65" fillId="11" borderId="220" xfId="0" applyNumberFormat="1" applyFont="1" applyFill="1" applyBorder="1" applyAlignment="1" applyProtection="1">
      <alignment vertical="center" shrinkToFit="1"/>
    </xf>
    <xf numFmtId="195" fontId="65" fillId="29" borderId="221" xfId="0" applyNumberFormat="1" applyFont="1" applyFill="1" applyBorder="1" applyAlignment="1" applyProtection="1">
      <alignment vertical="center" shrinkToFit="1"/>
    </xf>
    <xf numFmtId="195" fontId="65" fillId="29" borderId="174" xfId="0" applyNumberFormat="1" applyFont="1" applyFill="1" applyBorder="1" applyAlignment="1" applyProtection="1">
      <alignment vertical="center" shrinkToFit="1"/>
    </xf>
    <xf numFmtId="195" fontId="65" fillId="11" borderId="174" xfId="0" applyNumberFormat="1" applyFont="1" applyFill="1" applyBorder="1" applyAlignment="1" applyProtection="1">
      <alignment vertical="center" shrinkToFit="1"/>
    </xf>
    <xf numFmtId="195" fontId="65" fillId="11" borderId="222" xfId="0" applyNumberFormat="1" applyFont="1" applyFill="1" applyBorder="1" applyAlignment="1" applyProtection="1">
      <alignment vertical="center" shrinkToFit="1"/>
    </xf>
    <xf numFmtId="195" fontId="65" fillId="11" borderId="223" xfId="0" applyNumberFormat="1" applyFont="1" applyFill="1" applyBorder="1" applyAlignment="1" applyProtection="1">
      <alignment vertical="center" shrinkToFit="1"/>
    </xf>
    <xf numFmtId="195" fontId="65" fillId="29" borderId="224" xfId="0" applyNumberFormat="1" applyFont="1" applyFill="1" applyBorder="1" applyAlignment="1" applyProtection="1">
      <alignment vertical="center" shrinkToFit="1"/>
    </xf>
    <xf numFmtId="195" fontId="65" fillId="29" borderId="176" xfId="0" applyNumberFormat="1" applyFont="1" applyFill="1" applyBorder="1" applyAlignment="1" applyProtection="1">
      <alignment vertical="center" shrinkToFit="1"/>
    </xf>
    <xf numFmtId="195" fontId="65" fillId="11" borderId="176" xfId="0" applyNumberFormat="1" applyFont="1" applyFill="1" applyBorder="1" applyAlignment="1" applyProtection="1">
      <alignment vertical="center" shrinkToFit="1"/>
    </xf>
    <xf numFmtId="195" fontId="65" fillId="11" borderId="225" xfId="0" applyNumberFormat="1" applyFont="1" applyFill="1" applyBorder="1" applyAlignment="1" applyProtection="1">
      <alignment vertical="center" shrinkToFit="1"/>
    </xf>
    <xf numFmtId="195" fontId="65" fillId="11" borderId="226" xfId="0" applyNumberFormat="1" applyFont="1" applyFill="1" applyBorder="1" applyAlignment="1" applyProtection="1">
      <alignment vertical="center" shrinkToFit="1"/>
    </xf>
    <xf numFmtId="195" fontId="65" fillId="11" borderId="119" xfId="0" applyNumberFormat="1" applyFont="1" applyFill="1" applyBorder="1" applyAlignment="1" applyProtection="1">
      <alignment vertical="center" shrinkToFit="1"/>
    </xf>
    <xf numFmtId="0" fontId="52" fillId="0" borderId="1" xfId="0" applyFont="1" applyBorder="1" applyAlignment="1" applyProtection="1">
      <alignment vertical="center" wrapText="1"/>
    </xf>
    <xf numFmtId="189" fontId="66" fillId="11" borderId="78" xfId="0" applyNumberFormat="1" applyFont="1" applyFill="1" applyBorder="1" applyAlignment="1" applyProtection="1">
      <alignment vertical="center" shrinkToFit="1"/>
    </xf>
    <xf numFmtId="189" fontId="67" fillId="11" borderId="227" xfId="0" applyNumberFormat="1" applyFont="1" applyFill="1" applyBorder="1" applyAlignment="1" applyProtection="1">
      <alignment vertical="center" shrinkToFit="1"/>
    </xf>
    <xf numFmtId="189" fontId="67" fillId="11" borderId="221" xfId="0" applyNumberFormat="1" applyFont="1" applyFill="1" applyBorder="1" applyAlignment="1" applyProtection="1">
      <alignment vertical="center" shrinkToFit="1"/>
    </xf>
    <xf numFmtId="189" fontId="67" fillId="11" borderId="228" xfId="0" applyNumberFormat="1" applyFont="1" applyFill="1" applyBorder="1" applyAlignment="1" applyProtection="1">
      <alignment vertical="center" shrinkToFit="1"/>
    </xf>
    <xf numFmtId="189" fontId="66" fillId="11" borderId="1" xfId="0" applyNumberFormat="1" applyFont="1" applyFill="1" applyBorder="1" applyAlignment="1" applyProtection="1">
      <alignment vertical="center" shrinkToFit="1"/>
    </xf>
    <xf numFmtId="189" fontId="66" fillId="11" borderId="6" xfId="0" applyNumberFormat="1" applyFont="1" applyFill="1" applyBorder="1" applyAlignment="1" applyProtection="1">
      <alignment vertical="center" shrinkToFit="1"/>
    </xf>
    <xf numFmtId="189" fontId="66" fillId="11" borderId="120" xfId="0" applyNumberFormat="1" applyFont="1" applyFill="1" applyBorder="1" applyAlignment="1" applyProtection="1">
      <alignment vertical="center" shrinkToFit="1"/>
    </xf>
    <xf numFmtId="195" fontId="149" fillId="17" borderId="229" xfId="0" applyNumberFormat="1" applyFont="1" applyFill="1" applyBorder="1" applyAlignment="1" applyProtection="1">
      <alignment vertical="center" shrinkToFit="1"/>
    </xf>
    <xf numFmtId="195" fontId="149" fillId="17" borderId="57" xfId="0" applyNumberFormat="1" applyFont="1" applyFill="1" applyBorder="1" applyAlignment="1" applyProtection="1">
      <alignment vertical="center" shrinkToFit="1"/>
    </xf>
    <xf numFmtId="195" fontId="94" fillId="11" borderId="230" xfId="0" applyNumberFormat="1" applyFont="1" applyFill="1" applyBorder="1" applyAlignment="1" applyProtection="1">
      <alignment vertical="center" shrinkToFit="1"/>
    </xf>
    <xf numFmtId="195" fontId="94" fillId="11" borderId="231" xfId="0" applyNumberFormat="1" applyFont="1" applyFill="1" applyBorder="1" applyAlignment="1" applyProtection="1">
      <alignment vertical="center" shrinkToFit="1"/>
    </xf>
    <xf numFmtId="195" fontId="149" fillId="17" borderId="141" xfId="0" applyNumberFormat="1" applyFont="1" applyFill="1" applyBorder="1" applyAlignment="1" applyProtection="1">
      <alignment vertical="center" shrinkToFit="1"/>
    </xf>
    <xf numFmtId="195" fontId="149" fillId="17" borderId="59" xfId="0" applyNumberFormat="1" applyFont="1" applyFill="1" applyBorder="1" applyAlignment="1" applyProtection="1">
      <alignment vertical="center" shrinkToFit="1"/>
    </xf>
    <xf numFmtId="195" fontId="37" fillId="17" borderId="90" xfId="0" applyNumberFormat="1" applyFont="1" applyFill="1" applyBorder="1" applyAlignment="1" applyProtection="1">
      <alignment vertical="center" shrinkToFit="1"/>
    </xf>
    <xf numFmtId="195" fontId="37" fillId="17" borderId="140" xfId="0" applyNumberFormat="1" applyFont="1" applyFill="1" applyBorder="1" applyAlignment="1" applyProtection="1">
      <alignment vertical="center" shrinkToFit="1"/>
    </xf>
    <xf numFmtId="195" fontId="156" fillId="29" borderId="148" xfId="0" applyNumberFormat="1" applyFont="1" applyFill="1" applyBorder="1" applyAlignment="1" applyProtection="1">
      <alignment vertical="center" shrinkToFit="1"/>
    </xf>
    <xf numFmtId="195" fontId="156" fillId="29" borderId="232" xfId="0" applyNumberFormat="1" applyFont="1" applyFill="1" applyBorder="1" applyAlignment="1" applyProtection="1">
      <alignment vertical="center" shrinkToFit="1"/>
    </xf>
    <xf numFmtId="195" fontId="65" fillId="11" borderId="232" xfId="0" applyNumberFormat="1" applyFont="1" applyFill="1" applyBorder="1" applyAlignment="1" applyProtection="1">
      <alignment vertical="center" shrinkToFit="1"/>
    </xf>
    <xf numFmtId="195" fontId="156" fillId="29" borderId="151" xfId="0" applyNumberFormat="1" applyFont="1" applyFill="1" applyBorder="1" applyAlignment="1" applyProtection="1">
      <alignment vertical="center" shrinkToFit="1"/>
    </xf>
    <xf numFmtId="195" fontId="156" fillId="29" borderId="2" xfId="0" applyNumberFormat="1" applyFont="1" applyFill="1" applyBorder="1" applyAlignment="1" applyProtection="1">
      <alignment vertical="center" shrinkToFit="1"/>
    </xf>
    <xf numFmtId="195" fontId="65" fillId="11" borderId="2" xfId="0" applyNumberFormat="1" applyFont="1" applyFill="1" applyBorder="1" applyAlignment="1" applyProtection="1">
      <alignment vertical="center" shrinkToFit="1"/>
    </xf>
    <xf numFmtId="195" fontId="156" fillId="29" borderId="154" xfId="0" applyNumberFormat="1" applyFont="1" applyFill="1" applyBorder="1" applyAlignment="1" applyProtection="1">
      <alignment vertical="center" shrinkToFit="1"/>
    </xf>
    <xf numFmtId="195" fontId="156" fillId="29" borderId="63" xfId="0" applyNumberFormat="1" applyFont="1" applyFill="1" applyBorder="1" applyAlignment="1" applyProtection="1">
      <alignment vertical="center" shrinkToFit="1"/>
    </xf>
    <xf numFmtId="195" fontId="65" fillId="11" borderId="63" xfId="0" applyNumberFormat="1" applyFont="1" applyFill="1" applyBorder="1" applyAlignment="1" applyProtection="1">
      <alignment vertical="center" shrinkToFit="1"/>
    </xf>
    <xf numFmtId="189" fontId="74" fillId="29" borderId="125" xfId="0" applyNumberFormat="1" applyFont="1" applyFill="1" applyBorder="1" applyAlignment="1" applyProtection="1">
      <alignment vertical="center" shrinkToFit="1"/>
    </xf>
    <xf numFmtId="189" fontId="74" fillId="29" borderId="4" xfId="0" applyNumberFormat="1" applyFont="1" applyFill="1" applyBorder="1" applyAlignment="1" applyProtection="1">
      <alignment vertical="center" shrinkToFit="1"/>
    </xf>
    <xf numFmtId="189" fontId="65" fillId="11" borderId="4" xfId="0" applyNumberFormat="1" applyFont="1" applyFill="1" applyBorder="1" applyAlignment="1" applyProtection="1">
      <alignment vertical="center" shrinkToFit="1"/>
    </xf>
    <xf numFmtId="0" fontId="0" fillId="0" borderId="1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43" fillId="0" borderId="4" xfId="0" applyFont="1" applyFill="1" applyBorder="1" applyAlignment="1">
      <alignment horizontal="center" vertical="center"/>
    </xf>
    <xf numFmtId="0" fontId="0" fillId="0" borderId="90" xfId="0" applyBorder="1">
      <alignment vertical="center"/>
    </xf>
    <xf numFmtId="197" fontId="47" fillId="2" borderId="1" xfId="0" applyNumberFormat="1" applyFont="1" applyFill="1" applyBorder="1" applyAlignment="1" applyProtection="1">
      <alignment vertical="center" shrinkToFit="1"/>
      <protection locked="0"/>
    </xf>
    <xf numFmtId="0" fontId="42" fillId="0" borderId="1" xfId="0" applyFont="1" applyFill="1" applyBorder="1" applyAlignment="1">
      <alignment horizontal="right" vertical="center" shrinkToFit="1"/>
    </xf>
    <xf numFmtId="194" fontId="47" fillId="2" borderId="2" xfId="0" applyNumberFormat="1" applyFont="1" applyFill="1" applyBorder="1" applyAlignment="1" applyProtection="1">
      <alignment vertical="center" shrinkToFit="1"/>
      <protection locked="0"/>
    </xf>
    <xf numFmtId="194" fontId="47" fillId="2" borderId="3" xfId="0" applyNumberFormat="1" applyFont="1" applyFill="1" applyBorder="1" applyAlignment="1" applyProtection="1">
      <alignment vertical="center" shrinkToFit="1"/>
      <protection locked="0"/>
    </xf>
    <xf numFmtId="194" fontId="47" fillId="2" borderId="64" xfId="0" applyNumberFormat="1" applyFont="1" applyFill="1" applyBorder="1" applyAlignment="1" applyProtection="1">
      <alignment vertical="center" shrinkToFit="1"/>
      <protection locked="0"/>
    </xf>
    <xf numFmtId="195" fontId="48" fillId="17" borderId="55" xfId="0" applyNumberFormat="1" applyFont="1" applyFill="1" applyBorder="1" applyAlignment="1" applyProtection="1">
      <alignment vertical="center" shrinkToFit="1"/>
    </xf>
    <xf numFmtId="195" fontId="49" fillId="11" borderId="233" xfId="0" applyNumberFormat="1" applyFont="1" applyFill="1" applyBorder="1" applyAlignment="1" applyProtection="1">
      <alignment horizontal="right" vertical="center" shrinkToFit="1"/>
    </xf>
    <xf numFmtId="195" fontId="49" fillId="11" borderId="234" xfId="0" applyNumberFormat="1" applyFont="1" applyFill="1" applyBorder="1" applyAlignment="1" applyProtection="1">
      <alignment horizontal="right" vertical="center" shrinkToFit="1"/>
    </xf>
    <xf numFmtId="195" fontId="49" fillId="11" borderId="235" xfId="0" applyNumberFormat="1" applyFont="1" applyFill="1" applyBorder="1" applyAlignment="1" applyProtection="1">
      <alignment horizontal="right" vertical="center" shrinkToFit="1"/>
    </xf>
    <xf numFmtId="195" fontId="48" fillId="17" borderId="55" xfId="0" applyNumberFormat="1" applyFont="1" applyFill="1" applyBorder="1" applyAlignment="1" applyProtection="1">
      <alignment horizontal="right" vertical="center" shrinkToFit="1"/>
    </xf>
    <xf numFmtId="195" fontId="49" fillId="11" borderId="236" xfId="0" applyNumberFormat="1" applyFont="1" applyFill="1" applyBorder="1" applyAlignment="1" applyProtection="1">
      <alignment horizontal="right" vertical="center" shrinkToFit="1"/>
    </xf>
    <xf numFmtId="194" fontId="34" fillId="2" borderId="232" xfId="2" applyNumberFormat="1" applyFont="1" applyFill="1" applyBorder="1" applyAlignment="1" applyProtection="1">
      <alignment vertical="center" shrinkToFit="1"/>
      <protection locked="0"/>
    </xf>
    <xf numFmtId="194" fontId="34" fillId="2" borderId="237" xfId="2" applyNumberFormat="1" applyFont="1" applyFill="1" applyBorder="1" applyAlignment="1" applyProtection="1">
      <alignment vertical="center" shrinkToFit="1"/>
      <protection locked="0"/>
    </xf>
    <xf numFmtId="194" fontId="34" fillId="2" borderId="2" xfId="2" applyNumberFormat="1" applyFont="1" applyFill="1" applyBorder="1" applyAlignment="1" applyProtection="1">
      <alignment vertical="center" shrinkToFit="1"/>
      <protection locked="0"/>
    </xf>
    <xf numFmtId="194" fontId="34" fillId="2" borderId="166" xfId="2" applyNumberFormat="1" applyFont="1" applyFill="1" applyBorder="1" applyAlignment="1" applyProtection="1">
      <alignment vertical="center" shrinkToFit="1"/>
      <protection locked="0"/>
    </xf>
    <xf numFmtId="194" fontId="34" fillId="2" borderId="3" xfId="2" applyNumberFormat="1" applyFont="1" applyFill="1" applyBorder="1" applyAlignment="1" applyProtection="1">
      <alignment vertical="center" shrinkToFit="1"/>
      <protection locked="0"/>
    </xf>
    <xf numFmtId="194" fontId="34" fillId="2" borderId="238" xfId="2" applyNumberFormat="1" applyFont="1" applyFill="1" applyBorder="1" applyAlignment="1" applyProtection="1">
      <alignment vertical="center" shrinkToFit="1"/>
      <protection locked="0"/>
    </xf>
    <xf numFmtId="195" fontId="34" fillId="0" borderId="6" xfId="2" applyNumberFormat="1" applyFont="1" applyFill="1" applyBorder="1" applyAlignment="1" applyProtection="1">
      <alignment vertical="center" shrinkToFit="1"/>
    </xf>
    <xf numFmtId="195" fontId="34" fillId="19" borderId="180" xfId="2" applyNumberFormat="1" applyFont="1" applyFill="1" applyBorder="1" applyAlignment="1" applyProtection="1">
      <alignment vertical="center" shrinkToFit="1"/>
      <protection locked="0"/>
    </xf>
    <xf numFmtId="195" fontId="34" fillId="19" borderId="174" xfId="2" applyNumberFormat="1" applyFont="1" applyFill="1" applyBorder="1" applyAlignment="1" applyProtection="1">
      <alignment vertical="center" shrinkToFit="1"/>
      <protection locked="0"/>
    </xf>
    <xf numFmtId="195" fontId="34" fillId="19" borderId="239" xfId="2" applyNumberFormat="1" applyFont="1" applyFill="1" applyBorder="1" applyAlignment="1" applyProtection="1">
      <alignment vertical="center" shrinkToFit="1"/>
      <protection locked="0"/>
    </xf>
    <xf numFmtId="195" fontId="34" fillId="2" borderId="232" xfId="2" applyNumberFormat="1" applyFont="1" applyFill="1" applyBorder="1" applyAlignment="1" applyProtection="1">
      <alignment vertical="center" shrinkToFit="1"/>
      <protection locked="0"/>
    </xf>
    <xf numFmtId="195" fontId="34" fillId="2" borderId="173" xfId="2" applyNumberFormat="1" applyFont="1" applyFill="1" applyBorder="1" applyAlignment="1" applyProtection="1">
      <alignment vertical="center" shrinkToFit="1"/>
      <protection locked="0"/>
    </xf>
    <xf numFmtId="195" fontId="34" fillId="2" borderId="237" xfId="2" applyNumberFormat="1" applyFont="1" applyFill="1" applyBorder="1" applyAlignment="1" applyProtection="1">
      <alignment vertical="center" shrinkToFit="1"/>
      <protection locked="0"/>
    </xf>
    <xf numFmtId="195" fontId="34" fillId="2" borderId="240" xfId="2" applyNumberFormat="1" applyFont="1" applyFill="1" applyBorder="1" applyAlignment="1" applyProtection="1">
      <alignment vertical="center" shrinkToFit="1"/>
      <protection locked="0"/>
    </xf>
    <xf numFmtId="195" fontId="34" fillId="2" borderId="2" xfId="2" applyNumberFormat="1" applyFont="1" applyFill="1" applyBorder="1" applyAlignment="1" applyProtection="1">
      <alignment vertical="center" shrinkToFit="1"/>
      <protection locked="0"/>
    </xf>
    <xf numFmtId="195" fontId="34" fillId="2" borderId="166" xfId="2" applyNumberFormat="1" applyFont="1" applyFill="1" applyBorder="1" applyAlignment="1" applyProtection="1">
      <alignment vertical="center" shrinkToFit="1"/>
      <protection locked="0"/>
    </xf>
    <xf numFmtId="195" fontId="34" fillId="2" borderId="165" xfId="2" applyNumberFormat="1" applyFont="1" applyFill="1" applyBorder="1" applyAlignment="1" applyProtection="1">
      <alignment vertical="center" shrinkToFit="1"/>
      <protection locked="0"/>
    </xf>
    <xf numFmtId="195" fontId="34" fillId="2" borderId="63" xfId="2" applyNumberFormat="1" applyFont="1" applyFill="1" applyBorder="1" applyAlignment="1" applyProtection="1">
      <alignment vertical="center" shrinkToFit="1"/>
      <protection locked="0"/>
    </xf>
    <xf numFmtId="195" fontId="34" fillId="2" borderId="241" xfId="2" applyNumberFormat="1" applyFont="1" applyFill="1" applyBorder="1" applyAlignment="1" applyProtection="1">
      <alignment vertical="center" shrinkToFit="1"/>
      <protection locked="0"/>
    </xf>
    <xf numFmtId="195" fontId="34" fillId="2" borderId="66" xfId="2" applyNumberFormat="1" applyFont="1" applyFill="1" applyBorder="1" applyAlignment="1" applyProtection="1">
      <alignment vertical="center" shrinkToFit="1"/>
      <protection locked="0"/>
    </xf>
    <xf numFmtId="195" fontId="34" fillId="2" borderId="77" xfId="2" applyNumberFormat="1" applyFont="1" applyFill="1" applyBorder="1" applyAlignment="1" applyProtection="1">
      <alignment vertical="center" shrinkToFit="1"/>
      <protection locked="0"/>
    </xf>
    <xf numFmtId="0" fontId="42" fillId="0" borderId="0" xfId="0" applyFont="1" applyFill="1" applyBorder="1" applyAlignment="1">
      <alignment horizontal="right" vertical="center" shrinkToFit="1"/>
    </xf>
    <xf numFmtId="182" fontId="47" fillId="18" borderId="1" xfId="0" applyNumberFormat="1" applyFont="1" applyFill="1" applyBorder="1" applyAlignment="1" applyProtection="1">
      <alignment horizontal="right" vertical="center" shrinkToFit="1"/>
      <protection hidden="1"/>
    </xf>
    <xf numFmtId="0" fontId="58" fillId="20" borderId="0" xfId="0" applyNumberFormat="1" applyFont="1" applyFill="1" applyBorder="1" applyProtection="1">
      <alignment vertical="center"/>
    </xf>
    <xf numFmtId="195" fontId="47" fillId="2" borderId="232" xfId="2" applyNumberFormat="1" applyFont="1" applyFill="1" applyBorder="1" applyAlignment="1" applyProtection="1">
      <alignment vertical="center" shrinkToFit="1"/>
      <protection locked="0"/>
    </xf>
    <xf numFmtId="195" fontId="47" fillId="2" borderId="173" xfId="2" applyNumberFormat="1" applyFont="1" applyFill="1" applyBorder="1" applyAlignment="1" applyProtection="1">
      <alignment vertical="center" shrinkToFit="1"/>
      <protection locked="0"/>
    </xf>
    <xf numFmtId="195" fontId="47" fillId="2" borderId="2" xfId="2" applyNumberFormat="1" applyFont="1" applyFill="1" applyBorder="1" applyAlignment="1" applyProtection="1">
      <alignment vertical="center" shrinkToFit="1"/>
      <protection locked="0"/>
    </xf>
    <xf numFmtId="195" fontId="47" fillId="2" borderId="174" xfId="2" applyNumberFormat="1" applyFont="1" applyFill="1" applyBorder="1" applyAlignment="1" applyProtection="1">
      <alignment vertical="center" shrinkToFit="1"/>
      <protection locked="0"/>
    </xf>
    <xf numFmtId="195" fontId="47" fillId="2" borderId="63" xfId="2" applyNumberFormat="1" applyFont="1" applyFill="1" applyBorder="1" applyAlignment="1" applyProtection="1">
      <alignment vertical="center" shrinkToFit="1"/>
      <protection locked="0"/>
    </xf>
    <xf numFmtId="195" fontId="47" fillId="2" borderId="241" xfId="2" applyNumberFormat="1" applyFont="1" applyFill="1" applyBorder="1" applyAlignment="1" applyProtection="1">
      <alignment vertical="center" shrinkToFit="1"/>
      <protection locked="0"/>
    </xf>
    <xf numFmtId="195" fontId="74" fillId="29" borderId="125" xfId="0" applyNumberFormat="1" applyFont="1" applyFill="1" applyBorder="1" applyAlignment="1" applyProtection="1">
      <alignment vertical="center" shrinkToFit="1"/>
    </xf>
    <xf numFmtId="195" fontId="74" fillId="29" borderId="4" xfId="0" applyNumberFormat="1" applyFont="1" applyFill="1" applyBorder="1" applyAlignment="1" applyProtection="1">
      <alignment vertical="center" shrinkToFit="1"/>
    </xf>
    <xf numFmtId="195" fontId="48" fillId="11" borderId="232" xfId="0" applyNumberFormat="1" applyFont="1" applyFill="1" applyBorder="1" applyAlignment="1" applyProtection="1">
      <alignment vertical="center" shrinkToFit="1"/>
    </xf>
    <xf numFmtId="195" fontId="48" fillId="11" borderId="2" xfId="0" applyNumberFormat="1" applyFont="1" applyFill="1" applyBorder="1" applyAlignment="1" applyProtection="1">
      <alignment vertical="center" shrinkToFit="1"/>
    </xf>
    <xf numFmtId="195" fontId="48" fillId="11" borderId="63" xfId="0" applyNumberFormat="1" applyFont="1" applyFill="1" applyBorder="1" applyAlignment="1" applyProtection="1">
      <alignment vertical="center" shrinkToFit="1"/>
    </xf>
    <xf numFmtId="0" fontId="157" fillId="0" borderId="1" xfId="0" applyFont="1" applyBorder="1" applyAlignment="1" applyProtection="1">
      <alignment horizontal="center" vertical="center"/>
    </xf>
    <xf numFmtId="0" fontId="150" fillId="0" borderId="1" xfId="0" applyFont="1" applyBorder="1" applyAlignment="1" applyProtection="1">
      <alignment horizontal="center" vertical="center"/>
    </xf>
    <xf numFmtId="196" fontId="47" fillId="9" borderId="1" xfId="0" applyNumberFormat="1" applyFont="1" applyFill="1" applyBorder="1" applyAlignment="1" applyProtection="1">
      <alignment horizontal="right" vertical="center" shrinkToFit="1"/>
      <protection hidden="1"/>
    </xf>
    <xf numFmtId="195" fontId="0" fillId="19" borderId="140" xfId="0" applyNumberFormat="1" applyFill="1" applyBorder="1" applyAlignment="1" applyProtection="1">
      <alignment horizontal="right" vertical="center" shrinkToFit="1"/>
      <protection locked="0"/>
    </xf>
    <xf numFmtId="195" fontId="0" fillId="19" borderId="242" xfId="0" applyNumberFormat="1" applyFill="1" applyBorder="1" applyAlignment="1" applyProtection="1">
      <alignment horizontal="right" vertical="center" shrinkToFit="1"/>
      <protection locked="0"/>
    </xf>
    <xf numFmtId="195" fontId="0" fillId="19" borderId="243" xfId="0" applyNumberFormat="1" applyFill="1" applyBorder="1" applyAlignment="1" applyProtection="1">
      <alignment horizontal="right" vertical="center" shrinkToFit="1"/>
      <protection locked="0"/>
    </xf>
    <xf numFmtId="195" fontId="0" fillId="19" borderId="244" xfId="0" applyNumberFormat="1" applyFill="1" applyBorder="1" applyAlignment="1" applyProtection="1">
      <alignment horizontal="right" vertical="center" shrinkToFit="1"/>
      <protection locked="0"/>
    </xf>
    <xf numFmtId="195" fontId="0" fillId="2" borderId="245" xfId="0" applyNumberFormat="1" applyFill="1" applyBorder="1" applyAlignment="1" applyProtection="1">
      <alignment horizontal="right" vertical="center" shrinkToFit="1"/>
      <protection locked="0"/>
    </xf>
    <xf numFmtId="195" fontId="0" fillId="2" borderId="73" xfId="0" applyNumberFormat="1" applyFill="1" applyBorder="1" applyAlignment="1" applyProtection="1">
      <alignment horizontal="right" vertical="center" shrinkToFit="1"/>
      <protection locked="0"/>
    </xf>
    <xf numFmtId="195" fontId="0" fillId="19" borderId="246" xfId="0" applyNumberFormat="1" applyFill="1" applyBorder="1" applyAlignment="1" applyProtection="1">
      <alignment horizontal="right" vertical="center" shrinkToFit="1"/>
      <protection locked="0"/>
    </xf>
    <xf numFmtId="195" fontId="0" fillId="2" borderId="10" xfId="0" applyNumberFormat="1" applyFill="1" applyBorder="1" applyAlignment="1" applyProtection="1">
      <alignment horizontal="right" vertical="center" shrinkToFit="1"/>
      <protection locked="0"/>
    </xf>
    <xf numFmtId="0" fontId="136" fillId="14" borderId="0" xfId="0" applyFont="1" applyFill="1" applyBorder="1" applyProtection="1">
      <alignment vertical="center"/>
      <protection hidden="1"/>
    </xf>
    <xf numFmtId="0" fontId="136" fillId="14" borderId="0" xfId="0" applyFont="1" applyFill="1" applyProtection="1">
      <alignment vertical="center"/>
      <protection hidden="1"/>
    </xf>
    <xf numFmtId="0" fontId="136" fillId="0" borderId="0" xfId="0" applyFont="1" applyProtection="1">
      <alignment vertical="center"/>
      <protection hidden="1"/>
    </xf>
    <xf numFmtId="0" fontId="158" fillId="17" borderId="0" xfId="3" applyFont="1" applyFill="1" applyBorder="1" applyAlignment="1" applyProtection="1">
      <alignment vertical="center"/>
      <protection hidden="1"/>
    </xf>
    <xf numFmtId="187" fontId="34" fillId="19" borderId="241" xfId="2" applyNumberFormat="1" applyFont="1" applyFill="1" applyBorder="1" applyProtection="1">
      <alignment vertical="center"/>
      <protection locked="0"/>
    </xf>
    <xf numFmtId="0" fontId="159" fillId="0" borderId="63" xfId="0" applyFont="1" applyBorder="1" applyAlignment="1" applyProtection="1">
      <alignment horizontal="center" vertical="center" wrapText="1"/>
    </xf>
    <xf numFmtId="0" fontId="111" fillId="14" borderId="53" xfId="0" applyFont="1" applyFill="1" applyBorder="1" applyProtection="1">
      <alignment vertical="center"/>
      <protection hidden="1"/>
    </xf>
    <xf numFmtId="0" fontId="7" fillId="0" borderId="0" xfId="0" applyFont="1" applyBorder="1" applyAlignment="1" applyProtection="1">
      <alignment horizontal="center" vertical="center"/>
    </xf>
    <xf numFmtId="0" fontId="0" fillId="0" borderId="247" xfId="0" applyBorder="1">
      <alignment vertical="center"/>
    </xf>
    <xf numFmtId="0" fontId="42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60" fillId="0" borderId="1" xfId="0" applyFont="1" applyFill="1" applyBorder="1" applyAlignment="1">
      <alignment horizontal="right" vertical="center"/>
    </xf>
    <xf numFmtId="0" fontId="58" fillId="20" borderId="0" xfId="0" applyFont="1" applyFill="1" applyProtection="1">
      <alignment vertical="center"/>
    </xf>
    <xf numFmtId="0" fontId="58" fillId="20" borderId="0" xfId="0" applyFont="1" applyFill="1" applyBorder="1" applyProtection="1">
      <alignment vertical="center"/>
    </xf>
    <xf numFmtId="0" fontId="7" fillId="0" borderId="12" xfId="0" applyFont="1" applyBorder="1" applyAlignment="1" applyProtection="1">
      <alignment horizontal="right" vertical="center"/>
    </xf>
    <xf numFmtId="177" fontId="58" fillId="20" borderId="12" xfId="0" applyNumberFormat="1" applyFont="1" applyFill="1" applyBorder="1" applyProtection="1">
      <alignment vertical="center"/>
    </xf>
    <xf numFmtId="0" fontId="7" fillId="20" borderId="12" xfId="0" applyFont="1" applyFill="1" applyBorder="1" applyProtection="1">
      <alignment vertical="center"/>
    </xf>
    <xf numFmtId="0" fontId="58" fillId="20" borderId="12" xfId="0" applyFont="1" applyFill="1" applyBorder="1" applyProtection="1">
      <alignment vertical="center"/>
    </xf>
    <xf numFmtId="0" fontId="7" fillId="0" borderId="248" xfId="0" applyFont="1" applyBorder="1" applyAlignment="1" applyProtection="1">
      <alignment horizontal="center" vertical="center"/>
    </xf>
    <xf numFmtId="0" fontId="58" fillId="0" borderId="249" xfId="0" applyFont="1" applyBorder="1" applyAlignment="1" applyProtection="1">
      <alignment horizontal="center" vertical="center"/>
    </xf>
    <xf numFmtId="0" fontId="58" fillId="0" borderId="249" xfId="0" applyFont="1" applyBorder="1" applyAlignment="1" applyProtection="1">
      <alignment horizontal="right" vertical="center"/>
    </xf>
    <xf numFmtId="0" fontId="161" fillId="30" borderId="250" xfId="0" applyFont="1" applyFill="1" applyBorder="1" applyAlignment="1">
      <alignment horizontal="center" vertical="center"/>
    </xf>
    <xf numFmtId="0" fontId="7" fillId="30" borderId="250" xfId="0" applyFont="1" applyFill="1" applyBorder="1" applyAlignment="1" applyProtection="1">
      <alignment horizontal="center" vertical="center"/>
    </xf>
    <xf numFmtId="0" fontId="58" fillId="0" borderId="250" xfId="0" applyFont="1" applyBorder="1" applyProtection="1">
      <alignment vertical="center"/>
    </xf>
    <xf numFmtId="0" fontId="58" fillId="0" borderId="251" xfId="0" applyFont="1" applyBorder="1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19" borderId="1" xfId="0" applyFill="1" applyBorder="1" applyProtection="1">
      <alignment vertical="center"/>
      <protection locked="0"/>
    </xf>
    <xf numFmtId="0" fontId="7" fillId="0" borderId="1" xfId="0" applyFont="1" applyBorder="1" applyProtection="1">
      <alignment vertical="center"/>
    </xf>
    <xf numFmtId="0" fontId="10" fillId="0" borderId="4" xfId="0" applyFont="1" applyBorder="1" applyAlignment="1" applyProtection="1">
      <alignment horizontal="center" vertical="center" wrapText="1"/>
    </xf>
    <xf numFmtId="0" fontId="41" fillId="14" borderId="63" xfId="0" applyFont="1" applyFill="1" applyBorder="1" applyAlignment="1" applyProtection="1">
      <alignment horizontal="center" vertical="center" wrapText="1"/>
    </xf>
    <xf numFmtId="197" fontId="47" fillId="18" borderId="1" xfId="0" applyNumberFormat="1" applyFont="1" applyFill="1" applyBorder="1" applyAlignment="1" applyProtection="1">
      <alignment horizontal="right" vertical="center" shrinkToFit="1"/>
    </xf>
    <xf numFmtId="0" fontId="41" fillId="14" borderId="1" xfId="0" applyFont="1" applyFill="1" applyBorder="1" applyAlignment="1" applyProtection="1">
      <alignment horizontal="center" vertical="center" wrapText="1"/>
    </xf>
    <xf numFmtId="189" fontId="58" fillId="0" borderId="0" xfId="2" applyNumberFormat="1" applyFont="1" applyProtection="1">
      <alignment vertical="center"/>
    </xf>
    <xf numFmtId="0" fontId="1" fillId="4" borderId="25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60" fillId="4" borderId="1" xfId="0" applyFont="1" applyFill="1" applyBorder="1" applyAlignment="1" applyProtection="1">
      <alignment horizontal="center" vertical="center" wrapText="1"/>
    </xf>
    <xf numFmtId="0" fontId="151" fillId="4" borderId="1" xfId="0" applyFont="1" applyFill="1" applyBorder="1" applyAlignment="1" applyProtection="1">
      <alignment horizontal="center" vertical="center" wrapText="1"/>
    </xf>
    <xf numFmtId="0" fontId="60" fillId="0" borderId="1" xfId="0" applyFont="1" applyFill="1" applyBorder="1" applyAlignment="1" applyProtection="1">
      <alignment horizontal="center" vertical="center" wrapText="1"/>
    </xf>
    <xf numFmtId="176" fontId="61" fillId="19" borderId="1" xfId="0" applyNumberFormat="1" applyFont="1" applyFill="1" applyBorder="1" applyAlignment="1" applyProtection="1">
      <alignment horizontal="center" vertical="center" wrapText="1"/>
      <protection locked="0"/>
    </xf>
    <xf numFmtId="176" fontId="61" fillId="0" borderId="1" xfId="0" applyNumberFormat="1" applyFont="1" applyBorder="1" applyAlignment="1" applyProtection="1">
      <alignment horizontal="center" vertical="center" wrapText="1"/>
    </xf>
    <xf numFmtId="190" fontId="62" fillId="0" borderId="1" xfId="0" applyNumberFormat="1" applyFont="1" applyBorder="1" applyProtection="1">
      <alignment vertical="center"/>
    </xf>
    <xf numFmtId="191" fontId="39" fillId="0" borderId="1" xfId="0" applyNumberFormat="1" applyFont="1" applyBorder="1" applyProtection="1">
      <alignment vertical="center"/>
    </xf>
    <xf numFmtId="0" fontId="1" fillId="4" borderId="85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0" fontId="162" fillId="21" borderId="13" xfId="0" applyFont="1" applyFill="1" applyBorder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/>
    </xf>
    <xf numFmtId="0" fontId="21" fillId="20" borderId="143" xfId="0" applyFont="1" applyFill="1" applyBorder="1" applyAlignment="1" applyProtection="1">
      <alignment horizontal="center" vertical="center" shrinkToFit="1"/>
      <protection locked="0"/>
    </xf>
    <xf numFmtId="0" fontId="47" fillId="20" borderId="2" xfId="0" applyFont="1" applyFill="1" applyBorder="1" applyAlignment="1" applyProtection="1">
      <alignment horizontal="center" vertical="center" shrinkToFit="1"/>
      <protection locked="0"/>
    </xf>
    <xf numFmtId="0" fontId="47" fillId="20" borderId="3" xfId="0" applyFont="1" applyFill="1" applyBorder="1" applyAlignment="1" applyProtection="1">
      <alignment horizontal="center" vertical="center" shrinkToFit="1"/>
      <protection locked="0"/>
    </xf>
    <xf numFmtId="194" fontId="47" fillId="2" borderId="4" xfId="0" applyNumberFormat="1" applyFont="1" applyFill="1" applyBorder="1" applyAlignment="1" applyProtection="1">
      <alignment vertical="center" shrinkToFit="1"/>
      <protection locked="0"/>
    </xf>
    <xf numFmtId="176" fontId="151" fillId="0" borderId="21" xfId="0" applyNumberFormat="1" applyFont="1" applyBorder="1" applyAlignment="1" applyProtection="1">
      <alignment horizontal="center" vertical="center" wrapText="1"/>
    </xf>
    <xf numFmtId="176" fontId="151" fillId="0" borderId="22" xfId="0" applyNumberFormat="1" applyFont="1" applyBorder="1" applyAlignment="1" applyProtection="1">
      <alignment horizontal="center" vertical="center" wrapText="1"/>
    </xf>
    <xf numFmtId="176" fontId="151" fillId="7" borderId="21" xfId="0" applyNumberFormat="1" applyFont="1" applyFill="1" applyBorder="1" applyAlignment="1" applyProtection="1">
      <alignment horizontal="center" vertical="center" wrapText="1"/>
    </xf>
    <xf numFmtId="176" fontId="151" fillId="7" borderId="22" xfId="0" applyNumberFormat="1" applyFont="1" applyFill="1" applyBorder="1" applyAlignment="1" applyProtection="1">
      <alignment horizontal="center" vertical="center" wrapText="1"/>
    </xf>
    <xf numFmtId="176" fontId="151" fillId="0" borderId="21" xfId="0" applyNumberFormat="1" applyFont="1" applyFill="1" applyBorder="1" applyAlignment="1" applyProtection="1">
      <alignment horizontal="center" vertical="center" wrapText="1"/>
    </xf>
    <xf numFmtId="176" fontId="151" fillId="0" borderId="22" xfId="0" applyNumberFormat="1" applyFont="1" applyFill="1" applyBorder="1" applyAlignment="1" applyProtection="1">
      <alignment horizontal="center" vertical="center" wrapText="1"/>
    </xf>
    <xf numFmtId="176" fontId="151" fillId="0" borderId="253" xfId="0" applyNumberFormat="1" applyFont="1" applyBorder="1" applyAlignment="1" applyProtection="1">
      <alignment horizontal="center" vertical="center" wrapText="1"/>
    </xf>
    <xf numFmtId="176" fontId="151" fillId="0" borderId="254" xfId="0" applyNumberFormat="1" applyFont="1" applyBorder="1" applyAlignment="1" applyProtection="1">
      <alignment horizontal="center" vertical="center" wrapText="1"/>
    </xf>
    <xf numFmtId="190" fontId="151" fillId="7" borderId="6" xfId="0" applyNumberFormat="1" applyFont="1" applyFill="1" applyBorder="1" applyProtection="1">
      <alignment vertical="center"/>
    </xf>
    <xf numFmtId="191" fontId="151" fillId="7" borderId="6" xfId="0" applyNumberFormat="1" applyFont="1" applyFill="1" applyBorder="1" applyProtection="1">
      <alignment vertical="center"/>
    </xf>
    <xf numFmtId="191" fontId="151" fillId="7" borderId="9" xfId="0" applyNumberFormat="1" applyFont="1" applyFill="1" applyBorder="1" applyProtection="1">
      <alignment vertical="center"/>
    </xf>
    <xf numFmtId="0" fontId="111" fillId="9" borderId="6" xfId="0" applyFont="1" applyFill="1" applyBorder="1" applyAlignment="1" applyProtection="1">
      <alignment vertical="center" shrinkToFit="1"/>
    </xf>
    <xf numFmtId="0" fontId="71" fillId="0" borderId="0" xfId="0" applyFont="1" applyBorder="1" applyAlignment="1" applyProtection="1">
      <alignment horizontal="center" vertical="center"/>
    </xf>
    <xf numFmtId="41" fontId="58" fillId="0" borderId="0" xfId="2" applyNumberFormat="1" applyFont="1" applyBorder="1" applyProtection="1">
      <alignment vertical="center"/>
    </xf>
    <xf numFmtId="187" fontId="58" fillId="0" borderId="0" xfId="2" applyNumberFormat="1" applyFont="1" applyBorder="1" applyProtection="1">
      <alignment vertical="center"/>
    </xf>
    <xf numFmtId="0" fontId="32" fillId="0" borderId="0" xfId="0" applyFont="1" applyBorder="1" applyAlignment="1" applyProtection="1">
      <alignment horizontal="center" vertical="center"/>
    </xf>
    <xf numFmtId="187" fontId="150" fillId="0" borderId="0" xfId="2" applyNumberFormat="1" applyFont="1" applyBorder="1" applyProtection="1">
      <alignment vertical="center"/>
    </xf>
    <xf numFmtId="0" fontId="157" fillId="0" borderId="0" xfId="0" applyFont="1" applyBorder="1" applyAlignment="1" applyProtection="1">
      <alignment horizontal="center" vertical="center"/>
    </xf>
    <xf numFmtId="0" fontId="150" fillId="0" borderId="0" xfId="0" applyFont="1" applyBorder="1" applyAlignment="1" applyProtection="1">
      <alignment horizontal="center" vertical="center"/>
    </xf>
    <xf numFmtId="196" fontId="150" fillId="0" borderId="0" xfId="0" applyNumberFormat="1" applyFont="1" applyBorder="1" applyProtection="1">
      <alignment vertical="center"/>
    </xf>
    <xf numFmtId="0" fontId="150" fillId="0" borderId="0" xfId="0" applyFont="1" applyBorder="1" applyProtection="1">
      <alignment vertical="center"/>
    </xf>
    <xf numFmtId="3" fontId="170" fillId="4" borderId="18" xfId="0" applyNumberFormat="1" applyFont="1" applyFill="1" applyBorder="1" applyAlignment="1" applyProtection="1">
      <alignment horizontal="center" vertical="center" wrapText="1"/>
    </xf>
    <xf numFmtId="3" fontId="170" fillId="8" borderId="24" xfId="0" applyNumberFormat="1" applyFont="1" applyFill="1" applyBorder="1" applyAlignment="1" applyProtection="1">
      <alignment horizontal="center" vertical="center" wrapText="1"/>
    </xf>
    <xf numFmtId="198" fontId="151" fillId="4" borderId="18" xfId="0" applyNumberFormat="1" applyFont="1" applyFill="1" applyBorder="1" applyAlignment="1" applyProtection="1">
      <alignment horizontal="center" vertical="center" wrapText="1"/>
    </xf>
    <xf numFmtId="198" fontId="151" fillId="8" borderId="24" xfId="0" applyNumberFormat="1" applyFont="1" applyFill="1" applyBorder="1" applyAlignment="1" applyProtection="1">
      <alignment horizontal="center" vertical="center" wrapText="1"/>
    </xf>
    <xf numFmtId="198" fontId="151" fillId="4" borderId="24" xfId="0" applyNumberFormat="1" applyFont="1" applyFill="1" applyBorder="1" applyAlignment="1" applyProtection="1">
      <alignment horizontal="center" vertical="center" wrapText="1"/>
    </xf>
    <xf numFmtId="198" fontId="151" fillId="4" borderId="33" xfId="0" applyNumberFormat="1" applyFont="1" applyFill="1" applyBorder="1" applyAlignment="1" applyProtection="1">
      <alignment horizontal="center" vertical="center" wrapText="1"/>
    </xf>
    <xf numFmtId="198" fontId="72" fillId="4" borderId="24" xfId="0" applyNumberFormat="1" applyFont="1" applyFill="1" applyBorder="1" applyAlignment="1" applyProtection="1">
      <alignment horizontal="center" vertical="center" wrapText="1"/>
    </xf>
    <xf numFmtId="3" fontId="170" fillId="4" borderId="24" xfId="0" applyNumberFormat="1" applyFont="1" applyFill="1" applyBorder="1" applyAlignment="1" applyProtection="1">
      <alignment horizontal="center" vertical="center" wrapText="1"/>
    </xf>
    <xf numFmtId="3" fontId="170" fillId="4" borderId="33" xfId="0" applyNumberFormat="1" applyFont="1" applyFill="1" applyBorder="1" applyAlignment="1" applyProtection="1">
      <alignment horizontal="center" vertical="center" wrapText="1"/>
    </xf>
    <xf numFmtId="3" fontId="170" fillId="4" borderId="39" xfId="0" applyNumberFormat="1" applyFont="1" applyFill="1" applyBorder="1" applyAlignment="1" applyProtection="1">
      <alignment horizontal="center" vertical="center" wrapText="1"/>
    </xf>
    <xf numFmtId="3" fontId="170" fillId="4" borderId="1" xfId="0" applyNumberFormat="1" applyFont="1" applyFill="1" applyBorder="1" applyAlignment="1" applyProtection="1">
      <alignment horizontal="center" vertical="center" wrapText="1"/>
    </xf>
    <xf numFmtId="179" fontId="170" fillId="4" borderId="19" xfId="0" applyNumberFormat="1" applyFont="1" applyFill="1" applyBorder="1" applyAlignment="1" applyProtection="1">
      <alignment horizontal="center" vertical="center" wrapText="1"/>
    </xf>
    <xf numFmtId="179" fontId="170" fillId="8" borderId="25" xfId="0" applyNumberFormat="1" applyFont="1" applyFill="1" applyBorder="1" applyAlignment="1" applyProtection="1">
      <alignment horizontal="center" vertical="center" wrapText="1"/>
    </xf>
    <xf numFmtId="179" fontId="60" fillId="4" borderId="25" xfId="0" applyNumberFormat="1" applyFont="1" applyFill="1" applyBorder="1" applyAlignment="1" applyProtection="1">
      <alignment horizontal="center" vertical="center" wrapText="1"/>
    </xf>
    <xf numFmtId="179" fontId="170" fillId="4" borderId="25" xfId="0" applyNumberFormat="1" applyFont="1" applyFill="1" applyBorder="1" applyAlignment="1" applyProtection="1">
      <alignment horizontal="center" vertical="center" wrapText="1"/>
    </xf>
    <xf numFmtId="179" fontId="170" fillId="4" borderId="34" xfId="0" applyNumberFormat="1" applyFont="1" applyFill="1" applyBorder="1" applyAlignment="1" applyProtection="1">
      <alignment horizontal="center" vertical="center" wrapText="1"/>
    </xf>
    <xf numFmtId="179" fontId="170" fillId="4" borderId="40" xfId="0" applyNumberFormat="1" applyFont="1" applyFill="1" applyBorder="1" applyAlignment="1" applyProtection="1">
      <alignment horizontal="center" vertical="center" wrapText="1"/>
    </xf>
    <xf numFmtId="179" fontId="170" fillId="4" borderId="1" xfId="0" applyNumberFormat="1" applyFont="1" applyFill="1" applyBorder="1" applyAlignment="1" applyProtection="1">
      <alignment horizontal="center" vertical="center" wrapText="1"/>
    </xf>
    <xf numFmtId="0" fontId="150" fillId="0" borderId="14" xfId="0" applyFont="1" applyBorder="1" applyProtection="1">
      <alignment vertical="center"/>
    </xf>
    <xf numFmtId="179" fontId="171" fillId="0" borderId="0" xfId="0" applyNumberFormat="1" applyFont="1" applyBorder="1" applyProtection="1">
      <alignment vertical="center"/>
    </xf>
    <xf numFmtId="0" fontId="71" fillId="0" borderId="0" xfId="0" applyFont="1" applyBorder="1" applyAlignment="1" applyProtection="1">
      <alignment horizontal="center" vertical="center"/>
    </xf>
    <xf numFmtId="0" fontId="58" fillId="0" borderId="0" xfId="0" applyFont="1" applyBorder="1" applyAlignment="1" applyProtection="1">
      <alignment horizontal="center" vertical="center"/>
    </xf>
    <xf numFmtId="0" fontId="171" fillId="0" borderId="14" xfId="0" applyFont="1" applyFill="1" applyBorder="1" applyAlignment="1" applyProtection="1">
      <alignment horizontal="right" vertical="center"/>
    </xf>
    <xf numFmtId="0" fontId="171" fillId="0" borderId="14" xfId="0" applyFont="1" applyFill="1" applyBorder="1" applyProtection="1">
      <alignment vertical="center"/>
    </xf>
    <xf numFmtId="178" fontId="150" fillId="0" borderId="16" xfId="0" applyNumberFormat="1" applyFont="1" applyBorder="1" applyProtection="1">
      <alignment vertical="center"/>
    </xf>
    <xf numFmtId="0" fontId="150" fillId="0" borderId="52" xfId="0" applyFont="1" applyBorder="1" applyProtection="1">
      <alignment vertical="center"/>
    </xf>
    <xf numFmtId="187" fontId="67" fillId="11" borderId="79" xfId="0" applyNumberFormat="1" applyFont="1" applyFill="1" applyBorder="1" applyProtection="1">
      <alignment vertical="center"/>
    </xf>
    <xf numFmtId="0" fontId="159" fillId="0" borderId="144" xfId="0" applyFont="1" applyBorder="1" applyAlignment="1" applyProtection="1">
      <alignment horizontal="center" vertical="center" wrapText="1"/>
    </xf>
    <xf numFmtId="187" fontId="34" fillId="19" borderId="239" xfId="2" applyNumberFormat="1" applyFont="1" applyFill="1" applyBorder="1" applyProtection="1">
      <alignment vertical="center"/>
      <protection locked="0"/>
    </xf>
    <xf numFmtId="183" fontId="34" fillId="0" borderId="169" xfId="1" applyNumberFormat="1" applyFont="1" applyFill="1" applyBorder="1" applyProtection="1">
      <alignment vertical="center"/>
    </xf>
    <xf numFmtId="0" fontId="113" fillId="9" borderId="144" xfId="0" applyFont="1" applyFill="1" applyBorder="1" applyProtection="1">
      <alignment vertical="center"/>
    </xf>
    <xf numFmtId="177" fontId="113" fillId="9" borderId="171" xfId="0" applyNumberFormat="1" applyFont="1" applyFill="1" applyBorder="1" applyProtection="1">
      <alignment vertical="center"/>
    </xf>
    <xf numFmtId="178" fontId="111" fillId="9" borderId="172" xfId="0" applyNumberFormat="1" applyFont="1" applyFill="1" applyBorder="1" applyProtection="1">
      <alignment vertical="center"/>
    </xf>
    <xf numFmtId="0" fontId="0" fillId="14" borderId="0" xfId="0" applyFont="1" applyFill="1" applyBorder="1" applyProtection="1">
      <alignment vertical="center"/>
    </xf>
    <xf numFmtId="0" fontId="0" fillId="14" borderId="273" xfId="0" applyFont="1" applyFill="1" applyBorder="1" applyProtection="1">
      <alignment vertical="center"/>
    </xf>
    <xf numFmtId="0" fontId="0" fillId="14" borderId="274" xfId="0" applyFont="1" applyFill="1" applyBorder="1" applyProtection="1">
      <alignment vertical="center"/>
    </xf>
    <xf numFmtId="187" fontId="67" fillId="11" borderId="228" xfId="0" applyNumberFormat="1" applyFont="1" applyFill="1" applyBorder="1" applyProtection="1">
      <alignment vertical="center"/>
    </xf>
    <xf numFmtId="0" fontId="68" fillId="14" borderId="168" xfId="0" applyFont="1" applyFill="1" applyBorder="1" applyProtection="1">
      <alignment vertical="center"/>
    </xf>
    <xf numFmtId="0" fontId="68" fillId="14" borderId="0" xfId="0" applyFont="1" applyFill="1" applyBorder="1" applyProtection="1">
      <alignment vertical="center"/>
    </xf>
    <xf numFmtId="0" fontId="68" fillId="14" borderId="72" xfId="0" applyFont="1" applyFill="1" applyBorder="1" applyProtection="1">
      <alignment vertical="center"/>
    </xf>
    <xf numFmtId="0" fontId="138" fillId="0" borderId="63" xfId="0" applyFont="1" applyBorder="1" applyAlignment="1" applyProtection="1">
      <alignment horizontal="center" vertical="center" wrapText="1"/>
      <protection hidden="1"/>
    </xf>
    <xf numFmtId="0" fontId="113" fillId="9" borderId="77" xfId="0" applyFont="1" applyFill="1" applyBorder="1" applyAlignment="1" applyProtection="1">
      <alignment horizontal="right" vertical="center" shrinkToFit="1"/>
      <protection hidden="1"/>
    </xf>
    <xf numFmtId="0" fontId="113" fillId="9" borderId="63" xfId="0" applyFont="1" applyFill="1" applyBorder="1" applyAlignment="1" applyProtection="1">
      <alignment vertical="center" shrinkToFit="1"/>
      <protection hidden="1"/>
    </xf>
    <xf numFmtId="0" fontId="0" fillId="14" borderId="15" xfId="0" applyFill="1" applyBorder="1" applyProtection="1">
      <alignment vertical="center"/>
      <protection hidden="1"/>
    </xf>
    <xf numFmtId="0" fontId="0" fillId="14" borderId="30" xfId="0" applyFill="1" applyBorder="1" applyProtection="1">
      <alignment vertical="center"/>
      <protection hidden="1"/>
    </xf>
    <xf numFmtId="177" fontId="58" fillId="18" borderId="31" xfId="0" applyNumberFormat="1" applyFont="1" applyFill="1" applyBorder="1" applyAlignment="1" applyProtection="1">
      <alignment horizontal="left" vertical="center"/>
    </xf>
    <xf numFmtId="0" fontId="7" fillId="0" borderId="15" xfId="0" applyFont="1" applyBorder="1" applyProtection="1">
      <alignment vertical="center"/>
    </xf>
    <xf numFmtId="0" fontId="150" fillId="0" borderId="16" xfId="0" applyFont="1" applyBorder="1" applyProtection="1">
      <alignment vertical="center"/>
    </xf>
    <xf numFmtId="179" fontId="171" fillId="0" borderId="29" xfId="0" applyNumberFormat="1" applyFont="1" applyBorder="1" applyProtection="1">
      <alignment vertical="center"/>
    </xf>
    <xf numFmtId="0" fontId="171" fillId="0" borderId="28" xfId="0" applyFont="1" applyFill="1" applyBorder="1" applyAlignment="1" applyProtection="1">
      <alignment horizontal="right" vertical="center"/>
    </xf>
    <xf numFmtId="0" fontId="171" fillId="0" borderId="28" xfId="0" applyFont="1" applyFill="1" applyBorder="1" applyProtection="1">
      <alignment vertical="center"/>
    </xf>
    <xf numFmtId="178" fontId="150" fillId="0" borderId="30" xfId="0" applyNumberFormat="1" applyFont="1" applyBorder="1" applyProtection="1">
      <alignment vertical="center"/>
    </xf>
    <xf numFmtId="0" fontId="150" fillId="0" borderId="53" xfId="0" applyFont="1" applyBorder="1" applyProtection="1">
      <alignment vertical="center"/>
    </xf>
    <xf numFmtId="0" fontId="150" fillId="0" borderId="28" xfId="0" applyFont="1" applyBorder="1" applyProtection="1">
      <alignment vertical="center"/>
    </xf>
    <xf numFmtId="0" fontId="171" fillId="0" borderId="29" xfId="0" applyFont="1" applyBorder="1" applyAlignment="1" applyProtection="1">
      <alignment horizontal="right" vertical="center"/>
    </xf>
    <xf numFmtId="0" fontId="0" fillId="31" borderId="248" xfId="0" applyFill="1" applyBorder="1" applyAlignment="1" applyProtection="1">
      <alignment horizontal="center" vertical="center"/>
      <protection hidden="1"/>
    </xf>
    <xf numFmtId="0" fontId="0" fillId="31" borderId="12" xfId="0" applyFill="1" applyBorder="1" applyAlignment="1" applyProtection="1">
      <alignment horizontal="center" vertical="center"/>
      <protection hidden="1"/>
    </xf>
    <xf numFmtId="0" fontId="0" fillId="31" borderId="54" xfId="0" applyFill="1" applyBorder="1" applyAlignment="1" applyProtection="1">
      <alignment horizontal="center" vertical="center"/>
      <protection hidden="1"/>
    </xf>
    <xf numFmtId="0" fontId="112" fillId="14" borderId="0" xfId="3" applyFill="1" applyBorder="1" applyAlignment="1" applyProtection="1">
      <alignment horizontal="left" vertical="center"/>
      <protection hidden="1"/>
    </xf>
    <xf numFmtId="0" fontId="111" fillId="14" borderId="255" xfId="0" applyFont="1" applyFill="1" applyBorder="1" applyAlignment="1" applyProtection="1">
      <alignment horizontal="center" vertical="center" textRotation="255" shrinkToFit="1"/>
      <protection hidden="1"/>
    </xf>
    <xf numFmtId="0" fontId="163" fillId="14" borderId="51" xfId="0" applyFont="1" applyFill="1" applyBorder="1" applyAlignment="1" applyProtection="1">
      <alignment vertical="center" wrapText="1"/>
      <protection hidden="1"/>
    </xf>
    <xf numFmtId="0" fontId="164" fillId="14" borderId="27" xfId="0" applyFont="1" applyFill="1" applyBorder="1" applyAlignment="1" applyProtection="1">
      <alignment vertical="center" wrapText="1"/>
      <protection hidden="1"/>
    </xf>
    <xf numFmtId="0" fontId="164" fillId="14" borderId="27" xfId="0" applyFont="1" applyFill="1" applyBorder="1" applyAlignment="1" applyProtection="1">
      <alignment vertical="center"/>
      <protection hidden="1"/>
    </xf>
    <xf numFmtId="0" fontId="164" fillId="14" borderId="15" xfId="0" applyFont="1" applyFill="1" applyBorder="1" applyAlignment="1" applyProtection="1">
      <alignment vertical="center"/>
      <protection hidden="1"/>
    </xf>
    <xf numFmtId="0" fontId="165" fillId="14" borderId="53" xfId="0" applyFont="1" applyFill="1" applyBorder="1" applyAlignment="1" applyProtection="1">
      <alignment horizontal="center" vertical="center" wrapText="1"/>
      <protection hidden="1"/>
    </xf>
    <xf numFmtId="0" fontId="165" fillId="14" borderId="29" xfId="0" applyFont="1" applyFill="1" applyBorder="1" applyAlignment="1" applyProtection="1">
      <alignment horizontal="center" vertical="center" wrapText="1"/>
      <protection hidden="1"/>
    </xf>
    <xf numFmtId="0" fontId="165" fillId="14" borderId="30" xfId="0" applyFont="1" applyFill="1" applyBorder="1" applyAlignment="1" applyProtection="1">
      <alignment horizontal="center" vertical="center" wrapText="1"/>
      <protection hidden="1"/>
    </xf>
    <xf numFmtId="0" fontId="166" fillId="31" borderId="51" xfId="0" applyFont="1" applyFill="1" applyBorder="1" applyAlignment="1" applyProtection="1">
      <alignment horizontal="center" vertical="center" wrapText="1"/>
      <protection hidden="1"/>
    </xf>
    <xf numFmtId="0" fontId="166" fillId="31" borderId="27" xfId="0" applyFont="1" applyFill="1" applyBorder="1" applyAlignment="1" applyProtection="1">
      <alignment horizontal="center" vertical="center" wrapText="1"/>
      <protection hidden="1"/>
    </xf>
    <xf numFmtId="0" fontId="166" fillId="31" borderId="15" xfId="0" applyFont="1" applyFill="1" applyBorder="1" applyAlignment="1" applyProtection="1">
      <alignment horizontal="center" vertical="center" wrapText="1"/>
      <protection hidden="1"/>
    </xf>
    <xf numFmtId="0" fontId="23" fillId="14" borderId="255" xfId="0" applyFont="1" applyFill="1" applyBorder="1" applyAlignment="1" applyProtection="1">
      <alignment horizontal="center" vertical="center" textRotation="255"/>
      <protection hidden="1"/>
    </xf>
    <xf numFmtId="0" fontId="36" fillId="14" borderId="255" xfId="0" applyFont="1" applyFill="1" applyBorder="1" applyAlignment="1" applyProtection="1">
      <alignment horizontal="center" vertical="center" textRotation="255"/>
      <protection hidden="1"/>
    </xf>
    <xf numFmtId="0" fontId="36" fillId="14" borderId="15" xfId="0" applyFont="1" applyFill="1" applyBorder="1" applyAlignment="1" applyProtection="1">
      <alignment horizontal="center" vertical="center"/>
    </xf>
    <xf numFmtId="0" fontId="36" fillId="14" borderId="16" xfId="0" applyFont="1" applyFill="1" applyBorder="1" applyAlignment="1" applyProtection="1">
      <alignment horizontal="center" vertical="center"/>
    </xf>
    <xf numFmtId="0" fontId="38" fillId="14" borderId="256" xfId="0" applyFont="1" applyFill="1" applyBorder="1" applyAlignment="1" applyProtection="1">
      <alignment horizontal="center" vertical="center"/>
    </xf>
    <xf numFmtId="0" fontId="38" fillId="14" borderId="88" xfId="0" applyFont="1" applyFill="1" applyBorder="1" applyAlignment="1" applyProtection="1">
      <alignment horizontal="center" vertical="center"/>
    </xf>
    <xf numFmtId="0" fontId="38" fillId="14" borderId="257" xfId="0" applyFont="1" applyFill="1" applyBorder="1" applyAlignment="1" applyProtection="1">
      <alignment horizontal="center" vertical="center"/>
    </xf>
    <xf numFmtId="0" fontId="0" fillId="14" borderId="4" xfId="0" applyFont="1" applyFill="1" applyBorder="1" applyAlignment="1" applyProtection="1">
      <alignment horizontal="center" vertical="center" shrinkToFit="1"/>
    </xf>
    <xf numFmtId="0" fontId="0" fillId="14" borderId="48" xfId="0" applyFont="1" applyFill="1" applyBorder="1" applyAlignment="1" applyProtection="1">
      <alignment horizontal="center" vertical="center" shrinkToFit="1"/>
    </xf>
    <xf numFmtId="0" fontId="63" fillId="14" borderId="0" xfId="0" applyFont="1" applyFill="1" applyAlignment="1" applyProtection="1">
      <alignment horizontal="left" vertical="center"/>
    </xf>
    <xf numFmtId="0" fontId="38" fillId="14" borderId="80" xfId="0" applyFont="1" applyFill="1" applyBorder="1" applyAlignment="1" applyProtection="1">
      <alignment horizontal="center" vertical="center"/>
    </xf>
    <xf numFmtId="0" fontId="38" fillId="14" borderId="81" xfId="0" applyFont="1" applyFill="1" applyBorder="1" applyAlignment="1" applyProtection="1">
      <alignment horizontal="center" vertical="center"/>
    </xf>
    <xf numFmtId="0" fontId="38" fillId="14" borderId="83" xfId="0" applyFont="1" applyFill="1" applyBorder="1" applyAlignment="1" applyProtection="1">
      <alignment horizontal="center" vertical="center"/>
    </xf>
    <xf numFmtId="0" fontId="38" fillId="14" borderId="85" xfId="0" applyFont="1" applyFill="1" applyBorder="1" applyAlignment="1" applyProtection="1">
      <alignment horizontal="center" vertical="center"/>
    </xf>
    <xf numFmtId="0" fontId="38" fillId="14" borderId="1" xfId="0" applyFont="1" applyFill="1" applyBorder="1" applyAlignment="1" applyProtection="1">
      <alignment horizontal="center" vertical="center"/>
    </xf>
    <xf numFmtId="0" fontId="38" fillId="14" borderId="6" xfId="0" applyFont="1" applyFill="1" applyBorder="1" applyAlignment="1" applyProtection="1">
      <alignment horizontal="center" vertical="center"/>
    </xf>
    <xf numFmtId="0" fontId="38" fillId="14" borderId="87" xfId="0" applyFont="1" applyFill="1" applyBorder="1" applyAlignment="1" applyProtection="1">
      <alignment horizontal="center" vertical="center"/>
    </xf>
    <xf numFmtId="0" fontId="38" fillId="14" borderId="36" xfId="0" applyFont="1" applyFill="1" applyBorder="1" applyAlignment="1" applyProtection="1">
      <alignment horizontal="center" vertical="center"/>
    </xf>
    <xf numFmtId="0" fontId="38" fillId="14" borderId="37" xfId="0" applyFont="1" applyFill="1" applyBorder="1" applyAlignment="1" applyProtection="1">
      <alignment horizontal="center" vertical="center"/>
    </xf>
    <xf numFmtId="0" fontId="64" fillId="14" borderId="248" xfId="0" applyFont="1" applyFill="1" applyBorder="1" applyAlignment="1" applyProtection="1">
      <alignment horizontal="center" vertical="center" shrinkToFit="1"/>
    </xf>
    <xf numFmtId="0" fontId="64" fillId="14" borderId="12" xfId="0" applyFont="1" applyFill="1" applyBorder="1" applyAlignment="1" applyProtection="1">
      <alignment horizontal="center" vertical="center" shrinkToFit="1"/>
    </xf>
    <xf numFmtId="0" fontId="0" fillId="14" borderId="84" xfId="0" applyFill="1" applyBorder="1" applyAlignment="1" applyProtection="1">
      <alignment horizontal="center" vertical="center" wrapText="1" shrinkToFit="1"/>
    </xf>
    <xf numFmtId="0" fontId="0" fillId="14" borderId="86" xfId="0" applyFill="1" applyBorder="1" applyAlignment="1" applyProtection="1">
      <alignment horizontal="center" vertical="center" wrapText="1" shrinkToFit="1"/>
    </xf>
    <xf numFmtId="0" fontId="0" fillId="14" borderId="126" xfId="0" applyFill="1" applyBorder="1" applyAlignment="1" applyProtection="1">
      <alignment horizontal="center" vertical="center" wrapText="1" shrinkToFit="1"/>
    </xf>
    <xf numFmtId="0" fontId="0" fillId="14" borderId="80" xfId="0" applyFill="1" applyBorder="1" applyAlignment="1" applyProtection="1">
      <alignment horizontal="center" vertical="center" wrapText="1" shrinkToFit="1"/>
    </xf>
    <xf numFmtId="0" fontId="0" fillId="14" borderId="85" xfId="0" applyFill="1" applyBorder="1" applyAlignment="1" applyProtection="1">
      <alignment horizontal="center" vertical="center" wrapText="1" shrinkToFit="1"/>
    </xf>
    <xf numFmtId="0" fontId="0" fillId="14" borderId="87" xfId="0" applyFill="1" applyBorder="1" applyAlignment="1" applyProtection="1">
      <alignment horizontal="center" vertical="center" wrapText="1" shrinkToFit="1"/>
    </xf>
    <xf numFmtId="0" fontId="36" fillId="14" borderId="83" xfId="0" applyFont="1" applyFill="1" applyBorder="1" applyAlignment="1" applyProtection="1">
      <alignment horizontal="center" vertical="center" shrinkToFit="1"/>
    </xf>
    <xf numFmtId="0" fontId="36" fillId="14" borderId="88" xfId="0" applyFont="1" applyFill="1" applyBorder="1" applyAlignment="1" applyProtection="1">
      <alignment horizontal="center" vertical="center" shrinkToFit="1"/>
    </xf>
    <xf numFmtId="0" fontId="74" fillId="14" borderId="83" xfId="0" applyFont="1" applyFill="1" applyBorder="1" applyAlignment="1" applyProtection="1">
      <alignment horizontal="center" vertical="center" shrinkToFit="1"/>
    </xf>
    <xf numFmtId="0" fontId="74" fillId="14" borderId="88" xfId="0" applyFont="1" applyFill="1" applyBorder="1" applyAlignment="1" applyProtection="1">
      <alignment horizontal="center" vertical="center" shrinkToFit="1"/>
    </xf>
    <xf numFmtId="0" fontId="0" fillId="14" borderId="5" xfId="0" applyFill="1" applyBorder="1" applyAlignment="1" applyProtection="1">
      <alignment horizontal="center" vertical="center" shrinkToFit="1"/>
    </xf>
    <xf numFmtId="0" fontId="0" fillId="14" borderId="5" xfId="0" applyFont="1" applyFill="1" applyBorder="1" applyAlignment="1" applyProtection="1">
      <alignment horizontal="center" vertical="center" shrinkToFit="1"/>
    </xf>
    <xf numFmtId="0" fontId="21" fillId="0" borderId="1" xfId="0" applyFont="1" applyBorder="1" applyAlignment="1" applyProtection="1">
      <alignment horizontal="center" vertical="center" wrapText="1"/>
    </xf>
    <xf numFmtId="0" fontId="38" fillId="0" borderId="6" xfId="0" applyFont="1" applyBorder="1" applyAlignment="1" applyProtection="1">
      <alignment horizontal="center" vertical="center" shrinkToFit="1"/>
    </xf>
    <xf numFmtId="0" fontId="38" fillId="0" borderId="60" xfId="0" applyFont="1" applyBorder="1" applyAlignment="1" applyProtection="1">
      <alignment horizontal="center" vertical="center" shrinkToFit="1"/>
    </xf>
    <xf numFmtId="0" fontId="38" fillId="0" borderId="5" xfId="0" applyFont="1" applyBorder="1" applyAlignment="1" applyProtection="1">
      <alignment horizontal="center" vertical="center" shrinkToFit="1"/>
    </xf>
    <xf numFmtId="0" fontId="47" fillId="0" borderId="1" xfId="0" applyFont="1" applyBorder="1" applyAlignment="1" applyProtection="1">
      <alignment horizontal="center" vertical="center"/>
    </xf>
    <xf numFmtId="0" fontId="21" fillId="0" borderId="1" xfId="0" applyFont="1" applyBorder="1" applyAlignment="1" applyProtection="1">
      <alignment horizontal="center" vertical="center"/>
    </xf>
    <xf numFmtId="0" fontId="47" fillId="0" borderId="60" xfId="0" applyFont="1" applyBorder="1" applyAlignment="1" applyProtection="1">
      <alignment horizontal="center" vertical="center"/>
    </xf>
    <xf numFmtId="0" fontId="47" fillId="0" borderId="5" xfId="0" applyFont="1" applyBorder="1" applyAlignment="1" applyProtection="1">
      <alignment horizontal="center" vertical="center"/>
    </xf>
    <xf numFmtId="0" fontId="41" fillId="0" borderId="6" xfId="0" applyFont="1" applyBorder="1" applyAlignment="1" applyProtection="1">
      <alignment horizontal="center" vertical="center"/>
    </xf>
    <xf numFmtId="0" fontId="41" fillId="0" borderId="60" xfId="0" applyFont="1" applyBorder="1" applyAlignment="1" applyProtection="1">
      <alignment horizontal="center" vertical="center"/>
    </xf>
    <xf numFmtId="0" fontId="41" fillId="0" borderId="5" xfId="0" applyFont="1" applyBorder="1" applyAlignment="1" applyProtection="1">
      <alignment horizontal="center" vertical="center"/>
    </xf>
    <xf numFmtId="0" fontId="41" fillId="14" borderId="60" xfId="0" applyFont="1" applyFill="1" applyBorder="1" applyAlignment="1" applyProtection="1">
      <alignment horizontal="center" vertical="center"/>
    </xf>
    <xf numFmtId="0" fontId="47" fillId="0" borderId="6" xfId="0" applyFont="1" applyBorder="1" applyAlignment="1" applyProtection="1">
      <alignment horizontal="center" vertical="center"/>
    </xf>
    <xf numFmtId="180" fontId="75" fillId="3" borderId="1" xfId="0" applyNumberFormat="1" applyFont="1" applyFill="1" applyBorder="1" applyAlignment="1">
      <alignment horizontal="right" vertical="center"/>
    </xf>
    <xf numFmtId="180" fontId="64" fillId="0" borderId="1" xfId="0" applyNumberFormat="1" applyFont="1" applyFill="1" applyBorder="1" applyAlignment="1">
      <alignment horizontal="left" vertical="center"/>
    </xf>
    <xf numFmtId="0" fontId="38" fillId="0" borderId="119" xfId="0" applyFont="1" applyBorder="1" applyAlignment="1" applyProtection="1">
      <alignment horizontal="center" vertical="center" shrinkToFit="1"/>
    </xf>
    <xf numFmtId="0" fontId="38" fillId="0" borderId="125" xfId="0" applyFont="1" applyBorder="1" applyAlignment="1" applyProtection="1">
      <alignment horizontal="center" vertical="center" shrinkToFit="1"/>
    </xf>
    <xf numFmtId="0" fontId="4" fillId="0" borderId="6" xfId="0" applyFont="1" applyFill="1" applyBorder="1" applyAlignment="1" applyProtection="1">
      <alignment horizontal="center" vertical="center"/>
    </xf>
    <xf numFmtId="0" fontId="43" fillId="0" borderId="60" xfId="0" applyFont="1" applyFill="1" applyBorder="1" applyAlignment="1" applyProtection="1">
      <alignment horizontal="center" vertical="center"/>
    </xf>
    <xf numFmtId="0" fontId="43" fillId="0" borderId="5" xfId="0" applyFont="1" applyFill="1" applyBorder="1" applyAlignment="1" applyProtection="1">
      <alignment horizontal="center" vertical="center"/>
    </xf>
    <xf numFmtId="0" fontId="47" fillId="0" borderId="119" xfId="0" applyFont="1" applyBorder="1" applyAlignment="1" applyProtection="1">
      <alignment horizontal="center" vertical="center"/>
    </xf>
    <xf numFmtId="0" fontId="47" fillId="0" borderId="125" xfId="0" applyFont="1" applyBorder="1" applyAlignment="1" applyProtection="1">
      <alignment horizontal="center" vertical="center"/>
    </xf>
    <xf numFmtId="0" fontId="47" fillId="0" borderId="57" xfId="0" applyFont="1" applyBorder="1" applyAlignment="1" applyProtection="1">
      <alignment horizontal="center" vertical="center"/>
    </xf>
    <xf numFmtId="0" fontId="47" fillId="0" borderId="59" xfId="0" applyFont="1" applyBorder="1" applyAlignment="1" applyProtection="1">
      <alignment horizontal="center" vertical="center"/>
    </xf>
    <xf numFmtId="0" fontId="120" fillId="0" borderId="104" xfId="0" applyFont="1" applyBorder="1" applyAlignment="1" applyProtection="1">
      <alignment horizontal="center" vertical="center" wrapText="1"/>
    </xf>
    <xf numFmtId="0" fontId="120" fillId="0" borderId="258" xfId="0" applyFont="1" applyBorder="1" applyAlignment="1" applyProtection="1">
      <alignment horizontal="center" vertical="center"/>
    </xf>
    <xf numFmtId="0" fontId="120" fillId="0" borderId="259" xfId="0" applyFont="1" applyBorder="1" applyAlignment="1" applyProtection="1">
      <alignment horizontal="center" vertical="center"/>
    </xf>
    <xf numFmtId="0" fontId="120" fillId="0" borderId="258" xfId="0" applyFont="1" applyBorder="1" applyAlignment="1" applyProtection="1">
      <alignment horizontal="center" vertical="center" wrapText="1"/>
    </xf>
    <xf numFmtId="0" fontId="120" fillId="0" borderId="259" xfId="0" applyFont="1" applyBorder="1" applyAlignment="1" applyProtection="1">
      <alignment horizontal="center" vertical="center" wrapText="1"/>
    </xf>
    <xf numFmtId="0" fontId="167" fillId="0" borderId="1" xfId="0" applyFont="1" applyBorder="1" applyAlignment="1" applyProtection="1">
      <alignment horizontal="center" vertical="center" wrapText="1"/>
    </xf>
    <xf numFmtId="0" fontId="167" fillId="0" borderId="1" xfId="0" applyFont="1" applyBorder="1" applyAlignment="1" applyProtection="1">
      <alignment horizontal="center" vertical="center"/>
    </xf>
    <xf numFmtId="0" fontId="167" fillId="0" borderId="74" xfId="0" applyFont="1" applyBorder="1" applyAlignment="1" applyProtection="1">
      <alignment horizontal="center" vertical="center"/>
    </xf>
    <xf numFmtId="0" fontId="64" fillId="0" borderId="60" xfId="0" applyFont="1" applyBorder="1" applyAlignment="1" applyProtection="1">
      <alignment horizontal="center" vertical="center" wrapText="1"/>
    </xf>
    <xf numFmtId="0" fontId="64" fillId="0" borderId="60" xfId="0" applyFont="1" applyBorder="1" applyAlignment="1" applyProtection="1">
      <alignment horizontal="center" vertical="center"/>
    </xf>
    <xf numFmtId="0" fontId="64" fillId="0" borderId="75" xfId="0" applyFont="1" applyBorder="1" applyAlignment="1" applyProtection="1">
      <alignment horizontal="center" vertical="center"/>
    </xf>
    <xf numFmtId="0" fontId="64" fillId="0" borderId="94" xfId="0" applyFont="1" applyBorder="1" applyAlignment="1" applyProtection="1">
      <alignment horizontal="center" vertical="center" wrapText="1"/>
    </xf>
    <xf numFmtId="0" fontId="64" fillId="0" borderId="75" xfId="0" applyFont="1" applyBorder="1" applyAlignment="1" applyProtection="1">
      <alignment horizontal="center" vertical="center" wrapText="1"/>
    </xf>
    <xf numFmtId="0" fontId="167" fillId="0" borderId="94" xfId="0" applyFont="1" applyBorder="1" applyAlignment="1" applyProtection="1">
      <alignment horizontal="center" vertical="center"/>
    </xf>
    <xf numFmtId="0" fontId="167" fillId="0" borderId="60" xfId="0" applyFont="1" applyBorder="1" applyAlignment="1" applyProtection="1">
      <alignment horizontal="center" vertical="center"/>
    </xf>
    <xf numFmtId="0" fontId="167" fillId="0" borderId="7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60" xfId="0" applyFont="1" applyBorder="1" applyAlignment="1" applyProtection="1">
      <alignment horizontal="center" vertical="center" wrapText="1"/>
    </xf>
    <xf numFmtId="0" fontId="4" fillId="0" borderId="75" xfId="0" applyFont="1" applyBorder="1" applyAlignment="1" applyProtection="1">
      <alignment horizontal="center" vertical="center" wrapText="1"/>
    </xf>
    <xf numFmtId="0" fontId="120" fillId="0" borderId="94" xfId="0" applyFont="1" applyBorder="1" applyAlignment="1" applyProtection="1">
      <alignment horizontal="center" vertical="center" wrapText="1"/>
    </xf>
    <xf numFmtId="0" fontId="120" fillId="0" borderId="60" xfId="0" applyFont="1" applyBorder="1" applyAlignment="1" applyProtection="1">
      <alignment horizontal="center" vertical="center" wrapText="1"/>
    </xf>
    <xf numFmtId="0" fontId="120" fillId="0" borderId="75" xfId="0" applyFont="1" applyBorder="1" applyAlignment="1" applyProtection="1">
      <alignment horizontal="center" vertical="center" wrapText="1"/>
    </xf>
    <xf numFmtId="0" fontId="120" fillId="0" borderId="60" xfId="0" applyFont="1" applyBorder="1" applyAlignment="1" applyProtection="1">
      <alignment horizontal="center" vertical="center"/>
    </xf>
    <xf numFmtId="0" fontId="120" fillId="0" borderId="75" xfId="0" applyFont="1" applyBorder="1" applyAlignment="1" applyProtection="1">
      <alignment horizontal="center" vertical="center"/>
    </xf>
    <xf numFmtId="180" fontId="75" fillId="3" borderId="1" xfId="0" applyNumberFormat="1" applyFont="1" applyFill="1" applyBorder="1" applyAlignment="1" applyProtection="1">
      <alignment horizontal="right" vertical="center"/>
    </xf>
    <xf numFmtId="180" fontId="64" fillId="0" borderId="1" xfId="0" applyNumberFormat="1" applyFont="1" applyFill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60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90" xfId="0" applyBorder="1" applyAlignment="1" applyProtection="1">
      <alignment horizontal="center" vertical="center"/>
    </xf>
    <xf numFmtId="0" fontId="4" fillId="0" borderId="94" xfId="0" applyFont="1" applyBorder="1" applyAlignment="1" applyProtection="1">
      <alignment horizontal="center" vertical="center"/>
    </xf>
    <xf numFmtId="0" fontId="43" fillId="0" borderId="60" xfId="0" applyFont="1" applyBorder="1" applyAlignment="1" applyProtection="1">
      <alignment horizontal="center" vertical="center"/>
    </xf>
    <xf numFmtId="0" fontId="43" fillId="0" borderId="75" xfId="0" applyFont="1" applyBorder="1" applyAlignment="1" applyProtection="1">
      <alignment horizontal="center" vertical="center"/>
    </xf>
    <xf numFmtId="0" fontId="40" fillId="12" borderId="119" xfId="0" applyFont="1" applyFill="1" applyBorder="1" applyAlignment="1" applyProtection="1">
      <alignment horizontal="center" vertical="center" wrapText="1"/>
    </xf>
    <xf numFmtId="0" fontId="40" fillId="12" borderId="260" xfId="0" applyFont="1" applyFill="1" applyBorder="1" applyAlignment="1" applyProtection="1">
      <alignment horizontal="center" vertical="center" wrapText="1"/>
    </xf>
    <xf numFmtId="0" fontId="25" fillId="14" borderId="261" xfId="0" applyFont="1" applyFill="1" applyBorder="1" applyAlignment="1" applyProtection="1">
      <alignment horizontal="center" vertical="center" wrapText="1"/>
    </xf>
    <xf numFmtId="0" fontId="25" fillId="14" borderId="262" xfId="0" applyFont="1" applyFill="1" applyBorder="1" applyAlignment="1" applyProtection="1">
      <alignment horizontal="center" vertical="center" wrapText="1"/>
    </xf>
    <xf numFmtId="0" fontId="4" fillId="0" borderId="264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center" vertical="center"/>
    </xf>
    <xf numFmtId="0" fontId="43" fillId="0" borderId="27" xfId="0" applyFont="1" applyBorder="1" applyAlignment="1" applyProtection="1">
      <alignment horizontal="center" vertical="center"/>
    </xf>
    <xf numFmtId="0" fontId="43" fillId="0" borderId="15" xfId="0" applyFont="1" applyBorder="1" applyAlignment="1" applyProtection="1">
      <alignment horizontal="center" vertical="center"/>
    </xf>
    <xf numFmtId="0" fontId="0" fillId="0" borderId="124" xfId="0" applyFont="1" applyBorder="1" applyAlignment="1" applyProtection="1">
      <alignment horizontal="center" vertical="center"/>
    </xf>
    <xf numFmtId="0" fontId="0" fillId="0" borderId="128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43" fillId="0" borderId="27" xfId="0" applyFont="1" applyFill="1" applyBorder="1" applyAlignment="1" applyProtection="1">
      <alignment horizontal="center" vertical="center"/>
    </xf>
    <xf numFmtId="0" fontId="36" fillId="0" borderId="124" xfId="0" applyFont="1" applyBorder="1" applyAlignment="1" applyProtection="1">
      <alignment horizontal="center" vertical="center"/>
    </xf>
    <xf numFmtId="0" fontId="36" fillId="0" borderId="125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center" vertical="center"/>
    </xf>
    <xf numFmtId="0" fontId="0" fillId="0" borderId="178" xfId="0" applyFont="1" applyBorder="1" applyAlignment="1" applyProtection="1">
      <alignment horizontal="center" vertical="center"/>
    </xf>
    <xf numFmtId="0" fontId="0" fillId="0" borderId="52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65" xfId="0" applyFont="1" applyBorder="1" applyAlignment="1" applyProtection="1">
      <alignment horizontal="center" vertical="center"/>
    </xf>
    <xf numFmtId="0" fontId="0" fillId="0" borderId="59" xfId="0" applyFont="1" applyBorder="1" applyAlignment="1" applyProtection="1">
      <alignment horizontal="center" vertical="center"/>
    </xf>
    <xf numFmtId="0" fontId="43" fillId="0" borderId="44" xfId="0" applyFont="1" applyFill="1" applyBorder="1" applyAlignment="1" applyProtection="1">
      <alignment horizontal="center" vertical="center"/>
    </xf>
    <xf numFmtId="0" fontId="43" fillId="0" borderId="263" xfId="0" applyFont="1" applyFill="1" applyBorder="1" applyAlignment="1" applyProtection="1">
      <alignment horizontal="center" vertical="center"/>
    </xf>
    <xf numFmtId="0" fontId="46" fillId="0" borderId="94" xfId="0" applyFont="1" applyBorder="1" applyAlignment="1" applyProtection="1">
      <alignment horizontal="center" vertical="center"/>
    </xf>
    <xf numFmtId="0" fontId="46" fillId="0" borderId="60" xfId="0" applyFont="1" applyBorder="1" applyAlignment="1" applyProtection="1">
      <alignment horizontal="center" vertical="center"/>
    </xf>
    <xf numFmtId="0" fontId="46" fillId="0" borderId="5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60" xfId="0" applyFont="1" applyBorder="1" applyAlignment="1" applyProtection="1">
      <alignment horizontal="center" vertical="center"/>
    </xf>
    <xf numFmtId="0" fontId="45" fillId="0" borderId="1" xfId="0" applyFont="1" applyBorder="1" applyAlignment="1" applyProtection="1">
      <alignment horizontal="left" vertical="center"/>
    </xf>
    <xf numFmtId="0" fontId="52" fillId="0" borderId="6" xfId="0" applyFont="1" applyBorder="1" applyAlignment="1" applyProtection="1">
      <alignment horizontal="center" vertical="center"/>
    </xf>
    <xf numFmtId="0" fontId="52" fillId="0" borderId="266" xfId="0" applyFont="1" applyBorder="1" applyAlignment="1" applyProtection="1">
      <alignment horizontal="center" vertical="center"/>
    </xf>
    <xf numFmtId="0" fontId="51" fillId="0" borderId="119" xfId="0" applyFont="1" applyBorder="1" applyAlignment="1" applyProtection="1">
      <alignment horizontal="center" vertical="center"/>
    </xf>
    <xf numFmtId="0" fontId="51" fillId="0" borderId="125" xfId="0" applyFont="1" applyBorder="1" applyAlignment="1" applyProtection="1">
      <alignment horizontal="center" vertical="center"/>
    </xf>
    <xf numFmtId="0" fontId="51" fillId="0" borderId="168" xfId="0" applyFont="1" applyBorder="1" applyAlignment="1" applyProtection="1">
      <alignment horizontal="center" vertical="center"/>
    </xf>
    <xf numFmtId="0" fontId="51" fillId="0" borderId="72" xfId="0" applyFont="1" applyBorder="1" applyAlignment="1" applyProtection="1">
      <alignment horizontal="center" vertical="center"/>
    </xf>
    <xf numFmtId="0" fontId="51" fillId="0" borderId="57" xfId="0" applyFont="1" applyBorder="1" applyAlignment="1" applyProtection="1">
      <alignment horizontal="center" vertical="center"/>
    </xf>
    <xf numFmtId="0" fontId="51" fillId="0" borderId="59" xfId="0" applyFont="1" applyBorder="1" applyAlignment="1" applyProtection="1">
      <alignment horizontal="center" vertical="center"/>
    </xf>
    <xf numFmtId="0" fontId="23" fillId="0" borderId="6" xfId="0" applyFont="1" applyBorder="1" applyAlignment="1" applyProtection="1">
      <alignment horizontal="center" vertical="center"/>
    </xf>
    <xf numFmtId="0" fontId="36" fillId="0" borderId="5" xfId="0" applyFont="1" applyBorder="1" applyAlignment="1" applyProtection="1">
      <alignment horizontal="center" vertical="center"/>
    </xf>
    <xf numFmtId="0" fontId="46" fillId="0" borderId="6" xfId="0" applyFont="1" applyBorder="1" applyAlignment="1" applyProtection="1">
      <alignment horizontal="center" vertical="center"/>
    </xf>
    <xf numFmtId="0" fontId="46" fillId="0" borderId="266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41" fillId="0" borderId="266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74" xfId="0" applyFont="1" applyBorder="1" applyAlignment="1" applyProtection="1">
      <alignment horizontal="center" vertical="center"/>
    </xf>
    <xf numFmtId="0" fontId="36" fillId="0" borderId="6" xfId="0" applyFont="1" applyBorder="1" applyAlignment="1" applyProtection="1">
      <alignment horizontal="center" vertical="center"/>
    </xf>
    <xf numFmtId="0" fontId="47" fillId="0" borderId="6" xfId="0" applyFont="1" applyBorder="1" applyAlignment="1" applyProtection="1">
      <alignment horizontal="center" vertical="center" shrinkToFit="1"/>
    </xf>
    <xf numFmtId="0" fontId="71" fillId="0" borderId="0" xfId="0" applyFont="1" applyBorder="1" applyAlignment="1" applyProtection="1">
      <alignment horizontal="center" vertical="center"/>
    </xf>
    <xf numFmtId="0" fontId="58" fillId="0" borderId="0" xfId="0" applyFont="1" applyBorder="1" applyAlignment="1" applyProtection="1">
      <alignment horizontal="center" vertical="center"/>
    </xf>
    <xf numFmtId="0" fontId="71" fillId="0" borderId="6" xfId="0" applyFont="1" applyBorder="1" applyAlignment="1" applyProtection="1">
      <alignment horizontal="center" vertical="center"/>
    </xf>
    <xf numFmtId="0" fontId="71" fillId="0" borderId="60" xfId="0" applyFont="1" applyBorder="1" applyAlignment="1" applyProtection="1">
      <alignment horizontal="center" vertical="center"/>
    </xf>
    <xf numFmtId="0" fontId="71" fillId="0" borderId="5" xfId="0" applyFont="1" applyBorder="1" applyAlignment="1" applyProtection="1">
      <alignment horizontal="center" vertical="center"/>
    </xf>
    <xf numFmtId="0" fontId="58" fillId="0" borderId="4" xfId="0" applyFont="1" applyBorder="1" applyAlignment="1" applyProtection="1">
      <alignment horizontal="center" vertical="center"/>
    </xf>
    <xf numFmtId="0" fontId="58" fillId="0" borderId="90" xfId="0" applyFont="1" applyBorder="1" applyAlignment="1" applyProtection="1">
      <alignment horizontal="center" vertical="center"/>
    </xf>
    <xf numFmtId="0" fontId="58" fillId="0" borderId="6" xfId="0" applyFont="1" applyBorder="1" applyAlignment="1" applyProtection="1">
      <alignment horizontal="center" vertical="center"/>
    </xf>
    <xf numFmtId="0" fontId="58" fillId="0" borderId="5" xfId="0" applyFont="1" applyBorder="1" applyAlignment="1" applyProtection="1">
      <alignment horizontal="center" vertical="center"/>
    </xf>
    <xf numFmtId="0" fontId="58" fillId="14" borderId="1" xfId="0" applyFont="1" applyFill="1" applyBorder="1" applyAlignment="1" applyProtection="1">
      <alignment horizontal="center" vertical="center" wrapText="1"/>
    </xf>
    <xf numFmtId="0" fontId="7" fillId="0" borderId="125" xfId="0" applyFont="1" applyBorder="1" applyAlignment="1" applyProtection="1">
      <alignment horizontal="center" vertical="center" wrapText="1"/>
    </xf>
    <xf numFmtId="0" fontId="58" fillId="0" borderId="59" xfId="0" applyFont="1" applyBorder="1" applyAlignment="1" applyProtection="1">
      <alignment horizontal="center" vertical="center" wrapText="1"/>
    </xf>
    <xf numFmtId="0" fontId="130" fillId="21" borderId="177" xfId="0" applyFont="1" applyFill="1" applyBorder="1" applyAlignment="1" applyProtection="1">
      <alignment horizontal="center" vertical="center"/>
    </xf>
    <xf numFmtId="0" fontId="130" fillId="21" borderId="89" xfId="0" applyFont="1" applyFill="1" applyBorder="1" applyAlignment="1" applyProtection="1">
      <alignment horizontal="center" vertical="center"/>
    </xf>
    <xf numFmtId="0" fontId="58" fillId="0" borderId="4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/>
    </xf>
    <xf numFmtId="0" fontId="58" fillId="0" borderId="0" xfId="0" applyFont="1" applyBorder="1" applyAlignment="1" applyProtection="1">
      <alignment horizontal="center" vertical="center" wrapText="1"/>
    </xf>
    <xf numFmtId="0" fontId="168" fillId="0" borderId="0" xfId="0" applyFont="1" applyBorder="1" applyAlignment="1" applyProtection="1">
      <alignment horizontal="left" vertical="center"/>
    </xf>
    <xf numFmtId="0" fontId="169" fillId="32" borderId="0" xfId="0" applyFont="1" applyFill="1" applyAlignment="1" applyProtection="1">
      <alignment horizontal="left" vertical="center"/>
    </xf>
    <xf numFmtId="0" fontId="110" fillId="21" borderId="44" xfId="0" applyFont="1" applyFill="1" applyBorder="1" applyAlignment="1" applyProtection="1">
      <alignment horizontal="center" vertical="center" wrapText="1"/>
    </xf>
    <xf numFmtId="0" fontId="110" fillId="21" borderId="27" xfId="0" applyFont="1" applyFill="1" applyBorder="1" applyAlignment="1" applyProtection="1">
      <alignment horizontal="center" vertical="center" wrapText="1"/>
    </xf>
    <xf numFmtId="0" fontId="110" fillId="21" borderId="178" xfId="0" applyFont="1" applyFill="1" applyBorder="1" applyAlignment="1" applyProtection="1">
      <alignment horizontal="center" vertical="center" wrapText="1"/>
    </xf>
    <xf numFmtId="0" fontId="71" fillId="0" borderId="4" xfId="0" applyFont="1" applyBorder="1" applyAlignment="1" applyProtection="1">
      <alignment horizontal="center" vertical="center"/>
    </xf>
    <xf numFmtId="0" fontId="71" fillId="0" borderId="90" xfId="0" applyFont="1" applyBorder="1" applyAlignment="1" applyProtection="1">
      <alignment horizontal="center" vertical="center"/>
    </xf>
    <xf numFmtId="0" fontId="110" fillId="21" borderId="15" xfId="0" applyFont="1" applyFill="1" applyBorder="1" applyAlignment="1" applyProtection="1">
      <alignment horizontal="center" vertical="center" wrapText="1"/>
    </xf>
    <xf numFmtId="0" fontId="132" fillId="26" borderId="268" xfId="0" applyFont="1" applyFill="1" applyBorder="1" applyAlignment="1" applyProtection="1">
      <alignment horizontal="center" vertical="center" wrapText="1"/>
    </xf>
    <xf numFmtId="0" fontId="132" fillId="26" borderId="269" xfId="0" applyFont="1" applyFill="1" applyBorder="1" applyAlignment="1" applyProtection="1">
      <alignment horizontal="center" vertical="center" wrapText="1"/>
    </xf>
    <xf numFmtId="0" fontId="132" fillId="26" borderId="40" xfId="0" applyFont="1" applyFill="1" applyBorder="1" applyAlignment="1" applyProtection="1">
      <alignment horizontal="center" vertical="center" wrapText="1"/>
    </xf>
    <xf numFmtId="0" fontId="132" fillId="26" borderId="270" xfId="0" applyFont="1" applyFill="1" applyBorder="1" applyAlignment="1" applyProtection="1">
      <alignment horizontal="center" vertical="center" wrapText="1"/>
    </xf>
    <xf numFmtId="0" fontId="110" fillId="21" borderId="81" xfId="0" applyFont="1" applyFill="1" applyBorder="1" applyAlignment="1" applyProtection="1">
      <alignment horizontal="center" vertical="center" wrapText="1"/>
    </xf>
    <xf numFmtId="0" fontId="110" fillId="21" borderId="1" xfId="0" applyFont="1" applyFill="1" applyBorder="1" applyAlignment="1" applyProtection="1">
      <alignment horizontal="center" vertical="center"/>
    </xf>
    <xf numFmtId="0" fontId="132" fillId="21" borderId="41" xfId="0" applyFont="1" applyFill="1" applyBorder="1" applyAlignment="1" applyProtection="1">
      <alignment horizontal="center" vertical="center" wrapText="1"/>
    </xf>
    <xf numFmtId="0" fontId="132" fillId="21" borderId="271" xfId="0" applyFont="1" applyFill="1" applyBorder="1" applyAlignment="1" applyProtection="1">
      <alignment horizontal="center" vertical="center" wrapText="1"/>
    </xf>
    <xf numFmtId="0" fontId="132" fillId="21" borderId="39" xfId="0" applyFont="1" applyFill="1" applyBorder="1" applyAlignment="1" applyProtection="1">
      <alignment horizontal="center" vertical="center" wrapText="1"/>
    </xf>
    <xf numFmtId="0" fontId="132" fillId="21" borderId="267" xfId="0" applyFont="1" applyFill="1" applyBorder="1" applyAlignment="1" applyProtection="1">
      <alignment horizontal="center" vertical="center" wrapText="1"/>
    </xf>
    <xf numFmtId="0" fontId="132" fillId="26" borderId="252" xfId="0" applyFont="1" applyFill="1" applyBorder="1" applyAlignment="1" applyProtection="1">
      <alignment horizontal="center" vertical="center" wrapText="1"/>
    </xf>
    <xf numFmtId="0" fontId="132" fillId="26" borderId="272" xfId="0" applyFont="1" applyFill="1" applyBorder="1" applyAlignment="1" applyProtection="1">
      <alignment horizontal="center" vertical="center" wrapText="1"/>
    </xf>
    <xf numFmtId="0" fontId="132" fillId="26" borderId="39" xfId="0" applyFont="1" applyFill="1" applyBorder="1" applyAlignment="1" applyProtection="1">
      <alignment horizontal="center" vertical="center" wrapText="1"/>
    </xf>
    <xf numFmtId="0" fontId="132" fillId="26" borderId="267" xfId="0" applyFont="1" applyFill="1" applyBorder="1" applyAlignment="1" applyProtection="1">
      <alignment horizontal="center" vertical="center" wrapText="1"/>
    </xf>
    <xf numFmtId="0" fontId="168" fillId="0" borderId="29" xfId="0" applyFont="1" applyBorder="1" applyAlignment="1" applyProtection="1">
      <alignment horizontal="center" vertical="center"/>
    </xf>
    <xf numFmtId="0" fontId="168" fillId="0" borderId="29" xfId="0" applyFont="1" applyBorder="1" applyAlignment="1" applyProtection="1">
      <alignment horizontal="left" vertical="center"/>
    </xf>
    <xf numFmtId="185" fontId="111" fillId="9" borderId="163" xfId="0" applyNumberFormat="1" applyFont="1" applyFill="1" applyBorder="1" applyAlignment="1" applyProtection="1">
      <alignment vertical="center" shrinkToFit="1"/>
      <protection hidden="1"/>
    </xf>
    <xf numFmtId="185" fontId="111" fillId="9" borderId="167" xfId="0" applyNumberFormat="1" applyFont="1" applyFill="1" applyBorder="1" applyAlignment="1" applyProtection="1">
      <alignment vertical="center" shrinkToFit="1"/>
      <protection hidden="1"/>
    </xf>
    <xf numFmtId="185" fontId="111" fillId="9" borderId="172" xfId="0" applyNumberFormat="1" applyFont="1" applyFill="1" applyBorder="1" applyAlignment="1" applyProtection="1">
      <alignment vertical="center" shrinkToFit="1"/>
      <protection hidden="1"/>
    </xf>
    <xf numFmtId="205" fontId="0" fillId="0" borderId="0" xfId="0" applyNumberFormat="1" applyFill="1" applyProtection="1">
      <alignment vertical="center"/>
    </xf>
    <xf numFmtId="0" fontId="7" fillId="0" borderId="0" xfId="0" applyFont="1" applyFill="1" applyBorder="1" applyAlignment="1" applyProtection="1">
      <alignment horizontal="right" vertical="center" shrinkToFit="1"/>
    </xf>
    <xf numFmtId="0" fontId="7" fillId="0" borderId="0" xfId="0" applyFont="1" applyFill="1" applyBorder="1" applyAlignment="1" applyProtection="1">
      <alignment horizontal="right" vertical="center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25">
    <dxf>
      <font>
        <b val="0"/>
        <i/>
        <color rgb="FFFF0000"/>
      </font>
    </dxf>
    <dxf>
      <font>
        <b val="0"/>
        <i/>
        <color rgb="FFFF0000"/>
      </font>
    </dxf>
    <dxf>
      <border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solid">
          <fgColor indexed="64"/>
          <bgColor theme="0"/>
        </patternFill>
      </fill>
      <border>
        <left/>
        <right/>
        <top style="thin">
          <color indexed="64"/>
        </top>
        <bottom/>
      </border>
    </dxf>
    <dxf>
      <font>
        <b val="0"/>
        <i/>
        <color rgb="FFFF0000"/>
      </font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34998626667073579"/>
      </font>
      <fill>
        <patternFill>
          <bgColor theme="1" tint="0.34998626667073579"/>
        </patternFill>
      </fill>
      <border>
        <top style="thin">
          <color theme="1" tint="0.34998626667073579"/>
        </top>
        <bottom style="thin">
          <color theme="1" tint="0.34998626667073579"/>
        </bottom>
      </border>
    </dxf>
    <dxf>
      <font>
        <color theme="1" tint="0.24994659260841701"/>
      </font>
      <fill>
        <patternFill>
          <bgColor theme="1" tint="0.24994659260841701"/>
        </patternFill>
      </fill>
      <border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/>
        <color rgb="FFFF0000"/>
      </font>
    </dxf>
    <dxf>
      <fill>
        <patternFill>
          <bgColor rgb="FFFFFF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theme="0"/>
        </patternFill>
      </fill>
      <border>
        <left/>
        <right/>
        <bottom/>
      </border>
    </dxf>
    <dxf>
      <font>
        <b/>
        <i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noThreeD="1" sel="0" val="0"/>
</file>

<file path=xl/ctrlProps/ctrlProp2.xml><?xml version="1.0" encoding="utf-8"?>
<formControlPr xmlns="http://schemas.microsoft.com/office/spreadsheetml/2009/9/main" objectType="Drop" dropLines="4" dropStyle="combo" dx="22" fmlaLink="$C$5" fmlaRange="Unit10" noThreeD="1" sel="4" val="0"/>
</file>

<file path=xl/ctrlProps/ctrlProp3.xml><?xml version="1.0" encoding="utf-8"?>
<formControlPr xmlns="http://schemas.microsoft.com/office/spreadsheetml/2009/9/main" objectType="Drop" dropLines="3" dropStyle="combo" dx="22" fmlaLink="$C$9" fmlaRange="Unit13" noThreeD="1" sel="1" val="0"/>
</file>

<file path=xl/ctrlProps/ctrlProp4.xml><?xml version="1.0" encoding="utf-8"?>
<formControlPr xmlns="http://schemas.microsoft.com/office/spreadsheetml/2009/9/main" objectType="Drop" dropLines="3" dropStyle="combo" dx="22" fmlaLink="$C$7" fmlaRange="Unit13" noThreeD="1" sel="1" val="0"/>
</file>

<file path=xl/ctrlProps/ctrlProp5.xml><?xml version="1.0" encoding="utf-8"?>
<formControlPr xmlns="http://schemas.microsoft.com/office/spreadsheetml/2009/9/main" objectType="Drop" dropLines="3" dropStyle="combo" dx="22" fmlaLink="$C$8" fmlaRange="Unit13" noThreeD="1" sel="1" val="0"/>
</file>

<file path=xl/ctrlProps/ctrlProp6.xml><?xml version="1.0" encoding="utf-8"?>
<formControlPr xmlns="http://schemas.microsoft.com/office/spreadsheetml/2009/9/main" objectType="Drop" dropLines="4" dropStyle="combo" dx="22" fmlaLink="$C$6" fmlaRange="Unit14" sel="1" val="0"/>
</file>

<file path=xl/ctrlProps/ctrlProp7.xml><?xml version="1.0" encoding="utf-8"?>
<formControlPr xmlns="http://schemas.microsoft.com/office/spreadsheetml/2009/9/main" objectType="Drop" dropLines="2" dropStyle="combo" dx="22" fmlaLink="$C$9" fmlaRange="Unit3" noThreeD="1" sel="2" val="0"/>
</file>

<file path=xl/ctrlProps/ctrlProp8.xml><?xml version="1.0" encoding="utf-8"?>
<formControlPr xmlns="http://schemas.microsoft.com/office/spreadsheetml/2009/9/main" objectType="Drop" dropLines="5" dropStyle="combo" dx="22" fmlaLink="$C$10" fmlaRange="Unit4" noThreeD="1" sel="3" val="0"/>
</file>

<file path=xl/ctrlProps/ctrlProp9.xml><?xml version="1.0" encoding="utf-8"?>
<formControlPr xmlns="http://schemas.microsoft.com/office/spreadsheetml/2009/9/main" objectType="Drop" dropLines="2" dropStyle="combo" dx="22" fmlaLink="$C$11" fmlaRange="Unit2" noThreeD="1" sel="1" val="0"/>
</file>

<file path=xl/ctrlProps/ctrlProp10.xml><?xml version="1.0" encoding="utf-8"?>
<formControlPr xmlns="http://schemas.microsoft.com/office/spreadsheetml/2009/9/main" objectType="Drop" dropLines="2" dropStyle="combo" dx="22" fmlaLink="$C$5" fmlaRange="Unit7" noThreeD="1" sel="1" val="0"/>
</file>

<file path=xl/ctrlProps/ctrlProp11.xml><?xml version="1.0" encoding="utf-8"?>
<formControlPr xmlns="http://schemas.microsoft.com/office/spreadsheetml/2009/9/main" objectType="Drop" dropLines="2" dropStyle="combo" dx="22" fmlaLink="$C$5" fmlaRange="Unit3" noThreeD="1" sel="2" val="0"/>
</file>

<file path=xl/ctrlProps/ctrlProp12.xml><?xml version="1.0" encoding="utf-8"?>
<formControlPr xmlns="http://schemas.microsoft.com/office/spreadsheetml/2009/9/main" objectType="Drop" dropLines="6" dropStyle="combo" dx="22" fmlaLink="$C$6" fmlaRange="Unit6" noThreeD="1" sel="3" val="0"/>
</file>

<file path=xl/ctrlProps/ctrlProp13.xml><?xml version="1.0" encoding="utf-8"?>
<formControlPr xmlns="http://schemas.microsoft.com/office/spreadsheetml/2009/9/main" objectType="Drop" dropLines="6" dropStyle="combo" dx="22" fmlaLink="$C$7" fmlaRange="Unit5" noThreeD="1" sel="1" val="0"/>
</file>

<file path=xl/ctrlProps/ctrlProp14.xml><?xml version="1.0" encoding="utf-8"?>
<formControlPr xmlns="http://schemas.microsoft.com/office/spreadsheetml/2009/9/main" objectType="Drop" dropLines="4" dropStyle="combo" dx="22" fmlaLink="$C$5" fmlaRange="Unit8" noThreeD="1" sel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keco.or.kr/01kr/business/climate/01/01/index05.j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58208</xdr:colOff>
      <xdr:row>41</xdr:row>
      <xdr:rowOff>103716</xdr:rowOff>
    </xdr:from>
    <xdr:to>
      <xdr:col>5</xdr:col>
      <xdr:colOff>819149</xdr:colOff>
      <xdr:row>43</xdr:row>
      <xdr:rowOff>103716</xdr:rowOff>
    </xdr:to>
    <xdr:pic>
      <xdr:nvPicPr>
        <xdr:cNvPr id="10571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1208" y="7448549"/>
          <a:ext cx="1702858" cy="486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800100</xdr:colOff>
          <xdr:row>27</xdr:row>
          <xdr:rowOff>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</xdr:row>
          <xdr:rowOff>9525</xdr:rowOff>
        </xdr:from>
        <xdr:to>
          <xdr:col>3</xdr:col>
          <xdr:colOff>266700</xdr:colOff>
          <xdr:row>4</xdr:row>
          <xdr:rowOff>295275</xdr:rowOff>
        </xdr:to>
        <xdr:sp macro="" textlink="">
          <xdr:nvSpPr>
            <xdr:cNvPr id="7173" name="Drop Down 5" descr="단위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9525</xdr:rowOff>
        </xdr:from>
        <xdr:to>
          <xdr:col>3</xdr:col>
          <xdr:colOff>257175</xdr:colOff>
          <xdr:row>9</xdr:row>
          <xdr:rowOff>0</xdr:rowOff>
        </xdr:to>
        <xdr:sp macro="" textlink="">
          <xdr:nvSpPr>
            <xdr:cNvPr id="7213" name="Drop Down 45" descr="단위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2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28575</xdr:rowOff>
        </xdr:from>
        <xdr:to>
          <xdr:col>3</xdr:col>
          <xdr:colOff>257175</xdr:colOff>
          <xdr:row>7</xdr:row>
          <xdr:rowOff>19050</xdr:rowOff>
        </xdr:to>
        <xdr:sp macro="" textlink="">
          <xdr:nvSpPr>
            <xdr:cNvPr id="7249" name="Drop Down 81" descr="단위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2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9525</xdr:rowOff>
        </xdr:from>
        <xdr:to>
          <xdr:col>3</xdr:col>
          <xdr:colOff>257175</xdr:colOff>
          <xdr:row>8</xdr:row>
          <xdr:rowOff>0</xdr:rowOff>
        </xdr:to>
        <xdr:sp macro="" textlink="">
          <xdr:nvSpPr>
            <xdr:cNvPr id="7250" name="Drop Down 82" descr="단위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19050</xdr:rowOff>
        </xdr:from>
        <xdr:to>
          <xdr:col>3</xdr:col>
          <xdr:colOff>257175</xdr:colOff>
          <xdr:row>6</xdr:row>
          <xdr:rowOff>9525</xdr:rowOff>
        </xdr:to>
        <xdr:sp macro="" textlink="">
          <xdr:nvSpPr>
            <xdr:cNvPr id="7251" name="Drop Down 83" descr="단위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295275</xdr:rowOff>
        </xdr:from>
        <xdr:to>
          <xdr:col>2</xdr:col>
          <xdr:colOff>1076325</xdr:colOff>
          <xdr:row>9</xdr:row>
          <xdr:rowOff>9525</xdr:rowOff>
        </xdr:to>
        <xdr:sp macro="" textlink="">
          <xdr:nvSpPr>
            <xdr:cNvPr id="1032" name="Drop Down 8" descr="단위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304800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058" name="Drop Down 34" descr="단위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4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304800</xdr:rowOff>
        </xdr:from>
        <xdr:to>
          <xdr:col>3</xdr:col>
          <xdr:colOff>742950</xdr:colOff>
          <xdr:row>11</xdr:row>
          <xdr:rowOff>0</xdr:rowOff>
        </xdr:to>
        <xdr:sp macro="" textlink="">
          <xdr:nvSpPr>
            <xdr:cNvPr id="12568" name="Drop Down 1304" descr="단위" hidden="1">
              <a:extLst>
                <a:ext uri="{63B3BB69-23CF-44E3-9099-C40C66FF867C}">
                  <a14:compatExt spid="_x0000_s12568"/>
                </a:ext>
                <a:ext uri="{FF2B5EF4-FFF2-40B4-BE49-F238E27FC236}">
                  <a16:creationId xmlns:a16="http://schemas.microsoft.com/office/drawing/2014/main" id="{00000000-0008-0000-0400-0000183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9525</xdr:colOff>
          <xdr:row>5</xdr:row>
          <xdr:rowOff>0</xdr:rowOff>
        </xdr:to>
        <xdr:sp macro="" textlink="">
          <xdr:nvSpPr>
            <xdr:cNvPr id="4097" name="Drop Down 1" descr="단위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2</xdr:col>
          <xdr:colOff>1514475</xdr:colOff>
          <xdr:row>4</xdr:row>
          <xdr:rowOff>295275</xdr:rowOff>
        </xdr:to>
        <xdr:sp macro="" textlink="">
          <xdr:nvSpPr>
            <xdr:cNvPr id="3083" name="Drop Down 11" descr="단위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6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2</xdr:col>
          <xdr:colOff>1514475</xdr:colOff>
          <xdr:row>5</xdr:row>
          <xdr:rowOff>295275</xdr:rowOff>
        </xdr:to>
        <xdr:sp macro="" textlink="">
          <xdr:nvSpPr>
            <xdr:cNvPr id="3084" name="Drop Down 12" descr="단위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6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9525</xdr:rowOff>
        </xdr:from>
        <xdr:to>
          <xdr:col>2</xdr:col>
          <xdr:colOff>1514475</xdr:colOff>
          <xdr:row>6</xdr:row>
          <xdr:rowOff>295275</xdr:rowOff>
        </xdr:to>
        <xdr:sp macro="" textlink="">
          <xdr:nvSpPr>
            <xdr:cNvPr id="3085" name="Drop Down 13" descr="단위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6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2</xdr:col>
          <xdr:colOff>1524000</xdr:colOff>
          <xdr:row>5</xdr:row>
          <xdr:rowOff>9525</xdr:rowOff>
        </xdr:to>
        <xdr:sp macro="" textlink="">
          <xdr:nvSpPr>
            <xdr:cNvPr id="8193" name="Drop Down 1" descr="단위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eco.or.kr/01kr/business/climate/01/06/index01.jsp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omments" Target="../comments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  <pageSetUpPr fitToPage="1"/>
  </sheetPr>
  <dimension ref="A1:P63"/>
  <sheetViews>
    <sheetView topLeftCell="A25" zoomScale="90" zoomScaleNormal="90" workbookViewId="0">
      <selection activeCell="M56" sqref="M56"/>
    </sheetView>
  </sheetViews>
  <sheetFormatPr defaultColWidth="0" defaultRowHeight="21" customHeight="1" zeroHeight="1" x14ac:dyDescent="0.3"/>
  <cols>
    <col min="1" max="1" width="4.25" style="539" customWidth="1"/>
    <col min="2" max="2" width="3.875" style="539" customWidth="1"/>
    <col min="3" max="3" width="11.125" style="539" customWidth="1"/>
    <col min="4" max="6" width="12.375" style="539" customWidth="1"/>
    <col min="7" max="10" width="12.375" style="385" customWidth="1"/>
    <col min="11" max="11" width="15.75" style="385" customWidth="1"/>
    <col min="12" max="12" width="9.125" style="385" customWidth="1"/>
    <col min="13" max="13" width="14.75" style="385" customWidth="1"/>
    <col min="14" max="14" width="14.625" style="385" customWidth="1"/>
    <col min="15" max="15" width="4.25" style="385" customWidth="1"/>
    <col min="16" max="16" width="2.5" style="385" customWidth="1"/>
    <col min="17" max="16384" width="9" style="385" hidden="1"/>
  </cols>
  <sheetData>
    <row r="1" spans="1:16" ht="18" thickBot="1" x14ac:dyDescent="0.35">
      <c r="A1" s="691" t="s">
        <v>755</v>
      </c>
      <c r="B1" s="537"/>
      <c r="C1" s="537"/>
      <c r="D1" s="537"/>
      <c r="E1" s="537"/>
      <c r="F1" s="537"/>
      <c r="G1" s="687"/>
      <c r="H1" s="687"/>
      <c r="I1" s="687"/>
      <c r="J1" s="687"/>
      <c r="K1" s="687"/>
      <c r="L1" s="687"/>
      <c r="M1" s="687"/>
      <c r="N1" s="687"/>
      <c r="O1" s="688"/>
    </row>
    <row r="2" spans="1:16" ht="6" customHeight="1" thickBot="1" x14ac:dyDescent="0.35">
      <c r="A2" s="1018"/>
      <c r="B2" s="1019"/>
      <c r="C2" s="1019"/>
      <c r="D2" s="1019"/>
      <c r="E2" s="1019"/>
      <c r="F2" s="1019"/>
      <c r="G2" s="1019"/>
      <c r="H2" s="1019"/>
      <c r="I2" s="1019"/>
      <c r="J2" s="1019"/>
      <c r="K2" s="1019"/>
      <c r="L2" s="1019"/>
      <c r="M2" s="1019"/>
      <c r="N2" s="1019"/>
      <c r="O2" s="1020"/>
      <c r="P2" s="539"/>
    </row>
    <row r="3" spans="1:16" ht="25.5" x14ac:dyDescent="0.3">
      <c r="A3" s="1023" t="s">
        <v>616</v>
      </c>
      <c r="B3" s="1024"/>
      <c r="C3" s="1025"/>
      <c r="D3" s="1025"/>
      <c r="E3" s="1025"/>
      <c r="F3" s="1025"/>
      <c r="G3" s="1025"/>
      <c r="H3" s="1025"/>
      <c r="I3" s="1025"/>
      <c r="J3" s="1025"/>
      <c r="K3" s="1025"/>
      <c r="L3" s="1025"/>
      <c r="M3" s="1025"/>
      <c r="N3" s="1025"/>
      <c r="O3" s="1026"/>
      <c r="P3" s="539"/>
    </row>
    <row r="4" spans="1:16" ht="32.25" thickBot="1" x14ac:dyDescent="0.35">
      <c r="A4" s="1027" t="s">
        <v>615</v>
      </c>
      <c r="B4" s="1028"/>
      <c r="C4" s="1028"/>
      <c r="D4" s="1028"/>
      <c r="E4" s="1028"/>
      <c r="F4" s="1028"/>
      <c r="G4" s="1028"/>
      <c r="H4" s="1028"/>
      <c r="I4" s="1028"/>
      <c r="J4" s="1028"/>
      <c r="K4" s="1028"/>
      <c r="L4" s="1028"/>
      <c r="M4" s="1028"/>
      <c r="N4" s="1028"/>
      <c r="O4" s="1029"/>
      <c r="P4" s="539"/>
    </row>
    <row r="5" spans="1:16" ht="6.75" customHeight="1" x14ac:dyDescent="0.3">
      <c r="A5" s="1030"/>
      <c r="B5" s="1031"/>
      <c r="C5" s="1031"/>
      <c r="D5" s="1031"/>
      <c r="E5" s="1031"/>
      <c r="F5" s="1031"/>
      <c r="G5" s="1031"/>
      <c r="H5" s="1031"/>
      <c r="I5" s="1031"/>
      <c r="J5" s="1031"/>
      <c r="K5" s="1031"/>
      <c r="L5" s="1031"/>
      <c r="M5" s="1031"/>
      <c r="N5" s="1031"/>
      <c r="O5" s="1032"/>
      <c r="P5" s="539"/>
    </row>
    <row r="6" spans="1:16" ht="12.75" customHeight="1" x14ac:dyDescent="0.3">
      <c r="A6" s="530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2"/>
      <c r="P6" s="539"/>
    </row>
    <row r="7" spans="1:16" ht="20.25" x14ac:dyDescent="0.3">
      <c r="A7" s="561" t="s">
        <v>599</v>
      </c>
      <c r="B7" s="534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2"/>
      <c r="P7" s="539"/>
    </row>
    <row r="8" spans="1:16" ht="16.5" customHeight="1" x14ac:dyDescent="0.3">
      <c r="A8" s="561"/>
      <c r="B8" s="531" t="s">
        <v>618</v>
      </c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2"/>
      <c r="P8" s="539"/>
    </row>
    <row r="9" spans="1:16" ht="16.5" x14ac:dyDescent="0.3">
      <c r="A9" s="533"/>
      <c r="B9" s="531" t="s">
        <v>740</v>
      </c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2"/>
      <c r="P9" s="539"/>
    </row>
    <row r="10" spans="1:16" ht="16.5" x14ac:dyDescent="0.3">
      <c r="A10" s="530"/>
      <c r="B10" s="531" t="s">
        <v>619</v>
      </c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2"/>
      <c r="P10" s="539"/>
    </row>
    <row r="11" spans="1:16" ht="16.5" x14ac:dyDescent="0.3">
      <c r="A11" s="530"/>
      <c r="B11" s="531" t="s">
        <v>739</v>
      </c>
      <c r="C11" s="531"/>
      <c r="D11" s="531"/>
      <c r="E11" s="531"/>
      <c r="F11" s="531"/>
      <c r="G11" s="531"/>
      <c r="H11" s="531"/>
      <c r="I11" s="531"/>
      <c r="J11" s="531"/>
      <c r="K11" s="531"/>
      <c r="L11" s="531"/>
      <c r="M11" s="531"/>
      <c r="N11" s="531"/>
      <c r="O11" s="532"/>
      <c r="P11" s="539"/>
    </row>
    <row r="12" spans="1:16" ht="17.25" customHeight="1" x14ac:dyDescent="0.3">
      <c r="A12" s="530"/>
      <c r="B12" s="891" t="s">
        <v>699</v>
      </c>
      <c r="C12" s="891"/>
      <c r="D12" s="891"/>
      <c r="E12" s="891"/>
      <c r="F12" s="891"/>
      <c r="G12" s="891"/>
      <c r="H12" s="891"/>
      <c r="I12" s="892"/>
      <c r="J12" s="893"/>
      <c r="K12" s="894" t="s">
        <v>638</v>
      </c>
      <c r="L12" s="531"/>
      <c r="M12" s="531"/>
      <c r="N12" s="531"/>
      <c r="O12" s="532"/>
      <c r="P12" s="539"/>
    </row>
    <row r="13" spans="1:16" ht="14.25" customHeight="1" x14ac:dyDescent="0.3">
      <c r="A13" s="530"/>
      <c r="B13" s="531"/>
      <c r="C13" s="531"/>
      <c r="D13" s="531"/>
      <c r="E13" s="531"/>
      <c r="F13" s="531"/>
      <c r="G13" s="531"/>
      <c r="H13" s="531"/>
      <c r="J13" s="725"/>
      <c r="K13" s="531"/>
      <c r="L13" s="531"/>
      <c r="M13" s="531"/>
      <c r="N13" s="531"/>
      <c r="O13" s="532"/>
      <c r="P13" s="539"/>
    </row>
    <row r="14" spans="1:16" ht="20.25" x14ac:dyDescent="0.3">
      <c r="A14" s="561" t="s">
        <v>614</v>
      </c>
      <c r="B14" s="534"/>
      <c r="C14" s="531"/>
      <c r="D14" s="531"/>
      <c r="E14" s="531"/>
      <c r="F14" s="531"/>
      <c r="G14" s="531"/>
      <c r="H14" s="531"/>
      <c r="I14" s="531"/>
      <c r="J14" s="531"/>
      <c r="K14" s="531"/>
      <c r="L14" s="531"/>
      <c r="M14" s="531"/>
      <c r="N14" s="531"/>
      <c r="O14" s="532"/>
      <c r="P14" s="539"/>
    </row>
    <row r="15" spans="1:16" ht="16.5" x14ac:dyDescent="0.3">
      <c r="A15" s="530"/>
      <c r="B15" s="1021" t="str">
        <f ca="1">MID(CELL("filename",총괄_에너지및온실가스!A1),FIND("]",CELL("filename",총괄_에너지및온실가스!A1))+1,LEN(CELL("filename",총괄_에너지및온실가스!A1)))</f>
        <v>총괄_에너지및온실가스</v>
      </c>
      <c r="C15" s="1021"/>
      <c r="D15" s="1021"/>
      <c r="E15" s="531" t="s">
        <v>69</v>
      </c>
      <c r="F15" s="531"/>
      <c r="G15" s="531"/>
      <c r="H15" s="531"/>
      <c r="I15" s="531"/>
      <c r="J15" s="531"/>
      <c r="K15" s="531"/>
      <c r="L15" s="531"/>
      <c r="M15" s="531"/>
      <c r="N15" s="531"/>
      <c r="O15" s="532"/>
      <c r="P15" s="539"/>
    </row>
    <row r="16" spans="1:16" ht="16.5" x14ac:dyDescent="0.3">
      <c r="A16" s="530"/>
      <c r="B16" s="1021" t="str">
        <f ca="1">MID(CELL("filename",가.에너지!A1),FIND("]",CELL("filename",가.에너지!A1))+1,LEN(CELL("filename",가.에너지!A1)))</f>
        <v>가.에너지</v>
      </c>
      <c r="C16" s="1021"/>
      <c r="D16" s="1021"/>
      <c r="E16" s="531" t="s">
        <v>601</v>
      </c>
      <c r="F16" s="531"/>
      <c r="G16" s="531"/>
      <c r="H16" s="531"/>
      <c r="I16" s="531"/>
      <c r="J16" s="531"/>
      <c r="K16" s="531"/>
      <c r="L16" s="531"/>
      <c r="M16" s="531"/>
      <c r="N16" s="531"/>
      <c r="O16" s="532"/>
      <c r="P16" s="539"/>
    </row>
    <row r="17" spans="1:16" ht="16.5" x14ac:dyDescent="0.3">
      <c r="A17" s="530"/>
      <c r="B17" s="1021" t="str">
        <f ca="1">MID(CELL("filename",나.외부공급!A1),FIND("]",CELL("filename",나.외부공급!A1))+1,LEN(CELL("filename",나.외부공급!A1)))</f>
        <v>나.외부공급</v>
      </c>
      <c r="C17" s="1021"/>
      <c r="D17" s="1021"/>
      <c r="E17" s="531" t="s">
        <v>608</v>
      </c>
      <c r="F17" s="531"/>
      <c r="G17" s="531"/>
      <c r="H17" s="531"/>
      <c r="I17" s="531"/>
      <c r="J17" s="531"/>
      <c r="K17" s="531"/>
      <c r="L17" s="531"/>
      <c r="M17" s="531"/>
      <c r="N17" s="531"/>
      <c r="O17" s="532"/>
      <c r="P17" s="539"/>
    </row>
    <row r="18" spans="1:16" ht="16.5" x14ac:dyDescent="0.3">
      <c r="A18" s="530"/>
      <c r="B18" s="1021" t="str">
        <f ca="1">MID(CELL("filename",다.매립!A1),FIND("]",CELL("filename",다.매립!A1))+1,LEN(CELL("filename",다.매립!A1)))</f>
        <v>다.매립</v>
      </c>
      <c r="C18" s="1021"/>
      <c r="D18" s="1021"/>
      <c r="E18" s="531" t="s">
        <v>602</v>
      </c>
      <c r="F18" s="531"/>
      <c r="G18" s="531"/>
      <c r="H18" s="531"/>
      <c r="I18" s="531"/>
      <c r="J18" s="531"/>
      <c r="K18" s="531"/>
      <c r="L18" s="531"/>
      <c r="M18" s="531"/>
      <c r="N18" s="531"/>
      <c r="O18" s="532"/>
      <c r="P18" s="539"/>
    </row>
    <row r="19" spans="1:16" ht="16.5" x14ac:dyDescent="0.3">
      <c r="A19" s="530"/>
      <c r="B19" s="1021" t="str">
        <f ca="1">MID(CELL("filename",라.생물학적처리!A1),FIND("]",CELL("filename",라.생물학적처리!A1))+1,LEN(CELL("filename",라.생물학적처리!A1)))</f>
        <v>라.생물학적처리</v>
      </c>
      <c r="C19" s="1021"/>
      <c r="D19" s="1021"/>
      <c r="E19" s="531" t="s">
        <v>603</v>
      </c>
      <c r="F19" s="531"/>
      <c r="G19" s="531"/>
      <c r="H19" s="531"/>
      <c r="I19" s="531"/>
      <c r="J19" s="531"/>
      <c r="K19" s="531"/>
      <c r="L19" s="531"/>
      <c r="M19" s="531"/>
      <c r="N19" s="531"/>
      <c r="O19" s="532"/>
      <c r="P19" s="539"/>
    </row>
    <row r="20" spans="1:16" ht="16.5" x14ac:dyDescent="0.3">
      <c r="A20" s="530"/>
      <c r="B20" s="1021" t="str">
        <f ca="1">MID(CELL("filename",마.소각!A1),FIND("]",CELL("filename",마.소각!A1))+1,LEN(CELL("filename",마.소각!A1)))</f>
        <v>마.소각</v>
      </c>
      <c r="C20" s="1021"/>
      <c r="D20" s="1021"/>
      <c r="E20" s="531" t="s">
        <v>604</v>
      </c>
      <c r="F20" s="531"/>
      <c r="G20" s="531"/>
      <c r="H20" s="531"/>
      <c r="I20" s="531"/>
      <c r="J20" s="531"/>
      <c r="K20" s="531"/>
      <c r="L20" s="531"/>
      <c r="M20" s="531"/>
      <c r="N20" s="531"/>
      <c r="O20" s="532"/>
      <c r="P20" s="539"/>
    </row>
    <row r="21" spans="1:16" ht="16.5" x14ac:dyDescent="0.3">
      <c r="A21" s="530"/>
      <c r="B21" s="1021" t="str">
        <f ca="1">MID(CELL("filename",바.하수!A1),FIND("]",CELL("filename",바.하수!A1))+1,LEN(CELL("filename",바.하수!A1)))</f>
        <v>바.하수</v>
      </c>
      <c r="C21" s="1021"/>
      <c r="D21" s="1021"/>
      <c r="E21" s="531" t="s">
        <v>605</v>
      </c>
      <c r="F21" s="531"/>
      <c r="G21" s="531"/>
      <c r="H21" s="531"/>
      <c r="I21" s="531"/>
      <c r="J21" s="531"/>
      <c r="K21" s="531"/>
      <c r="L21" s="531"/>
      <c r="M21" s="531"/>
      <c r="N21" s="531"/>
      <c r="O21" s="532"/>
      <c r="P21" s="539"/>
    </row>
    <row r="22" spans="1:16" ht="16.5" x14ac:dyDescent="0.3">
      <c r="A22" s="530"/>
      <c r="B22" s="1021" t="str">
        <f ca="1">MID(CELL("filename",사.폐수!A1),FIND("]",CELL("filename",사.폐수!A1))+1,LEN(CELL("filename",사.폐수!A1)))</f>
        <v>사.폐수</v>
      </c>
      <c r="C22" s="1021"/>
      <c r="D22" s="1021"/>
      <c r="E22" s="531" t="s">
        <v>606</v>
      </c>
      <c r="F22" s="531"/>
      <c r="G22" s="531"/>
      <c r="H22" s="531"/>
      <c r="I22" s="531"/>
      <c r="J22" s="531"/>
      <c r="K22" s="531"/>
      <c r="L22" s="531"/>
      <c r="M22" s="531"/>
      <c r="N22" s="531"/>
      <c r="O22" s="532"/>
      <c r="P22" s="539"/>
    </row>
    <row r="23" spans="1:16" ht="16.5" x14ac:dyDescent="0.3">
      <c r="A23" s="530"/>
      <c r="B23" s="1021" t="s">
        <v>598</v>
      </c>
      <c r="C23" s="1021"/>
      <c r="D23" s="1021"/>
      <c r="E23" s="531" t="s">
        <v>607</v>
      </c>
      <c r="F23" s="531"/>
      <c r="G23" s="531"/>
      <c r="H23" s="531"/>
      <c r="I23" s="531"/>
      <c r="J23" s="531"/>
      <c r="K23" s="531"/>
      <c r="L23" s="531"/>
      <c r="M23" s="531"/>
      <c r="N23" s="531"/>
      <c r="O23" s="532"/>
      <c r="P23" s="539"/>
    </row>
    <row r="24" spans="1:16" ht="9" customHeight="1" x14ac:dyDescent="0.3">
      <c r="A24" s="530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2"/>
      <c r="P24" s="539"/>
    </row>
    <row r="25" spans="1:16" thickBot="1" x14ac:dyDescent="0.35">
      <c r="A25" s="561" t="s">
        <v>600</v>
      </c>
      <c r="B25" s="534"/>
      <c r="C25" s="531"/>
      <c r="D25" s="531"/>
      <c r="E25" s="531"/>
      <c r="F25" s="531"/>
      <c r="G25" s="531"/>
      <c r="H25" s="531"/>
      <c r="I25" s="531"/>
      <c r="J25" s="531"/>
      <c r="K25" s="531"/>
      <c r="L25" s="531"/>
      <c r="M25" s="531"/>
      <c r="N25" s="531"/>
      <c r="O25" s="532"/>
      <c r="P25" s="539"/>
    </row>
    <row r="26" spans="1:16" ht="5.25" customHeight="1" x14ac:dyDescent="0.3">
      <c r="A26" s="533"/>
      <c r="B26" s="682"/>
      <c r="C26" s="676"/>
      <c r="D26" s="676"/>
      <c r="E26" s="676"/>
      <c r="F26" s="676"/>
      <c r="G26" s="676"/>
      <c r="H26" s="676"/>
      <c r="I26" s="676"/>
      <c r="J26" s="676"/>
      <c r="K26" s="676"/>
      <c r="L26" s="676"/>
      <c r="M26" s="676"/>
      <c r="N26" s="677"/>
      <c r="O26" s="532"/>
      <c r="P26" s="539"/>
    </row>
    <row r="27" spans="1:16" ht="18" customHeight="1" x14ac:dyDescent="0.3">
      <c r="A27" s="533"/>
      <c r="B27" s="1033" t="s">
        <v>612</v>
      </c>
      <c r="C27" s="386"/>
      <c r="D27" s="531" t="s">
        <v>72</v>
      </c>
      <c r="E27" s="531"/>
      <c r="F27" s="531" t="s">
        <v>609</v>
      </c>
      <c r="G27" s="531"/>
      <c r="H27" s="531"/>
      <c r="I27" s="531"/>
      <c r="J27" s="531"/>
      <c r="K27" s="531"/>
      <c r="L27" s="531"/>
      <c r="M27" s="531"/>
      <c r="N27" s="678"/>
      <c r="O27" s="532"/>
      <c r="P27" s="539"/>
    </row>
    <row r="28" spans="1:16" ht="4.5" customHeight="1" x14ac:dyDescent="0.3">
      <c r="A28" s="533"/>
      <c r="B28" s="1034"/>
      <c r="C28" s="386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678"/>
      <c r="O28" s="532"/>
      <c r="P28" s="539"/>
    </row>
    <row r="29" spans="1:16" ht="16.5" x14ac:dyDescent="0.3">
      <c r="A29" s="530"/>
      <c r="B29" s="1034"/>
      <c r="C29" s="387" t="s">
        <v>480</v>
      </c>
      <c r="D29" s="531" t="s">
        <v>70</v>
      </c>
      <c r="E29" s="531"/>
      <c r="F29" s="531" t="s">
        <v>73</v>
      </c>
      <c r="G29" s="531"/>
      <c r="H29" s="531"/>
      <c r="I29" s="531"/>
      <c r="J29" s="531"/>
      <c r="K29" s="531"/>
      <c r="L29" s="531"/>
      <c r="M29" s="531"/>
      <c r="N29" s="678"/>
      <c r="O29" s="532"/>
      <c r="P29" s="539"/>
    </row>
    <row r="30" spans="1:16" ht="16.5" x14ac:dyDescent="0.3">
      <c r="A30" s="530"/>
      <c r="B30" s="1034"/>
      <c r="C30" s="540"/>
      <c r="D30" s="531"/>
      <c r="E30" s="531"/>
      <c r="F30" s="531" t="s">
        <v>99</v>
      </c>
      <c r="G30" s="531"/>
      <c r="H30" s="531"/>
      <c r="I30" s="531"/>
      <c r="J30" s="531"/>
      <c r="K30" s="531"/>
      <c r="L30" s="531"/>
      <c r="M30" s="531"/>
      <c r="N30" s="678"/>
      <c r="O30" s="532"/>
      <c r="P30" s="539"/>
    </row>
    <row r="31" spans="1:16" ht="3.75" customHeight="1" x14ac:dyDescent="0.3">
      <c r="A31" s="530"/>
      <c r="B31" s="1034"/>
      <c r="C31" s="540"/>
      <c r="D31" s="531"/>
      <c r="E31" s="531"/>
      <c r="F31" s="531"/>
      <c r="G31" s="531"/>
      <c r="H31" s="531"/>
      <c r="I31" s="531"/>
      <c r="J31" s="531"/>
      <c r="K31" s="531"/>
      <c r="L31" s="531"/>
      <c r="M31" s="531"/>
      <c r="N31" s="678"/>
      <c r="O31" s="532"/>
      <c r="P31" s="539"/>
    </row>
    <row r="32" spans="1:16" ht="16.5" x14ac:dyDescent="0.3">
      <c r="A32" s="530"/>
      <c r="B32" s="1034"/>
      <c r="C32" s="389" t="s">
        <v>479</v>
      </c>
      <c r="D32" s="531" t="s">
        <v>282</v>
      </c>
      <c r="E32" s="531"/>
      <c r="F32" s="531" t="s">
        <v>594</v>
      </c>
      <c r="G32" s="531"/>
      <c r="H32" s="531"/>
      <c r="I32" s="531"/>
      <c r="J32" s="531"/>
      <c r="K32" s="531"/>
      <c r="L32" s="531"/>
      <c r="M32" s="531"/>
      <c r="N32" s="678"/>
      <c r="O32" s="532"/>
      <c r="P32" s="539"/>
    </row>
    <row r="33" spans="1:16" ht="4.5" customHeight="1" thickBot="1" x14ac:dyDescent="0.35">
      <c r="A33" s="530"/>
      <c r="B33" s="683"/>
      <c r="C33" s="684"/>
      <c r="D33" s="680"/>
      <c r="E33" s="680"/>
      <c r="F33" s="680"/>
      <c r="G33" s="680"/>
      <c r="H33" s="680"/>
      <c r="I33" s="680"/>
      <c r="J33" s="680"/>
      <c r="K33" s="680"/>
      <c r="L33" s="680"/>
      <c r="M33" s="680"/>
      <c r="N33" s="681"/>
      <c r="O33" s="532"/>
      <c r="P33" s="539"/>
    </row>
    <row r="34" spans="1:16" ht="4.5" customHeight="1" thickBot="1" x14ac:dyDescent="0.35">
      <c r="A34" s="530"/>
      <c r="B34" s="531"/>
      <c r="C34" s="388"/>
      <c r="D34" s="531"/>
      <c r="E34" s="531"/>
      <c r="F34" s="531"/>
      <c r="G34" s="531"/>
      <c r="H34" s="531"/>
      <c r="I34" s="531"/>
      <c r="J34" s="531"/>
      <c r="K34" s="531"/>
      <c r="L34" s="531"/>
      <c r="M34" s="531"/>
      <c r="N34" s="531"/>
      <c r="O34" s="532"/>
      <c r="P34" s="539"/>
    </row>
    <row r="35" spans="1:16" ht="4.5" customHeight="1" x14ac:dyDescent="0.3">
      <c r="A35" s="530"/>
      <c r="B35" s="685" t="s">
        <v>613</v>
      </c>
      <c r="C35" s="675"/>
      <c r="D35" s="676"/>
      <c r="E35" s="676"/>
      <c r="F35" s="676"/>
      <c r="G35" s="676"/>
      <c r="H35" s="676"/>
      <c r="I35" s="676"/>
      <c r="J35" s="676"/>
      <c r="K35" s="676"/>
      <c r="L35" s="676"/>
      <c r="M35" s="676"/>
      <c r="N35" s="677"/>
      <c r="O35" s="532"/>
      <c r="P35" s="539"/>
    </row>
    <row r="36" spans="1:16" ht="16.5" x14ac:dyDescent="0.3">
      <c r="A36" s="530"/>
      <c r="B36" s="1022" t="s">
        <v>613</v>
      </c>
      <c r="C36" s="390" t="s">
        <v>478</v>
      </c>
      <c r="D36" s="531" t="s">
        <v>71</v>
      </c>
      <c r="E36" s="531"/>
      <c r="F36" s="531" t="s">
        <v>98</v>
      </c>
      <c r="G36" s="531"/>
      <c r="H36" s="531"/>
      <c r="I36" s="531"/>
      <c r="J36" s="531"/>
      <c r="K36" s="531"/>
      <c r="L36" s="531"/>
      <c r="M36" s="531"/>
      <c r="N36" s="678"/>
      <c r="O36" s="532"/>
      <c r="P36" s="539"/>
    </row>
    <row r="37" spans="1:16" ht="4.5" customHeight="1" x14ac:dyDescent="0.3">
      <c r="A37" s="530"/>
      <c r="B37" s="1022"/>
      <c r="C37" s="391"/>
      <c r="D37" s="531"/>
      <c r="E37" s="531"/>
      <c r="F37" s="531"/>
      <c r="G37" s="531"/>
      <c r="H37" s="531"/>
      <c r="I37" s="531"/>
      <c r="J37" s="531"/>
      <c r="K37" s="531"/>
      <c r="L37" s="531"/>
      <c r="M37" s="531"/>
      <c r="N37" s="678"/>
      <c r="O37" s="532"/>
      <c r="P37" s="539"/>
    </row>
    <row r="38" spans="1:16" ht="16.5" x14ac:dyDescent="0.3">
      <c r="A38" s="530"/>
      <c r="B38" s="1022"/>
      <c r="C38" s="392" t="s">
        <v>477</v>
      </c>
      <c r="D38" s="531" t="s">
        <v>482</v>
      </c>
      <c r="E38" s="531"/>
      <c r="F38" s="531" t="s">
        <v>483</v>
      </c>
      <c r="G38" s="531"/>
      <c r="H38" s="531"/>
      <c r="I38" s="531"/>
      <c r="J38" s="531"/>
      <c r="K38" s="531"/>
      <c r="L38" s="531"/>
      <c r="M38" s="531"/>
      <c r="N38" s="678"/>
      <c r="O38" s="532"/>
      <c r="P38" s="539"/>
    </row>
    <row r="39" spans="1:16" ht="4.5" customHeight="1" thickBot="1" x14ac:dyDescent="0.35">
      <c r="A39" s="530"/>
      <c r="B39" s="1022"/>
      <c r="C39" s="386"/>
      <c r="D39" s="531"/>
      <c r="E39" s="531"/>
      <c r="F39" s="531"/>
      <c r="G39" s="531"/>
      <c r="H39" s="531"/>
      <c r="I39" s="531"/>
      <c r="J39" s="531"/>
      <c r="K39" s="531"/>
      <c r="L39" s="531"/>
      <c r="M39" s="531"/>
      <c r="N39" s="678"/>
      <c r="O39" s="532"/>
      <c r="P39" s="539"/>
    </row>
    <row r="40" spans="1:16" ht="17.25" thickBot="1" x14ac:dyDescent="0.35">
      <c r="A40" s="530"/>
      <c r="B40" s="1022"/>
      <c r="C40" s="393" t="s">
        <v>476</v>
      </c>
      <c r="D40" s="531" t="s">
        <v>74</v>
      </c>
      <c r="E40" s="531"/>
      <c r="F40" s="531" t="s">
        <v>481</v>
      </c>
      <c r="G40" s="531"/>
      <c r="H40" s="531"/>
      <c r="I40" s="531"/>
      <c r="J40" s="531"/>
      <c r="K40" s="531"/>
      <c r="L40" s="531"/>
      <c r="M40" s="531"/>
      <c r="N40" s="678"/>
      <c r="O40" s="532"/>
      <c r="P40" s="539"/>
    </row>
    <row r="41" spans="1:16" ht="5.25" customHeight="1" thickBot="1" x14ac:dyDescent="0.35">
      <c r="A41" s="530"/>
      <c r="B41" s="686"/>
      <c r="C41" s="679"/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681"/>
      <c r="O41" s="532"/>
      <c r="P41" s="539"/>
    </row>
    <row r="42" spans="1:16" ht="18" customHeight="1" x14ac:dyDescent="0.3">
      <c r="A42" s="530"/>
      <c r="B42" s="531"/>
      <c r="C42" s="531"/>
      <c r="D42" s="531"/>
      <c r="E42" s="531"/>
      <c r="F42" s="531"/>
      <c r="G42" s="531"/>
      <c r="H42" s="531"/>
      <c r="I42" s="531"/>
      <c r="J42" s="531"/>
      <c r="K42" s="531"/>
      <c r="L42" s="531"/>
      <c r="M42" s="531"/>
      <c r="N42" s="531"/>
      <c r="O42" s="532"/>
      <c r="P42" s="539"/>
    </row>
    <row r="43" spans="1:16" ht="20.25" x14ac:dyDescent="0.3">
      <c r="A43" s="530"/>
      <c r="B43" s="531"/>
      <c r="C43" s="531"/>
      <c r="D43" s="531"/>
      <c r="E43" s="531"/>
      <c r="F43" s="531"/>
      <c r="G43" s="534" t="s">
        <v>697</v>
      </c>
      <c r="H43" s="531"/>
      <c r="I43" s="531"/>
      <c r="J43" s="531"/>
      <c r="K43" s="531"/>
      <c r="L43" s="531"/>
      <c r="M43" s="531"/>
      <c r="N43" s="531"/>
      <c r="O43" s="532"/>
      <c r="P43" s="539"/>
    </row>
    <row r="44" spans="1:16" ht="17.25" thickBot="1" x14ac:dyDescent="0.35">
      <c r="A44" s="538"/>
      <c r="B44" s="535"/>
      <c r="C44" s="535"/>
      <c r="D44" s="535"/>
      <c r="E44" s="535"/>
      <c r="F44" s="535"/>
      <c r="G44" s="535"/>
      <c r="H44" s="535"/>
      <c r="I44" s="535"/>
      <c r="J44" s="535"/>
      <c r="K44" s="535"/>
      <c r="L44" s="535"/>
      <c r="M44" s="535"/>
      <c r="N44" s="535"/>
      <c r="O44" s="536"/>
      <c r="P44" s="539"/>
    </row>
    <row r="45" spans="1:16" ht="17.25" thickBot="1" x14ac:dyDescent="0.35"/>
    <row r="46" spans="1:16" ht="20.25" x14ac:dyDescent="0.3">
      <c r="A46" s="719" t="s">
        <v>627</v>
      </c>
      <c r="B46" s="537"/>
      <c r="C46" s="537"/>
      <c r="D46" s="537"/>
      <c r="E46" s="537"/>
      <c r="F46" s="537"/>
      <c r="G46" s="537"/>
      <c r="H46" s="537"/>
      <c r="I46" s="537"/>
      <c r="J46" s="537"/>
      <c r="K46" s="537"/>
      <c r="L46" s="537"/>
      <c r="M46" s="537"/>
      <c r="N46" s="537"/>
      <c r="O46" s="1006"/>
    </row>
    <row r="47" spans="1:16" ht="16.5" x14ac:dyDescent="0.3">
      <c r="A47" s="720" t="s">
        <v>628</v>
      </c>
      <c r="B47" s="531"/>
      <c r="C47" s="721" t="s">
        <v>631</v>
      </c>
      <c r="D47" s="531"/>
      <c r="E47" s="531"/>
      <c r="F47" s="531"/>
      <c r="G47" s="531"/>
      <c r="H47" s="531"/>
      <c r="I47" s="531"/>
      <c r="J47" s="531"/>
      <c r="K47" s="531"/>
      <c r="L47" s="531"/>
      <c r="M47" s="531"/>
      <c r="N47" s="531"/>
      <c r="O47" s="532"/>
    </row>
    <row r="48" spans="1:16" ht="16.5" x14ac:dyDescent="0.3">
      <c r="A48" s="530"/>
      <c r="B48" s="531"/>
      <c r="C48" s="531" t="s">
        <v>626</v>
      </c>
      <c r="D48" s="531"/>
      <c r="E48" s="531"/>
      <c r="F48" s="531"/>
      <c r="G48" s="531"/>
      <c r="H48" s="531"/>
      <c r="I48" s="531"/>
      <c r="J48" s="531"/>
      <c r="K48" s="531"/>
      <c r="L48" s="531"/>
      <c r="M48" s="531"/>
      <c r="N48" s="531"/>
      <c r="O48" s="532"/>
    </row>
    <row r="49" spans="1:15" ht="16.5" x14ac:dyDescent="0.3">
      <c r="A49" s="720" t="s">
        <v>629</v>
      </c>
      <c r="B49" s="531"/>
      <c r="C49" s="721" t="s">
        <v>630</v>
      </c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2"/>
    </row>
    <row r="50" spans="1:15" ht="16.5" x14ac:dyDescent="0.3">
      <c r="A50" s="530"/>
      <c r="B50" s="531"/>
      <c r="C50" s="531" t="s">
        <v>634</v>
      </c>
      <c r="D50" s="531"/>
      <c r="E50" s="531"/>
      <c r="F50" s="531"/>
      <c r="G50" s="531"/>
      <c r="H50" s="531"/>
      <c r="I50" s="531"/>
      <c r="J50" s="531"/>
      <c r="K50" s="531"/>
      <c r="L50" s="531"/>
      <c r="M50" s="531"/>
      <c r="N50" s="531"/>
      <c r="O50" s="532"/>
    </row>
    <row r="51" spans="1:15" ht="16.5" x14ac:dyDescent="0.3">
      <c r="A51" s="530"/>
      <c r="B51" s="531"/>
      <c r="C51" s="531" t="s">
        <v>637</v>
      </c>
      <c r="D51" s="531"/>
      <c r="E51" s="531"/>
      <c r="F51" s="531"/>
      <c r="G51" s="531"/>
      <c r="H51" s="531"/>
      <c r="I51" s="531"/>
      <c r="J51" s="531"/>
      <c r="K51" s="531"/>
      <c r="L51" s="531"/>
      <c r="M51" s="531"/>
      <c r="N51" s="531"/>
      <c r="O51" s="532"/>
    </row>
    <row r="52" spans="1:15" ht="18" x14ac:dyDescent="0.3">
      <c r="A52" s="720" t="s">
        <v>641</v>
      </c>
      <c r="B52" s="531"/>
      <c r="C52" s="531" t="s">
        <v>640</v>
      </c>
      <c r="D52" s="531"/>
      <c r="E52" s="531"/>
      <c r="F52" s="531"/>
      <c r="G52" s="531"/>
      <c r="H52" s="531"/>
      <c r="I52" s="531"/>
      <c r="J52" s="531"/>
      <c r="K52" s="531"/>
      <c r="L52" s="531"/>
      <c r="M52" s="531"/>
      <c r="N52" s="531"/>
      <c r="O52" s="532"/>
    </row>
    <row r="53" spans="1:15" ht="16.5" x14ac:dyDescent="0.3">
      <c r="A53" s="720" t="s">
        <v>642</v>
      </c>
      <c r="B53" s="531"/>
      <c r="C53" s="531" t="s">
        <v>685</v>
      </c>
      <c r="D53" s="531"/>
      <c r="E53" s="531"/>
      <c r="F53" s="531"/>
      <c r="G53" s="531"/>
      <c r="H53" s="531"/>
      <c r="I53" s="531"/>
      <c r="J53" s="531"/>
      <c r="K53" s="531"/>
      <c r="L53" s="531"/>
      <c r="M53" s="531"/>
      <c r="N53" s="531"/>
      <c r="O53" s="532"/>
    </row>
    <row r="54" spans="1:15" ht="16.5" x14ac:dyDescent="0.3">
      <c r="A54" s="530"/>
      <c r="B54" s="531"/>
      <c r="C54" s="531" t="s">
        <v>683</v>
      </c>
      <c r="D54" s="531"/>
      <c r="E54" s="531"/>
      <c r="F54" s="531"/>
      <c r="G54" s="531"/>
      <c r="H54" s="531"/>
      <c r="I54" s="531"/>
      <c r="J54" s="531"/>
      <c r="K54" s="531"/>
      <c r="L54" s="531"/>
      <c r="M54" s="531"/>
      <c r="N54" s="531"/>
      <c r="O54" s="532"/>
    </row>
    <row r="55" spans="1:15" ht="16.5" x14ac:dyDescent="0.3">
      <c r="A55" s="720" t="s">
        <v>696</v>
      </c>
      <c r="B55" s="531"/>
      <c r="C55" s="531" t="s">
        <v>694</v>
      </c>
      <c r="D55" s="531"/>
      <c r="E55" s="531"/>
      <c r="F55" s="531"/>
      <c r="G55" s="531"/>
      <c r="H55" s="531"/>
      <c r="I55" s="531"/>
      <c r="J55" s="531"/>
      <c r="K55" s="531"/>
      <c r="L55" s="531"/>
      <c r="M55" s="531"/>
      <c r="N55" s="531"/>
      <c r="O55" s="532"/>
    </row>
    <row r="56" spans="1:15" ht="16.5" x14ac:dyDescent="0.3">
      <c r="A56" s="720"/>
      <c r="B56" s="531"/>
      <c r="C56" s="531" t="s">
        <v>698</v>
      </c>
      <c r="D56" s="531"/>
      <c r="E56" s="531"/>
      <c r="F56" s="531"/>
      <c r="G56" s="531"/>
      <c r="H56" s="531"/>
      <c r="I56" s="531"/>
      <c r="J56" s="531"/>
      <c r="K56" s="531"/>
      <c r="L56" s="531"/>
      <c r="M56" s="531"/>
      <c r="N56" s="531"/>
      <c r="O56" s="532"/>
    </row>
    <row r="57" spans="1:15" ht="16.5" x14ac:dyDescent="0.3">
      <c r="A57" s="720" t="s">
        <v>700</v>
      </c>
      <c r="B57" s="531"/>
      <c r="C57" s="531" t="s">
        <v>701</v>
      </c>
      <c r="D57" s="531"/>
      <c r="E57" s="531"/>
      <c r="F57" s="531"/>
      <c r="G57" s="531"/>
      <c r="H57" s="531"/>
      <c r="I57" s="531"/>
      <c r="J57" s="531"/>
      <c r="K57" s="531"/>
      <c r="L57" s="531"/>
      <c r="M57" s="531"/>
      <c r="N57" s="531"/>
      <c r="O57" s="532"/>
    </row>
    <row r="58" spans="1:15" ht="16.5" x14ac:dyDescent="0.3">
      <c r="A58" s="720" t="s">
        <v>724</v>
      </c>
      <c r="B58" s="531"/>
      <c r="C58" s="531" t="s">
        <v>725</v>
      </c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2"/>
    </row>
    <row r="59" spans="1:15" ht="16.5" x14ac:dyDescent="0.3">
      <c r="A59" s="720" t="s">
        <v>746</v>
      </c>
      <c r="B59" s="531"/>
      <c r="C59" s="531" t="s">
        <v>742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2"/>
    </row>
    <row r="60" spans="1:15" ht="16.5" x14ac:dyDescent="0.3">
      <c r="A60" s="720"/>
      <c r="B60" s="531"/>
      <c r="C60" s="531" t="s">
        <v>747</v>
      </c>
      <c r="D60" s="531"/>
      <c r="E60" s="531"/>
      <c r="F60" s="531"/>
      <c r="G60" s="531"/>
      <c r="H60" s="531"/>
      <c r="I60" s="531"/>
      <c r="J60" s="531"/>
      <c r="K60" s="531"/>
      <c r="L60" s="531"/>
      <c r="M60" s="531"/>
      <c r="N60" s="531"/>
      <c r="O60" s="532"/>
    </row>
    <row r="61" spans="1:15" ht="16.5" x14ac:dyDescent="0.3">
      <c r="A61" s="720"/>
      <c r="B61" s="531"/>
      <c r="C61" s="531" t="s">
        <v>748</v>
      </c>
      <c r="D61" s="531"/>
      <c r="E61" s="531"/>
      <c r="F61" s="531"/>
      <c r="G61" s="531"/>
      <c r="H61" s="531"/>
      <c r="I61" s="531"/>
      <c r="J61" s="531"/>
      <c r="K61" s="531"/>
      <c r="L61" s="531"/>
      <c r="M61" s="531"/>
      <c r="N61" s="531"/>
      <c r="O61" s="532"/>
    </row>
    <row r="62" spans="1:15" ht="21" customHeight="1" thickBot="1" x14ac:dyDescent="0.35">
      <c r="A62" s="897"/>
      <c r="B62" s="535"/>
      <c r="C62" s="535" t="s">
        <v>749</v>
      </c>
      <c r="D62" s="535"/>
      <c r="E62" s="535"/>
      <c r="F62" s="535"/>
      <c r="G62" s="535"/>
      <c r="H62" s="535"/>
      <c r="I62" s="535"/>
      <c r="J62" s="535"/>
      <c r="K62" s="535"/>
      <c r="L62" s="535"/>
      <c r="M62" s="535" t="s">
        <v>757</v>
      </c>
      <c r="N62" s="535"/>
      <c r="O62" s="1007"/>
    </row>
    <row r="63" spans="1:15" ht="21" customHeight="1" x14ac:dyDescent="0.3"/>
  </sheetData>
  <mergeCells count="15">
    <mergeCell ref="A2:O2"/>
    <mergeCell ref="B15:D15"/>
    <mergeCell ref="B16:D16"/>
    <mergeCell ref="B17:D17"/>
    <mergeCell ref="B36:B40"/>
    <mergeCell ref="B18:D18"/>
    <mergeCell ref="A3:O3"/>
    <mergeCell ref="B19:D19"/>
    <mergeCell ref="A4:O4"/>
    <mergeCell ref="A5:O5"/>
    <mergeCell ref="B20:D20"/>
    <mergeCell ref="B21:D21"/>
    <mergeCell ref="B22:D22"/>
    <mergeCell ref="B23:D23"/>
    <mergeCell ref="B27:B32"/>
  </mergeCells>
  <phoneticPr fontId="18" type="noConversion"/>
  <hyperlinks>
    <hyperlink ref="B15" location="총괄_에너지및온실가스!A1" display="총괄_에너지및온실가스!A1" xr:uid="{00000000-0004-0000-0000-000000000000}"/>
    <hyperlink ref="B16" location="가.에너지!B15" display="가.에너지!B15" xr:uid="{00000000-0004-0000-0000-000001000000}"/>
    <hyperlink ref="B17" location="나.외부공급!B16" display="나.외부공급!B16" xr:uid="{00000000-0004-0000-0000-000002000000}"/>
    <hyperlink ref="B18" location="다.매립!C5" display="다.매립!C5" xr:uid="{00000000-0004-0000-0000-000003000000}"/>
    <hyperlink ref="B19" location="라.생물학적처리!D15" display="라.생물학적처리!D15" xr:uid="{00000000-0004-0000-0000-000004000000}"/>
    <hyperlink ref="B20" location="마.소각!B15" display="마.소각!B15" xr:uid="{00000000-0004-0000-0000-000005000000}"/>
    <hyperlink ref="B21" location="바.하수!D15" display="바.하수!D15" xr:uid="{00000000-0004-0000-0000-000006000000}"/>
    <hyperlink ref="B22" location="사.폐수!C15" display="사.폐수!C15" xr:uid="{00000000-0004-0000-0000-000007000000}"/>
    <hyperlink ref="B23" location="Parameter!A1" display="Parameter" xr:uid="{00000000-0004-0000-0000-000008000000}"/>
    <hyperlink ref="K12" r:id="rId1" xr:uid="{00000000-0004-0000-0000-000009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4" orientation="landscape" horizontalDpi="300" verticalDpi="30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5" name="Drop Down 1">
              <controlPr defaultSize="0" autoLine="0" autoPict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2</xdr:col>
                    <xdr:colOff>800100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I20"/>
  <sheetViews>
    <sheetView zoomScale="85" zoomScaleNormal="85" workbookViewId="0">
      <selection activeCell="E11" sqref="E11"/>
    </sheetView>
  </sheetViews>
  <sheetFormatPr defaultColWidth="0" defaultRowHeight="16.5" zeroHeight="1" x14ac:dyDescent="0.3"/>
  <cols>
    <col min="1" max="1" width="2.25" style="23" customWidth="1"/>
    <col min="2" max="2" width="11.5" style="23" customWidth="1"/>
    <col min="3" max="3" width="10" style="23" customWidth="1"/>
    <col min="4" max="4" width="13" style="23" bestFit="1" customWidth="1"/>
    <col min="5" max="9" width="17.625" style="23" customWidth="1"/>
    <col min="10" max="10" width="9" style="23" customWidth="1"/>
    <col min="11" max="16384" width="0" style="23" hidden="1"/>
  </cols>
  <sheetData>
    <row r="1" spans="2:9" s="555" customFormat="1" x14ac:dyDescent="0.3"/>
    <row r="2" spans="2:9" s="555" customFormat="1" ht="26.25" x14ac:dyDescent="0.3">
      <c r="B2" s="1042" t="s">
        <v>548</v>
      </c>
      <c r="C2" s="1042"/>
      <c r="D2" s="1042"/>
      <c r="E2" s="1042"/>
      <c r="F2" s="1042"/>
      <c r="G2" s="1042"/>
      <c r="H2" s="1042"/>
      <c r="I2" s="1042"/>
    </row>
    <row r="3" spans="2:9" s="555" customFormat="1" ht="11.25" customHeight="1" thickBot="1" x14ac:dyDescent="0.35">
      <c r="D3" s="556"/>
    </row>
    <row r="4" spans="2:9" s="555" customFormat="1" ht="34.5" customHeight="1" x14ac:dyDescent="0.3">
      <c r="B4" s="1043" t="s">
        <v>86</v>
      </c>
      <c r="C4" s="1044"/>
      <c r="D4" s="1045"/>
      <c r="E4" s="1037" t="s">
        <v>87</v>
      </c>
      <c r="F4" s="1038"/>
      <c r="G4" s="1038"/>
      <c r="H4" s="1039"/>
      <c r="I4" s="1035" t="s">
        <v>88</v>
      </c>
    </row>
    <row r="5" spans="2:9" s="555" customFormat="1" ht="24" customHeight="1" x14ac:dyDescent="0.3">
      <c r="B5" s="1046"/>
      <c r="C5" s="1047"/>
      <c r="D5" s="1048"/>
      <c r="E5" s="557" t="s">
        <v>294</v>
      </c>
      <c r="F5" s="776" t="s">
        <v>318</v>
      </c>
      <c r="G5" s="558" t="s">
        <v>306</v>
      </c>
      <c r="H5" s="559" t="s">
        <v>263</v>
      </c>
      <c r="I5" s="1036"/>
    </row>
    <row r="6" spans="2:9" s="555" customFormat="1" ht="21.75" customHeight="1" thickBot="1" x14ac:dyDescent="0.35">
      <c r="B6" s="1049"/>
      <c r="C6" s="1050"/>
      <c r="D6" s="1051"/>
      <c r="E6" s="777" t="s">
        <v>657</v>
      </c>
      <c r="F6" s="778" t="s">
        <v>655</v>
      </c>
      <c r="G6" s="778" t="s">
        <v>656</v>
      </c>
      <c r="H6" s="779" t="s">
        <v>298</v>
      </c>
      <c r="I6" s="780" t="s">
        <v>89</v>
      </c>
    </row>
    <row r="7" spans="2:9" s="555" customFormat="1" ht="34.5" customHeight="1" thickBot="1" x14ac:dyDescent="0.35">
      <c r="B7" s="1052" t="s">
        <v>274</v>
      </c>
      <c r="C7" s="1053"/>
      <c r="D7" s="1053"/>
      <c r="E7" s="772">
        <f ca="1">SUM(E8+E16)</f>
        <v>2077.8087523666663</v>
      </c>
      <c r="F7" s="773">
        <f ca="1">SUM(F8+F16)</f>
        <v>415046.63545203692</v>
      </c>
      <c r="G7" s="773">
        <f ca="1">SUM(G8+G16)</f>
        <v>51162.155961685712</v>
      </c>
      <c r="H7" s="774">
        <f ca="1">SUM(H8+H16)</f>
        <v>26654.056444982009</v>
      </c>
      <c r="I7" s="775">
        <f>SUM(I8+I16)</f>
        <v>41.483241399999997</v>
      </c>
    </row>
    <row r="8" spans="2:9" s="555" customFormat="1" ht="34.5" customHeight="1" x14ac:dyDescent="0.3">
      <c r="B8" s="1057" t="s">
        <v>549</v>
      </c>
      <c r="C8" s="1060" t="s">
        <v>263</v>
      </c>
      <c r="D8" s="1061"/>
      <c r="E8" s="765">
        <f ca="1">SUM(E9:E15)</f>
        <v>84.622219666666666</v>
      </c>
      <c r="F8" s="766">
        <f ca="1">SUM(F9:F15)</f>
        <v>415023.50369343691</v>
      </c>
      <c r="G8" s="766">
        <f ca="1">SUM(G9:G15)</f>
        <v>51150.590082385716</v>
      </c>
      <c r="H8" s="767">
        <f ca="1">SUM(H9:H15)</f>
        <v>24656.79872276841</v>
      </c>
      <c r="I8" s="768">
        <f>SUM(I9:I15)</f>
        <v>0.36011499999999996</v>
      </c>
    </row>
    <row r="9" spans="2:9" s="555" customFormat="1" ht="34.5" customHeight="1" x14ac:dyDescent="0.3">
      <c r="B9" s="1058"/>
      <c r="C9" s="1064" t="s">
        <v>281</v>
      </c>
      <c r="D9" s="671" t="s">
        <v>267</v>
      </c>
      <c r="E9" s="769"/>
      <c r="F9" s="758">
        <f>다.매립!T17</f>
        <v>1496.5524403369459</v>
      </c>
      <c r="G9" s="770"/>
      <c r="H9" s="759">
        <f t="shared" ref="H9:H15" si="0">E9*GWP_CO2+(F9*GWP_CH4+G9*GWP_N2O)*10^-3</f>
        <v>31.427601247075867</v>
      </c>
      <c r="I9" s="771"/>
    </row>
    <row r="10" spans="2:9" s="555" customFormat="1" ht="34.5" customHeight="1" x14ac:dyDescent="0.3">
      <c r="B10" s="1058"/>
      <c r="C10" s="1065"/>
      <c r="D10" s="671" t="s">
        <v>268</v>
      </c>
      <c r="E10" s="769"/>
      <c r="F10" s="758">
        <f>라.생물학적처리!J14</f>
        <v>169966.66666666666</v>
      </c>
      <c r="G10" s="758">
        <f>라.생물학적처리!K14</f>
        <v>13432</v>
      </c>
      <c r="H10" s="759">
        <f>E10*GWP_CO2+(F10*GWP_CH4+G10*GWP_N2O)*10^-3</f>
        <v>7733.22</v>
      </c>
      <c r="I10" s="771"/>
    </row>
    <row r="11" spans="2:9" s="555" customFormat="1" ht="34.5" customHeight="1" x14ac:dyDescent="0.3">
      <c r="B11" s="1058"/>
      <c r="C11" s="1065"/>
      <c r="D11" s="671" t="s">
        <v>269</v>
      </c>
      <c r="E11" s="757">
        <f>마.소각!N14</f>
        <v>59.837726666666669</v>
      </c>
      <c r="F11" s="758">
        <f>마.소각!O14</f>
        <v>0.49199999999999999</v>
      </c>
      <c r="G11" s="758">
        <f>마.소각!P14</f>
        <v>3.2635999999999998</v>
      </c>
      <c r="H11" s="759">
        <f t="shared" si="0"/>
        <v>60.859774666666667</v>
      </c>
      <c r="I11" s="771"/>
    </row>
    <row r="12" spans="2:9" s="555" customFormat="1" ht="34.5" customHeight="1" x14ac:dyDescent="0.3">
      <c r="B12" s="1058"/>
      <c r="C12" s="1065"/>
      <c r="D12" s="671" t="s">
        <v>270</v>
      </c>
      <c r="E12" s="769"/>
      <c r="F12" s="758">
        <f>바.하수!N14</f>
        <v>172468.8</v>
      </c>
      <c r="G12" s="758">
        <f>바.하수!O14</f>
        <v>37714.285714285717</v>
      </c>
      <c r="H12" s="759">
        <f t="shared" si="0"/>
        <v>15313.273371428571</v>
      </c>
      <c r="I12" s="771"/>
    </row>
    <row r="13" spans="2:9" s="555" customFormat="1" ht="34.5" customHeight="1" x14ac:dyDescent="0.3">
      <c r="B13" s="1058"/>
      <c r="C13" s="1065"/>
      <c r="D13" s="671" t="s">
        <v>271</v>
      </c>
      <c r="E13" s="769"/>
      <c r="F13" s="758">
        <f>사.폐수!K14</f>
        <v>71089.05283333332</v>
      </c>
      <c r="G13" s="770"/>
      <c r="H13" s="759">
        <f t="shared" si="0"/>
        <v>1492.8701094999999</v>
      </c>
      <c r="I13" s="771"/>
    </row>
    <row r="14" spans="2:9" s="555" customFormat="1" ht="34.5" customHeight="1" x14ac:dyDescent="0.3">
      <c r="B14" s="1058"/>
      <c r="C14" s="1040" t="s">
        <v>272</v>
      </c>
      <c r="D14" s="672" t="s">
        <v>255</v>
      </c>
      <c r="E14" s="757">
        <f ca="1">SUMPRODUCT(N(가.에너지!$C$17:$C$35=총괄_에너지및온실가스!$D14),가.에너지!P$17:P$35)</f>
        <v>6.3635134999999998</v>
      </c>
      <c r="F14" s="758">
        <f ca="1">SUMPRODUCT(N(가.에너지!$C$17:$C$35=총괄_에너지및온실가스!$D14),가.에너지!Q$17:Q$35)</f>
        <v>0.87964999999999993</v>
      </c>
      <c r="G14" s="758">
        <f ca="1">SUMPRODUCT(N(가.에너지!$C$17:$C$35=총괄_에너지및온실가스!$D14),가.에너지!R$17:R$35)</f>
        <v>5.2778999999999993E-2</v>
      </c>
      <c r="H14" s="759">
        <f t="shared" ca="1" si="0"/>
        <v>6.3983476399999999</v>
      </c>
      <c r="I14" s="760">
        <f>SUMPRODUCT(N(가.에너지!$C$17:$C$35=총괄_에너지및온실가스!$D14),가.에너지!T$17:T$35)*10^-6</f>
        <v>9.4289999999999999E-2</v>
      </c>
    </row>
    <row r="15" spans="2:9" s="555" customFormat="1" ht="34.5" customHeight="1" thickBot="1" x14ac:dyDescent="0.35">
      <c r="B15" s="1059"/>
      <c r="C15" s="1041"/>
      <c r="D15" s="673" t="s">
        <v>275</v>
      </c>
      <c r="E15" s="761">
        <f ca="1">SUMPRODUCT(N(가.에너지!$C$17:$C$35=총괄_에너지및온실가스!$D15),가.에너지!P$17:P$35)</f>
        <v>18.420979499999998</v>
      </c>
      <c r="F15" s="762">
        <f ca="1">SUMPRODUCT(N(가.에너지!$C$17:$C$35=총괄_에너지및온실가스!$D15),가.에너지!Q$17:Q$35)</f>
        <v>1.0601030999999999</v>
      </c>
      <c r="G15" s="762">
        <f ca="1">SUMPRODUCT(N(가.에너지!$C$17:$C$35=총괄_에너지및온실가스!$D15),가.에너지!R$17:R$35)</f>
        <v>0.98798909999999973</v>
      </c>
      <c r="H15" s="763">
        <f t="shared" ca="1" si="0"/>
        <v>18.749518286099999</v>
      </c>
      <c r="I15" s="764">
        <f>SUMPRODUCT(N(가.에너지!$C$17:$C$35=총괄_에너지및온실가스!$D15),가.에너지!T$17:T$35)*10^-6</f>
        <v>0.26582499999999998</v>
      </c>
    </row>
    <row r="16" spans="2:9" s="555" customFormat="1" ht="34.5" customHeight="1" x14ac:dyDescent="0.3">
      <c r="B16" s="1054" t="s">
        <v>550</v>
      </c>
      <c r="C16" s="1062" t="s">
        <v>273</v>
      </c>
      <c r="D16" s="1063"/>
      <c r="E16" s="753">
        <f>SUM(E17:E18)</f>
        <v>1993.1865326999998</v>
      </c>
      <c r="F16" s="754">
        <f>SUM(F17:F18)</f>
        <v>23.131758600000001</v>
      </c>
      <c r="G16" s="754">
        <f>SUM(G17:G18)</f>
        <v>11.565879300000001</v>
      </c>
      <c r="H16" s="755">
        <f>SUM(H17:H18)</f>
        <v>1997.2577222135999</v>
      </c>
      <c r="I16" s="756">
        <f>SUM(I17:I18)</f>
        <v>41.123126399999997</v>
      </c>
    </row>
    <row r="17" spans="2:9" s="555" customFormat="1" ht="34.5" customHeight="1" x14ac:dyDescent="0.3">
      <c r="B17" s="1055"/>
      <c r="C17" s="1040" t="s">
        <v>264</v>
      </c>
      <c r="D17" s="671" t="s">
        <v>265</v>
      </c>
      <c r="E17" s="757">
        <f>나.외부공급!K15</f>
        <v>1993.1865326999998</v>
      </c>
      <c r="F17" s="758">
        <f>나.외부공급!L15</f>
        <v>23.131758600000001</v>
      </c>
      <c r="G17" s="758">
        <f>나.외부공급!M15</f>
        <v>11.565879300000001</v>
      </c>
      <c r="H17" s="759">
        <f>E17*GWP_CO2+(F17*GWP_CH4+G17*GWP_N2O)*10^-3</f>
        <v>1997.2577222135999</v>
      </c>
      <c r="I17" s="760">
        <f>나.외부공급!O15*10^-6</f>
        <v>41.123126399999997</v>
      </c>
    </row>
    <row r="18" spans="2:9" s="555" customFormat="1" ht="34.5" customHeight="1" thickBot="1" x14ac:dyDescent="0.35">
      <c r="B18" s="1056"/>
      <c r="C18" s="1041"/>
      <c r="D18" s="674" t="s">
        <v>266</v>
      </c>
      <c r="E18" s="761">
        <f>나.외부공급!K24</f>
        <v>0</v>
      </c>
      <c r="F18" s="762">
        <f>나.외부공급!L24</f>
        <v>0</v>
      </c>
      <c r="G18" s="762">
        <f>나.외부공급!M24</f>
        <v>0</v>
      </c>
      <c r="H18" s="759">
        <f>E18*GWP_CO2+(F18*GWP_CH4+G18*GWP_N2O)*10^-3</f>
        <v>0</v>
      </c>
      <c r="I18" s="764">
        <f>나.외부공급!O24*10^-6</f>
        <v>0</v>
      </c>
    </row>
    <row r="19" spans="2:9" s="555" customFormat="1" x14ac:dyDescent="0.3"/>
    <row r="20" spans="2:9" s="555" customFormat="1" x14ac:dyDescent="0.3"/>
  </sheetData>
  <mergeCells count="12">
    <mergeCell ref="B16:B18"/>
    <mergeCell ref="B8:B15"/>
    <mergeCell ref="C8:D8"/>
    <mergeCell ref="C16:D16"/>
    <mergeCell ref="C17:C18"/>
    <mergeCell ref="C9:C13"/>
    <mergeCell ref="I4:I5"/>
    <mergeCell ref="E4:H4"/>
    <mergeCell ref="C14:C15"/>
    <mergeCell ref="B2:I2"/>
    <mergeCell ref="B4:D6"/>
    <mergeCell ref="B7:D7"/>
  </mergeCells>
  <phoneticPr fontId="9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1" orientation="landscape" blackAndWhite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B330-ECAB-440C-A717-6456FC88C60A}">
  <dimension ref="A1"/>
  <sheetViews>
    <sheetView workbookViewId="0"/>
  </sheetViews>
  <sheetFormatPr defaultRowHeight="16.5" x14ac:dyDescent="0.3"/>
  <sheetData>
    <row r="1" spans="1:1" x14ac:dyDescent="0.3">
      <c r="A1">
        <f>GWP_CO2</f>
        <v>1</v>
      </c>
    </row>
  </sheetData>
  <phoneticPr fontId="1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W36"/>
  <sheetViews>
    <sheetView zoomScale="85" zoomScaleNormal="85" workbookViewId="0">
      <selection activeCell="T14" sqref="T14"/>
    </sheetView>
  </sheetViews>
  <sheetFormatPr defaultColWidth="0" defaultRowHeight="16.5" zeroHeight="1" x14ac:dyDescent="0.3"/>
  <cols>
    <col min="1" max="1" width="3.375" customWidth="1"/>
    <col min="2" max="2" width="16.375" customWidth="1"/>
    <col min="3" max="3" width="12.25" customWidth="1"/>
    <col min="4" max="4" width="15.375" bestFit="1" customWidth="1"/>
    <col min="5" max="5" width="15.125" customWidth="1"/>
    <col min="6" max="6" width="6.75" customWidth="1"/>
    <col min="7" max="8" width="7.625" customWidth="1"/>
    <col min="9" max="9" width="11.5" customWidth="1"/>
    <col min="10" max="10" width="11.75" bestFit="1" customWidth="1"/>
    <col min="11" max="11" width="11" customWidth="1"/>
    <col min="12" max="12" width="11.125" customWidth="1"/>
    <col min="13" max="15" width="8.75" customWidth="1"/>
    <col min="16" max="16" width="14.75" customWidth="1"/>
    <col min="17" max="17" width="14.5" customWidth="1"/>
    <col min="18" max="18" width="17.875" customWidth="1"/>
    <col min="19" max="19" width="17.625" style="157" customWidth="1"/>
    <col min="20" max="20" width="14.5" style="157" bestFit="1" customWidth="1"/>
    <col min="21" max="21" width="18.5" bestFit="1" customWidth="1"/>
    <col min="22" max="22" width="13.375" customWidth="1"/>
    <col min="23" max="23" width="4" customWidth="1"/>
    <col min="24" max="16384" width="4" hidden="1"/>
  </cols>
  <sheetData>
    <row r="1" spans="1:22" s="1" customFormat="1" ht="26.25" customHeight="1" x14ac:dyDescent="0.3">
      <c r="A1" s="2"/>
      <c r="B1" s="1079" t="s">
        <v>29</v>
      </c>
      <c r="C1" s="1079"/>
      <c r="D1" s="1080" t="s">
        <v>90</v>
      </c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</row>
    <row r="2" spans="1:22" s="1" customFormat="1" ht="26.25" customHeight="1" x14ac:dyDescent="0.3">
      <c r="A2" s="2"/>
      <c r="B2" s="1079" t="s">
        <v>30</v>
      </c>
      <c r="C2" s="1079"/>
      <c r="D2" s="1080" t="s">
        <v>91</v>
      </c>
      <c r="E2" s="1080"/>
      <c r="F2" s="1080"/>
      <c r="G2" s="1080"/>
      <c r="H2" s="1080"/>
      <c r="I2" s="1080"/>
      <c r="J2" s="1080"/>
      <c r="K2" s="1080"/>
      <c r="L2" s="1080"/>
      <c r="M2" s="1080"/>
      <c r="N2" s="1080"/>
      <c r="O2" s="1080"/>
      <c r="P2" s="1080"/>
    </row>
    <row r="3" spans="1:22" s="1" customFormat="1" ht="26.25" customHeight="1" x14ac:dyDescent="0.3">
      <c r="A3" s="2"/>
      <c r="B3" s="1079" t="s">
        <v>58</v>
      </c>
      <c r="C3" s="1079"/>
      <c r="D3" s="1080" t="s">
        <v>92</v>
      </c>
      <c r="E3" s="1080"/>
      <c r="F3" s="1080"/>
      <c r="G3" s="1080"/>
      <c r="H3" s="1080"/>
      <c r="I3" s="1080"/>
      <c r="J3" s="1080"/>
      <c r="K3" s="1080"/>
      <c r="L3" s="1080"/>
      <c r="M3" s="1080"/>
      <c r="N3" s="1080"/>
      <c r="O3" s="1080"/>
      <c r="P3" s="1080"/>
    </row>
    <row r="4" spans="1:22" ht="17.25" thickBot="1" x14ac:dyDescent="0.35">
      <c r="S4"/>
      <c r="T4"/>
    </row>
    <row r="5" spans="1:22" ht="24" customHeight="1" x14ac:dyDescent="0.3">
      <c r="A5" s="832" t="s">
        <v>233</v>
      </c>
      <c r="B5" s="900" t="s">
        <v>166</v>
      </c>
      <c r="C5" s="5">
        <v>4</v>
      </c>
      <c r="E5" s="382" t="s">
        <v>690</v>
      </c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9"/>
      <c r="U5" s="233"/>
      <c r="V5" s="239"/>
    </row>
    <row r="6" spans="1:22" ht="21" customHeight="1" x14ac:dyDescent="0.3">
      <c r="A6" s="899"/>
      <c r="B6" s="901" t="s">
        <v>702</v>
      </c>
      <c r="C6" s="830">
        <v>1</v>
      </c>
      <c r="E6" s="383" t="s">
        <v>473</v>
      </c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40"/>
      <c r="U6" s="235"/>
      <c r="V6" s="240"/>
    </row>
    <row r="7" spans="1:22" ht="21" customHeight="1" x14ac:dyDescent="0.3">
      <c r="A7" s="899"/>
      <c r="B7" s="902" t="s">
        <v>704</v>
      </c>
      <c r="C7" s="916">
        <v>1</v>
      </c>
      <c r="E7" s="383" t="s">
        <v>474</v>
      </c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40"/>
      <c r="U7" s="235"/>
      <c r="V7" s="240"/>
    </row>
    <row r="8" spans="1:22" ht="21" customHeight="1" thickBot="1" x14ac:dyDescent="0.35">
      <c r="A8" s="899"/>
      <c r="B8" s="902" t="s">
        <v>705</v>
      </c>
      <c r="C8" s="917">
        <v>1</v>
      </c>
      <c r="E8" s="384" t="s">
        <v>475</v>
      </c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41"/>
      <c r="U8" s="237"/>
      <c r="V8" s="241"/>
    </row>
    <row r="9" spans="1:22" ht="21" customHeight="1" x14ac:dyDescent="0.3">
      <c r="A9" s="833"/>
      <c r="B9" s="902" t="s">
        <v>706</v>
      </c>
      <c r="C9" s="916">
        <v>1</v>
      </c>
      <c r="S9"/>
      <c r="T9"/>
    </row>
    <row r="10" spans="1:22" ht="21" customHeight="1" x14ac:dyDescent="0.3">
      <c r="B10" s="835" t="s">
        <v>686</v>
      </c>
      <c r="C10" s="918">
        <v>0.98</v>
      </c>
      <c r="S10"/>
      <c r="T10"/>
    </row>
    <row r="11" spans="1:22" ht="21" customHeight="1" x14ac:dyDescent="0.3">
      <c r="B11" s="866"/>
      <c r="C11" s="831"/>
      <c r="S11"/>
      <c r="T11"/>
    </row>
    <row r="12" spans="1:22" s="4" customFormat="1" ht="41.25" customHeight="1" x14ac:dyDescent="0.3">
      <c r="B12" s="1070" t="s">
        <v>156</v>
      </c>
      <c r="C12" s="1070"/>
      <c r="D12" s="1070"/>
      <c r="E12" s="1070" t="s">
        <v>157</v>
      </c>
      <c r="F12" s="1070"/>
      <c r="G12" s="1072" t="s">
        <v>169</v>
      </c>
      <c r="H12" s="1072"/>
      <c r="I12" s="1073"/>
      <c r="J12" s="1078" t="s">
        <v>22</v>
      </c>
      <c r="K12" s="1072"/>
      <c r="L12" s="1072"/>
      <c r="M12" s="1072"/>
      <c r="N12" s="1072"/>
      <c r="O12" s="1073"/>
      <c r="P12" s="1071" t="s">
        <v>87</v>
      </c>
      <c r="Q12" s="1070"/>
      <c r="R12" s="1070"/>
      <c r="S12" s="1070"/>
      <c r="T12" s="370" t="s">
        <v>185</v>
      </c>
      <c r="U12" s="1066" t="s">
        <v>720</v>
      </c>
      <c r="V12" s="1066"/>
    </row>
    <row r="13" spans="1:22" s="4" customFormat="1" ht="38.25" customHeight="1" x14ac:dyDescent="0.3">
      <c r="B13" s="1070"/>
      <c r="C13" s="1070"/>
      <c r="D13" s="1070"/>
      <c r="E13" s="1074" t="s">
        <v>159</v>
      </c>
      <c r="F13" s="1076"/>
      <c r="G13" s="1074" t="s">
        <v>160</v>
      </c>
      <c r="H13" s="1075"/>
      <c r="I13" s="1076"/>
      <c r="J13" s="366" t="s">
        <v>161</v>
      </c>
      <c r="K13" s="366" t="s">
        <v>162</v>
      </c>
      <c r="L13" s="366" t="s">
        <v>163</v>
      </c>
      <c r="M13" s="378" t="s">
        <v>716</v>
      </c>
      <c r="N13" s="378" t="s">
        <v>717</v>
      </c>
      <c r="O13" s="378" t="s">
        <v>718</v>
      </c>
      <c r="P13" s="290" t="s">
        <v>350</v>
      </c>
      <c r="Q13" s="290" t="s">
        <v>351</v>
      </c>
      <c r="R13" s="290" t="s">
        <v>352</v>
      </c>
      <c r="S13" s="290" t="s">
        <v>353</v>
      </c>
      <c r="T13" s="290" t="s">
        <v>354</v>
      </c>
      <c r="U13" s="378"/>
      <c r="V13" s="290"/>
    </row>
    <row r="14" spans="1:22" s="4" customFormat="1" ht="69.75" x14ac:dyDescent="0.3">
      <c r="B14" s="333" t="s">
        <v>164</v>
      </c>
      <c r="C14" s="179" t="s">
        <v>256</v>
      </c>
      <c r="D14" s="378" t="s">
        <v>234</v>
      </c>
      <c r="E14" s="179" t="s">
        <v>235</v>
      </c>
      <c r="F14" s="42" t="s">
        <v>167</v>
      </c>
      <c r="G14" s="42" t="s">
        <v>199</v>
      </c>
      <c r="H14" s="370" t="s">
        <v>198</v>
      </c>
      <c r="I14" s="370" t="s">
        <v>168</v>
      </c>
      <c r="J14" s="370" t="s">
        <v>299</v>
      </c>
      <c r="K14" s="42" t="s">
        <v>319</v>
      </c>
      <c r="L14" s="42" t="s">
        <v>307</v>
      </c>
      <c r="M14" s="920" t="s">
        <v>710</v>
      </c>
      <c r="N14" s="920" t="s">
        <v>711</v>
      </c>
      <c r="O14" s="920" t="s">
        <v>712</v>
      </c>
      <c r="P14" s="370" t="s">
        <v>644</v>
      </c>
      <c r="Q14" s="42" t="s">
        <v>320</v>
      </c>
      <c r="R14" s="42" t="s">
        <v>308</v>
      </c>
      <c r="S14" s="371" t="s">
        <v>300</v>
      </c>
      <c r="T14" s="368" t="s">
        <v>643</v>
      </c>
      <c r="U14" s="179" t="s">
        <v>723</v>
      </c>
      <c r="V14" s="370" t="s">
        <v>721</v>
      </c>
    </row>
    <row r="15" spans="1:22" s="4" customFormat="1" ht="41.25" customHeight="1" x14ac:dyDescent="0.3">
      <c r="B15" s="372"/>
      <c r="C15" s="379"/>
      <c r="D15" s="380"/>
      <c r="E15" s="1077"/>
      <c r="F15" s="1077"/>
      <c r="G15" s="1077"/>
      <c r="H15" s="1077"/>
      <c r="I15" s="1077"/>
      <c r="J15" s="381"/>
      <c r="K15" s="381"/>
      <c r="L15" s="381"/>
      <c r="M15" s="921" t="str">
        <f>"Tier" &amp; IF($C$6&gt;1,$C$6-1,$C7)&amp; CHAR(10) &amp; "적용"</f>
        <v>Tier1
적용</v>
      </c>
      <c r="N15" s="921" t="str">
        <f>"Tier" &amp; IF($C$6&gt;1,$C$6-1,$C8)&amp; CHAR(10) &amp; "적용"</f>
        <v>Tier1
적용</v>
      </c>
      <c r="O15" s="921" t="str">
        <f>"Tier" &amp; IF($C$6&gt;1,$C$6-1,$C9)&amp; CHAR(10) &amp; "적용"</f>
        <v>Tier1
적용</v>
      </c>
      <c r="P15" s="290" t="s">
        <v>713</v>
      </c>
      <c r="Q15" s="290" t="s">
        <v>714</v>
      </c>
      <c r="R15" s="290" t="s">
        <v>715</v>
      </c>
      <c r="S15" s="376" t="s">
        <v>277</v>
      </c>
      <c r="T15" s="290" t="s">
        <v>635</v>
      </c>
      <c r="U15" s="923"/>
      <c r="V15" s="290"/>
    </row>
    <row r="16" spans="1:22" s="4" customFormat="1" ht="26.25" customHeight="1" x14ac:dyDescent="0.3">
      <c r="B16" s="1067" t="s">
        <v>165</v>
      </c>
      <c r="C16" s="1068"/>
      <c r="D16" s="1069"/>
      <c r="E16" s="660"/>
      <c r="F16" s="661"/>
      <c r="G16" s="661"/>
      <c r="H16" s="662"/>
      <c r="I16" s="662"/>
      <c r="J16" s="662"/>
      <c r="K16" s="661"/>
      <c r="L16" s="663"/>
      <c r="M16" s="663"/>
      <c r="N16" s="663"/>
      <c r="O16" s="663"/>
      <c r="P16" s="735">
        <f t="array" aca="1" ref="P16" ca="1">SUM(VALUE(P17:P35))</f>
        <v>24.784492999999998</v>
      </c>
      <c r="Q16" s="735">
        <f t="array" aca="1" ref="Q16" ca="1">SUM(VALUE(Q17:Q35))</f>
        <v>1.9397530999999997</v>
      </c>
      <c r="R16" s="735">
        <f t="array" aca="1" ref="R16" ca="1">SUM(VALUE(R17:R35))</f>
        <v>1.0407680999999998</v>
      </c>
      <c r="S16" s="735">
        <f ca="1">SUM(S17:S35)</f>
        <v>25.147865926099996</v>
      </c>
      <c r="T16" s="735">
        <f>SUM(T17:T35)</f>
        <v>360115</v>
      </c>
      <c r="U16" s="663"/>
      <c r="V16" s="735">
        <f>SUM(V17:V35)</f>
        <v>8383.82</v>
      </c>
    </row>
    <row r="17" spans="2:22" s="4" customFormat="1" ht="21" customHeight="1" x14ac:dyDescent="0.3">
      <c r="B17" s="664"/>
      <c r="C17" s="665" t="s">
        <v>621</v>
      </c>
      <c r="D17" s="665" t="s">
        <v>109</v>
      </c>
      <c r="E17" s="834">
        <v>500</v>
      </c>
      <c r="F17" s="667" t="str">
        <f>IF($D17&lt;&gt;"",IF($C17="고정연소",VLOOKUP($D17,EF_Energy_stationary,2,0),IF($C17="이동연소",VLOOKUP($D17,EF_Energy_Mobile,2,0),"")),"")</f>
        <v>ℓ</v>
      </c>
      <c r="G17" s="882">
        <f t="shared" ref="G17:G35" si="0">IF($D17&lt;&gt;"",IF($C17="고정연소",VLOOKUP($D17,EF_Energy_stationary,8,0),IF($C17="이동연소",VLOOKUP($D17,EF_Energy_Mobile,4,0),"")),"")</f>
        <v>37.700000000000003</v>
      </c>
      <c r="H17" s="882">
        <f t="shared" ref="H17:H35" si="1">IF($D17&lt;&gt;"",IF($C17="고정연소",VLOOKUP($D17,EF_Energy_stationary,9,0),IF($C17="이동연소",VLOOKUP($D17,EF_Energy_Mobile,5,0),"")),"")</f>
        <v>35.299999999999997</v>
      </c>
      <c r="I17" s="667" t="str">
        <f t="shared" ref="I17:I35" si="2">IF($D17&lt;&gt;"",IF($C17="고정연소",VLOOKUP($D17,EF_Energy_stationary,7,0),IF($C17="이동연소",VLOOKUP($D17,EF_Energy_Mobile,3,0),"")),"")</f>
        <v>TJ/1000㎥</v>
      </c>
      <c r="J17" s="668">
        <f t="shared" ref="J17:J35" si="3">IF($D17&lt;&gt;"",IF($C17="고정연소",VLOOKUP($D17,EF_Energy_stationary,10,0),IF($C17="이동연소",VLOOKUP($D17,EF_Energy_Mobile,6,0),0)),"")</f>
        <v>74100</v>
      </c>
      <c r="K17" s="669">
        <f t="shared" ref="K17:K35" si="4">IF($D17&lt;&gt;"",IF($C17="고정연소",VLOOKUP($D17,EF_Energy_stationary,10+$C$5,0),IF($C17="이동연소",VLOOKUP($D17,EF_Energy_Mobile,7,0),0)),"")</f>
        <v>10</v>
      </c>
      <c r="L17" s="669">
        <f t="shared" ref="L17:L35" si="5">IF($D17&lt;&gt;"",IF($C17="고정연소",VLOOKUP($D17,EF_Energy_stationary,IF($C$5&lt;3,15,16),0),IF($C17="이동연소",VLOOKUP($D17,EF_Energy_Mobile,8,0),0)),"")</f>
        <v>0.6</v>
      </c>
      <c r="M17" s="922">
        <f ca="1">IF($D17&lt;&gt;"",IF($C17="고정연소",INDEX(INDIRECT("EF_Energy_f_"&amp;IF($F17="ℓ","liquid",IF($F17="㎏","Solid","gas"))),1,1),IF($C17="이동연소",1,"")),"")</f>
        <v>1</v>
      </c>
      <c r="N17" s="922">
        <f ca="1">IF($D17&lt;&gt;"",IF($C17="고정연소",INDEX(INDIRECT("EF_Energy_f_"&amp;IF($F17="ℓ","liquid",IF($F17="㎏","Solid","gas"))),1,2),IF($C17="이동연소",1,"")),"")</f>
        <v>1</v>
      </c>
      <c r="O17" s="922">
        <f ca="1">IF($D17&lt;&gt;"",IF($C17="고정연소",INDEX(INDIRECT("EF_Energy_f_"&amp;IF($F17="ℓ","liquid",IF($F17="㎏","Solid","gas"))),1,3),IF($C17="이동연소",1,"")),"")</f>
        <v>1</v>
      </c>
      <c r="P17" s="736">
        <f ca="1">IF(ISERROR($E17*$H17*J17*O17),0,$E17*$H17*J17*$M17*10^-9)</f>
        <v>1.3078650000000001</v>
      </c>
      <c r="Q17" s="736">
        <f ca="1">IF(ISERROR($E17*$H17*K17*O17),0,$E17*$H17*K17*$N17*10^-6)</f>
        <v>0.17649999999999999</v>
      </c>
      <c r="R17" s="736">
        <f ca="1">IF(ISERROR($E17*$H17*L17*O17),0,$E17*$H17*L17*$O17*10^-6)</f>
        <v>1.0589999999999999E-2</v>
      </c>
      <c r="S17" s="737">
        <f t="shared" ref="S17:S35" ca="1" si="6">P17*GWP_CO2+(Q17*GWP_CH4+R17*GWP_N2O)*10^-3</f>
        <v>1.3148544</v>
      </c>
      <c r="T17" s="736">
        <f t="shared" ref="T17:T35" si="7">E17*N(G17)</f>
        <v>18850</v>
      </c>
      <c r="U17" s="922">
        <f t="shared" ref="U17:U35" si="8">IF($D17&lt;&gt;"",IF($C17="고정연소",ROUND(VLOOKUP($D17,EF_Energy_stationary,5,0)*G17/H17,3),IF($C17="이동연소",VLOOKUP($D17,EF_Energy_Mobile,9,0),"")),"")</f>
        <v>0.89900000000000002</v>
      </c>
      <c r="V17" s="736">
        <f>E17*N(U17)</f>
        <v>449.5</v>
      </c>
    </row>
    <row r="18" spans="2:22" s="4" customFormat="1" ht="21" customHeight="1" x14ac:dyDescent="0.3">
      <c r="B18" s="664"/>
      <c r="C18" s="665" t="s">
        <v>621</v>
      </c>
      <c r="D18" s="665" t="s">
        <v>741</v>
      </c>
      <c r="E18" s="834">
        <v>2050</v>
      </c>
      <c r="F18" s="667" t="str">
        <f t="shared" ref="F18:F35" si="9">IF($D18&lt;&gt;"",IF($C18="고정연소",VLOOKUP($D18,EF_Energy_stationary,2,0),IF($C18="이동연소",VLOOKUP($D18,EF_Energy_Mobile,2,0),"")),"")</f>
        <v>ℓ</v>
      </c>
      <c r="G18" s="882">
        <f t="shared" si="0"/>
        <v>36.799999999999997</v>
      </c>
      <c r="H18" s="882">
        <f t="shared" si="1"/>
        <v>34.299999999999997</v>
      </c>
      <c r="I18" s="667" t="str">
        <f t="shared" si="2"/>
        <v>TJ/1000㎥</v>
      </c>
      <c r="J18" s="668">
        <f t="shared" si="3"/>
        <v>71900</v>
      </c>
      <c r="K18" s="669">
        <f t="shared" si="4"/>
        <v>10</v>
      </c>
      <c r="L18" s="867">
        <f t="shared" si="5"/>
        <v>0.6</v>
      </c>
      <c r="M18" s="922">
        <f t="shared" ref="M18:M35" ca="1" si="10">IF($D18&lt;&gt;"",IF($C18="고정연소",INDEX(INDIRECT("EF_Energy_f_"&amp;IF($F18="ℓ","liquid",IF($F18="㎏","Solid","gas"))),1,1),IF($C18="이동연소",1,"")),"")</f>
        <v>1</v>
      </c>
      <c r="N18" s="922">
        <f t="shared" ref="N18:N35" ca="1" si="11">IF($D18&lt;&gt;"",IF($C18="고정연소",INDEX(INDIRECT("EF_Energy_f_"&amp;IF($F18="ℓ","liquid",IF($F18="㎏","Solid","gas"))),1,2),IF($C18="이동연소",1,"")),"")</f>
        <v>1</v>
      </c>
      <c r="O18" s="922">
        <f t="shared" ref="O18:O35" ca="1" si="12">IF($D18&lt;&gt;"",IF($C18="고정연소",INDEX(INDIRECT("EF_Energy_f_"&amp;IF($F18="ℓ","liquid",IF($F18="㎏","Solid","gas"))),1,3),IF($C18="이동연소",1,"")),"")</f>
        <v>1</v>
      </c>
      <c r="P18" s="736">
        <f t="shared" ref="P18:P35" ca="1" si="13">IF(ISERROR($E18*$H18*J18*O18),0,$E18*$H18*J18*$M18*10^-9)</f>
        <v>5.0556485000000002</v>
      </c>
      <c r="Q18" s="736">
        <f t="shared" ref="Q18:Q35" ca="1" si="14">IF(ISERROR($E18*$H18*K18*O18),0,$E18*$H18*K18*$N18*10^-6)</f>
        <v>0.70314999999999994</v>
      </c>
      <c r="R18" s="736">
        <f t="shared" ref="R18:R35" ca="1" si="15">IF(ISERROR($E18*$H18*L18*O18),0,$E18*$H18*L18*$O18*10^-6)</f>
        <v>4.2188999999999997E-2</v>
      </c>
      <c r="S18" s="737">
        <f t="shared" ca="1" si="6"/>
        <v>5.0834932400000001</v>
      </c>
      <c r="T18" s="736">
        <f t="shared" si="7"/>
        <v>75440</v>
      </c>
      <c r="U18" s="922">
        <f t="shared" si="8"/>
        <v>0.88</v>
      </c>
      <c r="V18" s="736">
        <f t="shared" ref="V18:V35" si="16">E18*N(U18)</f>
        <v>1804</v>
      </c>
    </row>
    <row r="19" spans="2:22" s="4" customFormat="1" ht="21" customHeight="1" x14ac:dyDescent="0.3">
      <c r="B19" s="664"/>
      <c r="C19" s="665" t="s">
        <v>743</v>
      </c>
      <c r="D19" s="665" t="s">
        <v>107</v>
      </c>
      <c r="E19" s="834">
        <v>140</v>
      </c>
      <c r="F19" s="667" t="str">
        <f t="shared" si="9"/>
        <v>ℓ</v>
      </c>
      <c r="G19" s="882">
        <f t="shared" si="0"/>
        <v>32.6</v>
      </c>
      <c r="H19" s="882">
        <f t="shared" si="1"/>
        <v>30.3</v>
      </c>
      <c r="I19" s="667" t="str">
        <f t="shared" si="2"/>
        <v>TJ/1000㎥</v>
      </c>
      <c r="J19" s="668">
        <f t="shared" si="3"/>
        <v>69300</v>
      </c>
      <c r="K19" s="669">
        <f t="shared" si="4"/>
        <v>25</v>
      </c>
      <c r="L19" s="669">
        <f t="shared" si="5"/>
        <v>8</v>
      </c>
      <c r="M19" s="922">
        <f t="shared" ca="1" si="10"/>
        <v>1</v>
      </c>
      <c r="N19" s="922">
        <f t="shared" ca="1" si="11"/>
        <v>1</v>
      </c>
      <c r="O19" s="922">
        <f t="shared" ca="1" si="12"/>
        <v>1</v>
      </c>
      <c r="P19" s="736">
        <f t="shared" ca="1" si="13"/>
        <v>0.29397060000000003</v>
      </c>
      <c r="Q19" s="736">
        <f t="shared" ca="1" si="14"/>
        <v>0.10604999999999999</v>
      </c>
      <c r="R19" s="736">
        <f t="shared" ca="1" si="15"/>
        <v>3.3936000000000001E-2</v>
      </c>
      <c r="S19" s="737">
        <f t="shared" ca="1" si="6"/>
        <v>0.30671781000000004</v>
      </c>
      <c r="T19" s="736">
        <f t="shared" si="7"/>
        <v>4564</v>
      </c>
      <c r="U19" s="922">
        <f t="shared" si="8"/>
        <v>0.72299999999999998</v>
      </c>
      <c r="V19" s="736">
        <f t="shared" si="16"/>
        <v>101.22</v>
      </c>
    </row>
    <row r="20" spans="2:22" s="4" customFormat="1" ht="21" customHeight="1" x14ac:dyDescent="0.3">
      <c r="B20" s="664"/>
      <c r="C20" s="665" t="s">
        <v>743</v>
      </c>
      <c r="D20" s="665" t="s">
        <v>109</v>
      </c>
      <c r="E20" s="834">
        <v>6930</v>
      </c>
      <c r="F20" s="667" t="str">
        <f t="shared" si="9"/>
        <v>ℓ</v>
      </c>
      <c r="G20" s="882">
        <f t="shared" si="0"/>
        <v>37.700000000000003</v>
      </c>
      <c r="H20" s="882">
        <f t="shared" si="1"/>
        <v>35.299999999999997</v>
      </c>
      <c r="I20" s="667" t="str">
        <f t="shared" si="2"/>
        <v>TJ/1000㎥</v>
      </c>
      <c r="J20" s="668">
        <f t="shared" si="3"/>
        <v>74100</v>
      </c>
      <c r="K20" s="669">
        <f t="shared" si="4"/>
        <v>3.9</v>
      </c>
      <c r="L20" s="669">
        <f t="shared" si="5"/>
        <v>3.9</v>
      </c>
      <c r="M20" s="922">
        <f t="shared" ca="1" si="10"/>
        <v>1</v>
      </c>
      <c r="N20" s="922">
        <f t="shared" ca="1" si="11"/>
        <v>1</v>
      </c>
      <c r="O20" s="922">
        <f t="shared" ca="1" si="12"/>
        <v>1</v>
      </c>
      <c r="P20" s="736">
        <f t="shared" ca="1" si="13"/>
        <v>18.127008899999996</v>
      </c>
      <c r="Q20" s="736">
        <f t="shared" ca="1" si="14"/>
        <v>0.95405309999999977</v>
      </c>
      <c r="R20" s="736">
        <f t="shared" ca="1" si="15"/>
        <v>0.95405309999999977</v>
      </c>
      <c r="S20" s="737">
        <f t="shared" ca="1" si="6"/>
        <v>18.442800476099997</v>
      </c>
      <c r="T20" s="736">
        <f t="shared" si="7"/>
        <v>261261.00000000003</v>
      </c>
      <c r="U20" s="922">
        <f t="shared" si="8"/>
        <v>0.87</v>
      </c>
      <c r="V20" s="736">
        <f t="shared" si="16"/>
        <v>6029.1</v>
      </c>
    </row>
    <row r="21" spans="2:22" s="4" customFormat="1" ht="21" customHeight="1" x14ac:dyDescent="0.3">
      <c r="B21" s="664"/>
      <c r="C21" s="665"/>
      <c r="D21" s="665"/>
      <c r="E21" s="834"/>
      <c r="F21" s="667" t="str">
        <f t="shared" si="9"/>
        <v/>
      </c>
      <c r="G21" s="882" t="str">
        <f t="shared" si="0"/>
        <v/>
      </c>
      <c r="H21" s="882" t="str">
        <f t="shared" si="1"/>
        <v/>
      </c>
      <c r="I21" s="667" t="str">
        <f t="shared" si="2"/>
        <v/>
      </c>
      <c r="J21" s="668" t="str">
        <f t="shared" si="3"/>
        <v/>
      </c>
      <c r="K21" s="669" t="str">
        <f t="shared" si="4"/>
        <v/>
      </c>
      <c r="L21" s="669" t="str">
        <f t="shared" si="5"/>
        <v/>
      </c>
      <c r="M21" s="922" t="str">
        <f t="shared" ca="1" si="10"/>
        <v/>
      </c>
      <c r="N21" s="922" t="str">
        <f t="shared" ca="1" si="11"/>
        <v/>
      </c>
      <c r="O21" s="922" t="str">
        <f t="shared" ca="1" si="12"/>
        <v/>
      </c>
      <c r="P21" s="736">
        <f t="shared" ca="1" si="13"/>
        <v>0</v>
      </c>
      <c r="Q21" s="736">
        <f t="shared" ca="1" si="14"/>
        <v>0</v>
      </c>
      <c r="R21" s="736">
        <f t="shared" ca="1" si="15"/>
        <v>0</v>
      </c>
      <c r="S21" s="737">
        <f t="shared" ca="1" si="6"/>
        <v>0</v>
      </c>
      <c r="T21" s="736">
        <f t="shared" si="7"/>
        <v>0</v>
      </c>
      <c r="U21" s="922" t="str">
        <f t="shared" si="8"/>
        <v/>
      </c>
      <c r="V21" s="736">
        <f t="shared" si="16"/>
        <v>0</v>
      </c>
    </row>
    <row r="22" spans="2:22" s="4" customFormat="1" ht="21" customHeight="1" x14ac:dyDescent="0.3">
      <c r="B22" s="664"/>
      <c r="C22" s="665"/>
      <c r="D22" s="665"/>
      <c r="E22" s="834"/>
      <c r="F22" s="667" t="str">
        <f t="shared" si="9"/>
        <v/>
      </c>
      <c r="G22" s="882" t="str">
        <f t="shared" si="0"/>
        <v/>
      </c>
      <c r="H22" s="882" t="str">
        <f t="shared" si="1"/>
        <v/>
      </c>
      <c r="I22" s="667" t="str">
        <f t="shared" si="2"/>
        <v/>
      </c>
      <c r="J22" s="668" t="str">
        <f t="shared" si="3"/>
        <v/>
      </c>
      <c r="K22" s="669" t="str">
        <f t="shared" si="4"/>
        <v/>
      </c>
      <c r="L22" s="669" t="str">
        <f t="shared" si="5"/>
        <v/>
      </c>
      <c r="M22" s="922" t="str">
        <f t="shared" ca="1" si="10"/>
        <v/>
      </c>
      <c r="N22" s="922" t="str">
        <f t="shared" ca="1" si="11"/>
        <v/>
      </c>
      <c r="O22" s="922" t="str">
        <f t="shared" ca="1" si="12"/>
        <v/>
      </c>
      <c r="P22" s="736">
        <f t="shared" ca="1" si="13"/>
        <v>0</v>
      </c>
      <c r="Q22" s="736">
        <f t="shared" ca="1" si="14"/>
        <v>0</v>
      </c>
      <c r="R22" s="736">
        <f t="shared" ca="1" si="15"/>
        <v>0</v>
      </c>
      <c r="S22" s="737">
        <f t="shared" ca="1" si="6"/>
        <v>0</v>
      </c>
      <c r="T22" s="736">
        <f t="shared" si="7"/>
        <v>0</v>
      </c>
      <c r="U22" s="922" t="str">
        <f t="shared" si="8"/>
        <v/>
      </c>
      <c r="V22" s="736">
        <f t="shared" si="16"/>
        <v>0</v>
      </c>
    </row>
    <row r="23" spans="2:22" s="4" customFormat="1" ht="21" customHeight="1" x14ac:dyDescent="0.3">
      <c r="B23" s="664"/>
      <c r="C23" s="665"/>
      <c r="D23" s="665"/>
      <c r="E23" s="834"/>
      <c r="F23" s="667" t="str">
        <f t="shared" si="9"/>
        <v/>
      </c>
      <c r="G23" s="882" t="str">
        <f t="shared" si="0"/>
        <v/>
      </c>
      <c r="H23" s="882" t="str">
        <f t="shared" si="1"/>
        <v/>
      </c>
      <c r="I23" s="667" t="str">
        <f t="shared" si="2"/>
        <v/>
      </c>
      <c r="J23" s="668" t="str">
        <f t="shared" si="3"/>
        <v/>
      </c>
      <c r="K23" s="669" t="str">
        <f t="shared" si="4"/>
        <v/>
      </c>
      <c r="L23" s="669" t="str">
        <f t="shared" si="5"/>
        <v/>
      </c>
      <c r="M23" s="922" t="str">
        <f t="shared" ca="1" si="10"/>
        <v/>
      </c>
      <c r="N23" s="922" t="str">
        <f t="shared" ca="1" si="11"/>
        <v/>
      </c>
      <c r="O23" s="922" t="str">
        <f t="shared" ca="1" si="12"/>
        <v/>
      </c>
      <c r="P23" s="736">
        <f t="shared" ca="1" si="13"/>
        <v>0</v>
      </c>
      <c r="Q23" s="736">
        <f t="shared" ca="1" si="14"/>
        <v>0</v>
      </c>
      <c r="R23" s="736">
        <f t="shared" ca="1" si="15"/>
        <v>0</v>
      </c>
      <c r="S23" s="737">
        <f t="shared" ca="1" si="6"/>
        <v>0</v>
      </c>
      <c r="T23" s="736">
        <f t="shared" si="7"/>
        <v>0</v>
      </c>
      <c r="U23" s="922" t="str">
        <f t="shared" si="8"/>
        <v/>
      </c>
      <c r="V23" s="736">
        <f t="shared" si="16"/>
        <v>0</v>
      </c>
    </row>
    <row r="24" spans="2:22" ht="21" customHeight="1" x14ac:dyDescent="0.3">
      <c r="B24" s="664"/>
      <c r="C24" s="665"/>
      <c r="D24" s="665"/>
      <c r="E24" s="834"/>
      <c r="F24" s="667" t="str">
        <f t="shared" si="9"/>
        <v/>
      </c>
      <c r="G24" s="882" t="str">
        <f t="shared" si="0"/>
        <v/>
      </c>
      <c r="H24" s="882" t="str">
        <f t="shared" si="1"/>
        <v/>
      </c>
      <c r="I24" s="667" t="str">
        <f t="shared" si="2"/>
        <v/>
      </c>
      <c r="J24" s="668" t="str">
        <f t="shared" si="3"/>
        <v/>
      </c>
      <c r="K24" s="669" t="str">
        <f t="shared" si="4"/>
        <v/>
      </c>
      <c r="L24" s="669" t="str">
        <f t="shared" si="5"/>
        <v/>
      </c>
      <c r="M24" s="922" t="str">
        <f t="shared" ca="1" si="10"/>
        <v/>
      </c>
      <c r="N24" s="922" t="str">
        <f t="shared" ca="1" si="11"/>
        <v/>
      </c>
      <c r="O24" s="922" t="str">
        <f t="shared" ca="1" si="12"/>
        <v/>
      </c>
      <c r="P24" s="736">
        <f t="shared" ca="1" si="13"/>
        <v>0</v>
      </c>
      <c r="Q24" s="736">
        <f t="shared" ca="1" si="14"/>
        <v>0</v>
      </c>
      <c r="R24" s="736">
        <f t="shared" ca="1" si="15"/>
        <v>0</v>
      </c>
      <c r="S24" s="737">
        <f t="shared" ca="1" si="6"/>
        <v>0</v>
      </c>
      <c r="T24" s="736">
        <f t="shared" si="7"/>
        <v>0</v>
      </c>
      <c r="U24" s="922" t="str">
        <f t="shared" si="8"/>
        <v/>
      </c>
      <c r="V24" s="736">
        <f t="shared" si="16"/>
        <v>0</v>
      </c>
    </row>
    <row r="25" spans="2:22" ht="21" customHeight="1" x14ac:dyDescent="0.3">
      <c r="B25" s="664"/>
      <c r="C25" s="665"/>
      <c r="D25" s="666"/>
      <c r="E25" s="834"/>
      <c r="F25" s="667" t="str">
        <f t="shared" si="9"/>
        <v/>
      </c>
      <c r="G25" s="882" t="str">
        <f t="shared" si="0"/>
        <v/>
      </c>
      <c r="H25" s="882" t="str">
        <f t="shared" si="1"/>
        <v/>
      </c>
      <c r="I25" s="667" t="str">
        <f t="shared" si="2"/>
        <v/>
      </c>
      <c r="J25" s="668" t="str">
        <f t="shared" si="3"/>
        <v/>
      </c>
      <c r="K25" s="669" t="str">
        <f t="shared" si="4"/>
        <v/>
      </c>
      <c r="L25" s="669" t="str">
        <f t="shared" si="5"/>
        <v/>
      </c>
      <c r="M25" s="922" t="str">
        <f t="shared" ca="1" si="10"/>
        <v/>
      </c>
      <c r="N25" s="922" t="str">
        <f t="shared" ca="1" si="11"/>
        <v/>
      </c>
      <c r="O25" s="922" t="str">
        <f t="shared" ca="1" si="12"/>
        <v/>
      </c>
      <c r="P25" s="736">
        <f t="shared" ca="1" si="13"/>
        <v>0</v>
      </c>
      <c r="Q25" s="736">
        <f t="shared" ca="1" si="14"/>
        <v>0</v>
      </c>
      <c r="R25" s="736">
        <f t="shared" ca="1" si="15"/>
        <v>0</v>
      </c>
      <c r="S25" s="737">
        <f t="shared" ca="1" si="6"/>
        <v>0</v>
      </c>
      <c r="T25" s="736">
        <f t="shared" si="7"/>
        <v>0</v>
      </c>
      <c r="U25" s="922" t="str">
        <f t="shared" si="8"/>
        <v/>
      </c>
      <c r="V25" s="736">
        <f t="shared" si="16"/>
        <v>0</v>
      </c>
    </row>
    <row r="26" spans="2:22" ht="21" customHeight="1" x14ac:dyDescent="0.3">
      <c r="B26" s="670"/>
      <c r="C26" s="666"/>
      <c r="D26" s="666"/>
      <c r="E26" s="834"/>
      <c r="F26" s="667" t="str">
        <f t="shared" si="9"/>
        <v/>
      </c>
      <c r="G26" s="882" t="str">
        <f t="shared" si="0"/>
        <v/>
      </c>
      <c r="H26" s="882" t="str">
        <f t="shared" si="1"/>
        <v/>
      </c>
      <c r="I26" s="667" t="str">
        <f t="shared" si="2"/>
        <v/>
      </c>
      <c r="J26" s="668" t="str">
        <f t="shared" si="3"/>
        <v/>
      </c>
      <c r="K26" s="669" t="str">
        <f t="shared" si="4"/>
        <v/>
      </c>
      <c r="L26" s="669" t="str">
        <f t="shared" si="5"/>
        <v/>
      </c>
      <c r="M26" s="922" t="str">
        <f t="shared" ca="1" si="10"/>
        <v/>
      </c>
      <c r="N26" s="922" t="str">
        <f t="shared" ca="1" si="11"/>
        <v/>
      </c>
      <c r="O26" s="922" t="str">
        <f t="shared" ca="1" si="12"/>
        <v/>
      </c>
      <c r="P26" s="736">
        <f t="shared" ca="1" si="13"/>
        <v>0</v>
      </c>
      <c r="Q26" s="736">
        <f t="shared" ca="1" si="14"/>
        <v>0</v>
      </c>
      <c r="R26" s="736">
        <f t="shared" ca="1" si="15"/>
        <v>0</v>
      </c>
      <c r="S26" s="737">
        <f t="shared" ca="1" si="6"/>
        <v>0</v>
      </c>
      <c r="T26" s="736">
        <f t="shared" si="7"/>
        <v>0</v>
      </c>
      <c r="U26" s="922" t="str">
        <f t="shared" si="8"/>
        <v/>
      </c>
      <c r="V26" s="736">
        <f t="shared" si="16"/>
        <v>0</v>
      </c>
    </row>
    <row r="27" spans="2:22" ht="21" customHeight="1" x14ac:dyDescent="0.3">
      <c r="B27" s="670"/>
      <c r="C27" s="666"/>
      <c r="D27" s="666"/>
      <c r="E27" s="834"/>
      <c r="F27" s="667" t="str">
        <f t="shared" si="9"/>
        <v/>
      </c>
      <c r="G27" s="882" t="str">
        <f t="shared" si="0"/>
        <v/>
      </c>
      <c r="H27" s="882" t="str">
        <f t="shared" si="1"/>
        <v/>
      </c>
      <c r="I27" s="667" t="str">
        <f t="shared" si="2"/>
        <v/>
      </c>
      <c r="J27" s="668" t="str">
        <f t="shared" si="3"/>
        <v/>
      </c>
      <c r="K27" s="669" t="str">
        <f t="shared" si="4"/>
        <v/>
      </c>
      <c r="L27" s="669" t="str">
        <f t="shared" si="5"/>
        <v/>
      </c>
      <c r="M27" s="922" t="str">
        <f t="shared" ca="1" si="10"/>
        <v/>
      </c>
      <c r="N27" s="922" t="str">
        <f t="shared" ca="1" si="11"/>
        <v/>
      </c>
      <c r="O27" s="922" t="str">
        <f t="shared" ca="1" si="12"/>
        <v/>
      </c>
      <c r="P27" s="736">
        <f t="shared" ca="1" si="13"/>
        <v>0</v>
      </c>
      <c r="Q27" s="736">
        <f t="shared" ca="1" si="14"/>
        <v>0</v>
      </c>
      <c r="R27" s="736">
        <f t="shared" ca="1" si="15"/>
        <v>0</v>
      </c>
      <c r="S27" s="737">
        <f t="shared" ca="1" si="6"/>
        <v>0</v>
      </c>
      <c r="T27" s="736">
        <f t="shared" si="7"/>
        <v>0</v>
      </c>
      <c r="U27" s="922" t="str">
        <f t="shared" si="8"/>
        <v/>
      </c>
      <c r="V27" s="736">
        <f t="shared" si="16"/>
        <v>0</v>
      </c>
    </row>
    <row r="28" spans="2:22" ht="21" customHeight="1" x14ac:dyDescent="0.3">
      <c r="B28" s="670"/>
      <c r="C28" s="666"/>
      <c r="D28" s="666"/>
      <c r="E28" s="834"/>
      <c r="F28" s="667" t="str">
        <f t="shared" si="9"/>
        <v/>
      </c>
      <c r="G28" s="882" t="str">
        <f t="shared" si="0"/>
        <v/>
      </c>
      <c r="H28" s="882" t="str">
        <f t="shared" si="1"/>
        <v/>
      </c>
      <c r="I28" s="667" t="str">
        <f t="shared" si="2"/>
        <v/>
      </c>
      <c r="J28" s="668" t="str">
        <f t="shared" si="3"/>
        <v/>
      </c>
      <c r="K28" s="669" t="str">
        <f t="shared" si="4"/>
        <v/>
      </c>
      <c r="L28" s="669" t="str">
        <f t="shared" si="5"/>
        <v/>
      </c>
      <c r="M28" s="922" t="str">
        <f t="shared" ca="1" si="10"/>
        <v/>
      </c>
      <c r="N28" s="922" t="str">
        <f t="shared" ca="1" si="11"/>
        <v/>
      </c>
      <c r="O28" s="922" t="str">
        <f t="shared" ca="1" si="12"/>
        <v/>
      </c>
      <c r="P28" s="736">
        <f t="shared" ca="1" si="13"/>
        <v>0</v>
      </c>
      <c r="Q28" s="736">
        <f t="shared" ca="1" si="14"/>
        <v>0</v>
      </c>
      <c r="R28" s="736">
        <f t="shared" ca="1" si="15"/>
        <v>0</v>
      </c>
      <c r="S28" s="737">
        <f t="shared" ca="1" si="6"/>
        <v>0</v>
      </c>
      <c r="T28" s="736">
        <f t="shared" si="7"/>
        <v>0</v>
      </c>
      <c r="U28" s="922" t="str">
        <f t="shared" si="8"/>
        <v/>
      </c>
      <c r="V28" s="736">
        <f t="shared" si="16"/>
        <v>0</v>
      </c>
    </row>
    <row r="29" spans="2:22" ht="21" customHeight="1" x14ac:dyDescent="0.3">
      <c r="B29" s="670"/>
      <c r="C29" s="666"/>
      <c r="D29" s="666"/>
      <c r="E29" s="834"/>
      <c r="F29" s="667" t="str">
        <f t="shared" si="9"/>
        <v/>
      </c>
      <c r="G29" s="882" t="str">
        <f t="shared" si="0"/>
        <v/>
      </c>
      <c r="H29" s="882" t="str">
        <f t="shared" si="1"/>
        <v/>
      </c>
      <c r="I29" s="667" t="str">
        <f t="shared" si="2"/>
        <v/>
      </c>
      <c r="J29" s="668" t="str">
        <f t="shared" si="3"/>
        <v/>
      </c>
      <c r="K29" s="669" t="str">
        <f t="shared" si="4"/>
        <v/>
      </c>
      <c r="L29" s="669" t="str">
        <f t="shared" si="5"/>
        <v/>
      </c>
      <c r="M29" s="922" t="str">
        <f t="shared" ca="1" si="10"/>
        <v/>
      </c>
      <c r="N29" s="922" t="str">
        <f t="shared" ca="1" si="11"/>
        <v/>
      </c>
      <c r="O29" s="922" t="str">
        <f t="shared" ca="1" si="12"/>
        <v/>
      </c>
      <c r="P29" s="736">
        <f t="shared" ca="1" si="13"/>
        <v>0</v>
      </c>
      <c r="Q29" s="736">
        <f t="shared" ca="1" si="14"/>
        <v>0</v>
      </c>
      <c r="R29" s="736">
        <f t="shared" ca="1" si="15"/>
        <v>0</v>
      </c>
      <c r="S29" s="737">
        <f t="shared" ca="1" si="6"/>
        <v>0</v>
      </c>
      <c r="T29" s="736">
        <f t="shared" si="7"/>
        <v>0</v>
      </c>
      <c r="U29" s="922" t="str">
        <f t="shared" si="8"/>
        <v/>
      </c>
      <c r="V29" s="736">
        <f t="shared" si="16"/>
        <v>0</v>
      </c>
    </row>
    <row r="30" spans="2:22" ht="21" customHeight="1" x14ac:dyDescent="0.3">
      <c r="B30" s="670"/>
      <c r="C30" s="666"/>
      <c r="D30" s="666"/>
      <c r="E30" s="834"/>
      <c r="F30" s="667" t="str">
        <f t="shared" si="9"/>
        <v/>
      </c>
      <c r="G30" s="882" t="str">
        <f t="shared" si="0"/>
        <v/>
      </c>
      <c r="H30" s="882" t="str">
        <f t="shared" si="1"/>
        <v/>
      </c>
      <c r="I30" s="667" t="str">
        <f t="shared" si="2"/>
        <v/>
      </c>
      <c r="J30" s="668" t="str">
        <f t="shared" si="3"/>
        <v/>
      </c>
      <c r="K30" s="669" t="str">
        <f t="shared" si="4"/>
        <v/>
      </c>
      <c r="L30" s="669" t="str">
        <f t="shared" si="5"/>
        <v/>
      </c>
      <c r="M30" s="922" t="str">
        <f t="shared" ca="1" si="10"/>
        <v/>
      </c>
      <c r="N30" s="922" t="str">
        <f t="shared" ca="1" si="11"/>
        <v/>
      </c>
      <c r="O30" s="922" t="str">
        <f t="shared" ca="1" si="12"/>
        <v/>
      </c>
      <c r="P30" s="736">
        <f t="shared" ca="1" si="13"/>
        <v>0</v>
      </c>
      <c r="Q30" s="736">
        <f t="shared" ca="1" si="14"/>
        <v>0</v>
      </c>
      <c r="R30" s="736">
        <f t="shared" ca="1" si="15"/>
        <v>0</v>
      </c>
      <c r="S30" s="737">
        <f t="shared" ca="1" si="6"/>
        <v>0</v>
      </c>
      <c r="T30" s="736">
        <f t="shared" si="7"/>
        <v>0</v>
      </c>
      <c r="U30" s="922" t="str">
        <f t="shared" si="8"/>
        <v/>
      </c>
      <c r="V30" s="736">
        <f t="shared" si="16"/>
        <v>0</v>
      </c>
    </row>
    <row r="31" spans="2:22" ht="21" customHeight="1" x14ac:dyDescent="0.3">
      <c r="B31" s="670"/>
      <c r="C31" s="666"/>
      <c r="D31" s="666"/>
      <c r="E31" s="834"/>
      <c r="F31" s="667" t="str">
        <f t="shared" si="9"/>
        <v/>
      </c>
      <c r="G31" s="882" t="str">
        <f t="shared" si="0"/>
        <v/>
      </c>
      <c r="H31" s="882" t="str">
        <f t="shared" si="1"/>
        <v/>
      </c>
      <c r="I31" s="667" t="str">
        <f t="shared" si="2"/>
        <v/>
      </c>
      <c r="J31" s="668" t="str">
        <f t="shared" si="3"/>
        <v/>
      </c>
      <c r="K31" s="669" t="str">
        <f t="shared" si="4"/>
        <v/>
      </c>
      <c r="L31" s="669" t="str">
        <f t="shared" si="5"/>
        <v/>
      </c>
      <c r="M31" s="922" t="str">
        <f t="shared" ca="1" si="10"/>
        <v/>
      </c>
      <c r="N31" s="922" t="str">
        <f t="shared" ca="1" si="11"/>
        <v/>
      </c>
      <c r="O31" s="922" t="str">
        <f t="shared" ca="1" si="12"/>
        <v/>
      </c>
      <c r="P31" s="736">
        <f t="shared" ca="1" si="13"/>
        <v>0</v>
      </c>
      <c r="Q31" s="736">
        <f t="shared" ca="1" si="14"/>
        <v>0</v>
      </c>
      <c r="R31" s="736">
        <f t="shared" ca="1" si="15"/>
        <v>0</v>
      </c>
      <c r="S31" s="737">
        <f t="shared" ca="1" si="6"/>
        <v>0</v>
      </c>
      <c r="T31" s="736">
        <f t="shared" si="7"/>
        <v>0</v>
      </c>
      <c r="U31" s="922" t="str">
        <f t="shared" si="8"/>
        <v/>
      </c>
      <c r="V31" s="736">
        <f t="shared" si="16"/>
        <v>0</v>
      </c>
    </row>
    <row r="32" spans="2:22" ht="21" customHeight="1" x14ac:dyDescent="0.3">
      <c r="B32" s="670"/>
      <c r="C32" s="666"/>
      <c r="D32" s="666"/>
      <c r="E32" s="834"/>
      <c r="F32" s="667" t="str">
        <f t="shared" si="9"/>
        <v/>
      </c>
      <c r="G32" s="882" t="str">
        <f t="shared" si="0"/>
        <v/>
      </c>
      <c r="H32" s="882" t="str">
        <f t="shared" si="1"/>
        <v/>
      </c>
      <c r="I32" s="667" t="str">
        <f t="shared" si="2"/>
        <v/>
      </c>
      <c r="J32" s="668" t="str">
        <f t="shared" si="3"/>
        <v/>
      </c>
      <c r="K32" s="669" t="str">
        <f t="shared" si="4"/>
        <v/>
      </c>
      <c r="L32" s="669" t="str">
        <f t="shared" si="5"/>
        <v/>
      </c>
      <c r="M32" s="922" t="str">
        <f t="shared" ca="1" si="10"/>
        <v/>
      </c>
      <c r="N32" s="922" t="str">
        <f t="shared" ca="1" si="11"/>
        <v/>
      </c>
      <c r="O32" s="922" t="str">
        <f t="shared" ca="1" si="12"/>
        <v/>
      </c>
      <c r="P32" s="736">
        <f t="shared" ca="1" si="13"/>
        <v>0</v>
      </c>
      <c r="Q32" s="736">
        <f t="shared" ca="1" si="14"/>
        <v>0</v>
      </c>
      <c r="R32" s="736">
        <f t="shared" ca="1" si="15"/>
        <v>0</v>
      </c>
      <c r="S32" s="737">
        <f t="shared" ca="1" si="6"/>
        <v>0</v>
      </c>
      <c r="T32" s="736">
        <f t="shared" si="7"/>
        <v>0</v>
      </c>
      <c r="U32" s="922" t="str">
        <f t="shared" si="8"/>
        <v/>
      </c>
      <c r="V32" s="736">
        <f t="shared" si="16"/>
        <v>0</v>
      </c>
    </row>
    <row r="33" spans="2:22" ht="21" customHeight="1" x14ac:dyDescent="0.3">
      <c r="B33" s="670"/>
      <c r="C33" s="666"/>
      <c r="D33" s="666"/>
      <c r="E33" s="834"/>
      <c r="F33" s="667" t="str">
        <f t="shared" si="9"/>
        <v/>
      </c>
      <c r="G33" s="882" t="str">
        <f t="shared" si="0"/>
        <v/>
      </c>
      <c r="H33" s="882" t="str">
        <f t="shared" si="1"/>
        <v/>
      </c>
      <c r="I33" s="667" t="str">
        <f t="shared" si="2"/>
        <v/>
      </c>
      <c r="J33" s="668" t="str">
        <f t="shared" si="3"/>
        <v/>
      </c>
      <c r="K33" s="669" t="str">
        <f t="shared" si="4"/>
        <v/>
      </c>
      <c r="L33" s="669" t="str">
        <f t="shared" si="5"/>
        <v/>
      </c>
      <c r="M33" s="922" t="str">
        <f t="shared" ca="1" si="10"/>
        <v/>
      </c>
      <c r="N33" s="922" t="str">
        <f t="shared" ca="1" si="11"/>
        <v/>
      </c>
      <c r="O33" s="922" t="str">
        <f t="shared" ca="1" si="12"/>
        <v/>
      </c>
      <c r="P33" s="736">
        <f t="shared" ca="1" si="13"/>
        <v>0</v>
      </c>
      <c r="Q33" s="736">
        <f t="shared" ca="1" si="14"/>
        <v>0</v>
      </c>
      <c r="R33" s="736">
        <f t="shared" ca="1" si="15"/>
        <v>0</v>
      </c>
      <c r="S33" s="737">
        <f t="shared" ca="1" si="6"/>
        <v>0</v>
      </c>
      <c r="T33" s="736">
        <f t="shared" si="7"/>
        <v>0</v>
      </c>
      <c r="U33" s="922" t="str">
        <f t="shared" si="8"/>
        <v/>
      </c>
      <c r="V33" s="736">
        <f t="shared" si="16"/>
        <v>0</v>
      </c>
    </row>
    <row r="34" spans="2:22" ht="21" customHeight="1" x14ac:dyDescent="0.3">
      <c r="B34" s="670"/>
      <c r="C34" s="666"/>
      <c r="D34" s="666"/>
      <c r="E34" s="834"/>
      <c r="F34" s="667" t="str">
        <f t="shared" si="9"/>
        <v/>
      </c>
      <c r="G34" s="882" t="str">
        <f t="shared" si="0"/>
        <v/>
      </c>
      <c r="H34" s="882" t="str">
        <f t="shared" si="1"/>
        <v/>
      </c>
      <c r="I34" s="667" t="str">
        <f t="shared" si="2"/>
        <v/>
      </c>
      <c r="J34" s="668" t="str">
        <f t="shared" si="3"/>
        <v/>
      </c>
      <c r="K34" s="669" t="str">
        <f t="shared" si="4"/>
        <v/>
      </c>
      <c r="L34" s="669" t="str">
        <f t="shared" si="5"/>
        <v/>
      </c>
      <c r="M34" s="922" t="str">
        <f t="shared" ca="1" si="10"/>
        <v/>
      </c>
      <c r="N34" s="922" t="str">
        <f t="shared" ca="1" si="11"/>
        <v/>
      </c>
      <c r="O34" s="922" t="str">
        <f t="shared" ca="1" si="12"/>
        <v/>
      </c>
      <c r="P34" s="736">
        <f t="shared" ca="1" si="13"/>
        <v>0</v>
      </c>
      <c r="Q34" s="736">
        <f t="shared" ca="1" si="14"/>
        <v>0</v>
      </c>
      <c r="R34" s="736">
        <f t="shared" ca="1" si="15"/>
        <v>0</v>
      </c>
      <c r="S34" s="737">
        <f t="shared" ca="1" si="6"/>
        <v>0</v>
      </c>
      <c r="T34" s="736">
        <f t="shared" si="7"/>
        <v>0</v>
      </c>
      <c r="U34" s="922" t="str">
        <f t="shared" si="8"/>
        <v/>
      </c>
      <c r="V34" s="736">
        <f t="shared" si="16"/>
        <v>0</v>
      </c>
    </row>
    <row r="35" spans="2:22" ht="21" customHeight="1" x14ac:dyDescent="0.3">
      <c r="B35" s="670"/>
      <c r="C35" s="666"/>
      <c r="D35" s="666"/>
      <c r="E35" s="834"/>
      <c r="F35" s="667" t="str">
        <f t="shared" si="9"/>
        <v/>
      </c>
      <c r="G35" s="882" t="str">
        <f t="shared" si="0"/>
        <v/>
      </c>
      <c r="H35" s="882" t="str">
        <f t="shared" si="1"/>
        <v/>
      </c>
      <c r="I35" s="667" t="str">
        <f t="shared" si="2"/>
        <v/>
      </c>
      <c r="J35" s="668" t="str">
        <f t="shared" si="3"/>
        <v/>
      </c>
      <c r="K35" s="669" t="str">
        <f t="shared" si="4"/>
        <v/>
      </c>
      <c r="L35" s="669" t="str">
        <f t="shared" si="5"/>
        <v/>
      </c>
      <c r="M35" s="922" t="str">
        <f t="shared" ca="1" si="10"/>
        <v/>
      </c>
      <c r="N35" s="922" t="str">
        <f t="shared" ca="1" si="11"/>
        <v/>
      </c>
      <c r="O35" s="922" t="str">
        <f t="shared" ca="1" si="12"/>
        <v/>
      </c>
      <c r="P35" s="736">
        <f t="shared" ca="1" si="13"/>
        <v>0</v>
      </c>
      <c r="Q35" s="736">
        <f t="shared" ca="1" si="14"/>
        <v>0</v>
      </c>
      <c r="R35" s="736">
        <f t="shared" ca="1" si="15"/>
        <v>0</v>
      </c>
      <c r="S35" s="737">
        <f t="shared" ca="1" si="6"/>
        <v>0</v>
      </c>
      <c r="T35" s="736">
        <f t="shared" si="7"/>
        <v>0</v>
      </c>
      <c r="U35" s="922" t="str">
        <f t="shared" si="8"/>
        <v/>
      </c>
      <c r="V35" s="736">
        <f t="shared" si="16"/>
        <v>0</v>
      </c>
    </row>
    <row r="36" spans="2:22" x14ac:dyDescent="0.3">
      <c r="V36" s="157"/>
    </row>
  </sheetData>
  <mergeCells count="17">
    <mergeCell ref="B3:C3"/>
    <mergeCell ref="D3:P3"/>
    <mergeCell ref="B1:C1"/>
    <mergeCell ref="D1:P1"/>
    <mergeCell ref="B2:C2"/>
    <mergeCell ref="D2:P2"/>
    <mergeCell ref="U12:V12"/>
    <mergeCell ref="B16:D16"/>
    <mergeCell ref="B12:D13"/>
    <mergeCell ref="P12:S12"/>
    <mergeCell ref="E12:F12"/>
    <mergeCell ref="G12:I12"/>
    <mergeCell ref="G13:I13"/>
    <mergeCell ref="E13:F13"/>
    <mergeCell ref="E15:F15"/>
    <mergeCell ref="G15:I15"/>
    <mergeCell ref="J12:O12"/>
  </mergeCells>
  <phoneticPr fontId="9" type="noConversion"/>
  <conditionalFormatting sqref="O17:O35">
    <cfRule type="expression" dxfId="24" priority="8" stopIfTrue="1">
      <formula>ISTEXT(O17)</formula>
    </cfRule>
  </conditionalFormatting>
  <conditionalFormatting sqref="B10:C10">
    <cfRule type="expression" dxfId="23" priority="6" stopIfTrue="1">
      <formula>OR(OR($C$6=2,$C$6=3),AND($C$6=1,$C$7&lt;3,$C$8&lt;3,$C$9&lt;3))</formula>
    </cfRule>
  </conditionalFormatting>
  <conditionalFormatting sqref="N17:N35">
    <cfRule type="expression" dxfId="22" priority="3" stopIfTrue="1">
      <formula>ISTEXT(N17)</formula>
    </cfRule>
  </conditionalFormatting>
  <conditionalFormatting sqref="M17:M35">
    <cfRule type="expression" dxfId="21" priority="2" stopIfTrue="1">
      <formula>ISTEXT(M17)</formula>
    </cfRule>
  </conditionalFormatting>
  <conditionalFormatting sqref="U17:U35">
    <cfRule type="expression" dxfId="20" priority="1" stopIfTrue="1">
      <formula>ISTEXT(U17)</formula>
    </cfRule>
  </conditionalFormatting>
  <dataValidations xWindow="375" yWindow="739" count="3">
    <dataValidation type="list" allowBlank="1" showInputMessage="1" showErrorMessage="1" errorTitle="마우스로 선택하세요" error="연료명을 직접 입력하지 말고 마우스로 해당 연료를 선택하세요" promptTitle="[연료종류 선택]" prompt="_x000a_오른쪽의 역삼각형 버튼을 누르면 나타나는 선택 박스에서 연료의 종류를 선택하세요" sqref="D17:D35" xr:uid="{00000000-0002-0000-0200-000000000000}">
      <formula1>INDIRECT("EnergyList_"&amp;IF(C17="고정연소","stationary","mobile"))</formula1>
    </dataValidation>
    <dataValidation type="decimal" operator="greaterThan" allowBlank="1" showInputMessage="1" showErrorMessage="1" errorTitle="숫자만 입력가능" error="숫자만 입력가능합니다." promptTitle="[에너지사용량입력]" prompt="_x000a_해당 연료 사용량을 숫자로 직접 입력하세요" sqref="E17:E35" xr:uid="{00000000-0002-0000-0200-000001000000}">
      <formula1>0</formula1>
    </dataValidation>
    <dataValidation type="list" errorStyle="warning" allowBlank="1" showInputMessage="1" showErrorMessage="1" errorTitle="마우스로 선택하세요" error="직적입력하지 말고 마우스로 선택하세요" promptTitle="[선택]" prompt="_x000a_오른쪽의 역삼각형 버튼을 누르면 나타나는 선택박스에서 연료연소 유형을 선택하세요" sqref="C17:C35" xr:uid="{00000000-0002-0000-0200-000002000000}">
      <formula1>Unit12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57" orientation="landscape" blackAndWhite="1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3" r:id="rId4" name="Drop Down 5">
              <controlPr defaultSize="0" autoLine="0" autoPict="0" altText="단위">
                <anchor moveWithCells="1">
                  <from>
                    <xdr:col>2</xdr:col>
                    <xdr:colOff>9525</xdr:colOff>
                    <xdr:row>4</xdr:row>
                    <xdr:rowOff>9525</xdr:rowOff>
                  </from>
                  <to>
                    <xdr:col>3</xdr:col>
                    <xdr:colOff>266700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5" name="Drop Down 45">
              <controlPr defaultSize="0" autoLine="0" autoPict="0" altText="단위">
                <anchor moveWithCells="1">
                  <from>
                    <xdr:col>2</xdr:col>
                    <xdr:colOff>0</xdr:colOff>
                    <xdr:row>8</xdr:row>
                    <xdr:rowOff>9525</xdr:rowOff>
                  </from>
                  <to>
                    <xdr:col>3</xdr:col>
                    <xdr:colOff>257175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6" name="Drop Down 81">
              <controlPr defaultSize="0" autoLine="0" autoPict="0" altText="단위">
                <anchor moveWithCells="1">
                  <from>
                    <xdr:col>2</xdr:col>
                    <xdr:colOff>0</xdr:colOff>
                    <xdr:row>6</xdr:row>
                    <xdr:rowOff>28575</xdr:rowOff>
                  </from>
                  <to>
                    <xdr:col>3</xdr:col>
                    <xdr:colOff>257175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" name="Drop Down 82">
              <controlPr defaultSize="0" autoLine="0" autoPict="0" altText="단위">
                <anchor moveWithCells="1">
                  <from>
                    <xdr:col>2</xdr:col>
                    <xdr:colOff>0</xdr:colOff>
                    <xdr:row>7</xdr:row>
                    <xdr:rowOff>9525</xdr:rowOff>
                  </from>
                  <to>
                    <xdr:col>3</xdr:col>
                    <xdr:colOff>257175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" name="Drop Down 83">
              <controlPr defaultSize="0" autoLine="0" autoPict="0" altText="단위">
                <anchor moveWithCells="1">
                  <from>
                    <xdr:col>2</xdr:col>
                    <xdr:colOff>0</xdr:colOff>
                    <xdr:row>5</xdr:row>
                    <xdr:rowOff>19050</xdr:rowOff>
                  </from>
                  <to>
                    <xdr:col>3</xdr:col>
                    <xdr:colOff>257175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P33"/>
  <sheetViews>
    <sheetView zoomScale="70" zoomScaleNormal="70" workbookViewId="0">
      <selection activeCell="C17" sqref="C17"/>
    </sheetView>
  </sheetViews>
  <sheetFormatPr defaultColWidth="0" defaultRowHeight="16.5" zeroHeight="1" x14ac:dyDescent="0.3"/>
  <cols>
    <col min="1" max="1" width="4.125" bestFit="1" customWidth="1"/>
    <col min="2" max="2" width="19.125" customWidth="1"/>
    <col min="3" max="3" width="11.625" customWidth="1"/>
    <col min="4" max="4" width="11.875" customWidth="1"/>
    <col min="5" max="5" width="5.75" bestFit="1" customWidth="1"/>
    <col min="6" max="6" width="6.25" customWidth="1"/>
    <col min="7" max="7" width="11.25" bestFit="1" customWidth="1"/>
    <col min="8" max="10" width="13.375" customWidth="1"/>
    <col min="11" max="11" width="22.25" bestFit="1" customWidth="1"/>
    <col min="12" max="12" width="21.5" bestFit="1" customWidth="1"/>
    <col min="13" max="13" width="18.5" customWidth="1"/>
    <col min="14" max="15" width="15.875" customWidth="1"/>
    <col min="16" max="16" width="3.125" customWidth="1"/>
    <col min="17" max="16384" width="9" hidden="1"/>
  </cols>
  <sheetData>
    <row r="1" spans="1:15" ht="20.25" x14ac:dyDescent="0.3">
      <c r="A1" s="2"/>
      <c r="B1" s="1079" t="s">
        <v>29</v>
      </c>
      <c r="C1" s="1079"/>
      <c r="D1" s="1080" t="s">
        <v>90</v>
      </c>
      <c r="E1" s="1080"/>
      <c r="F1" s="1080"/>
      <c r="G1" s="1080"/>
      <c r="H1" s="1080"/>
      <c r="I1" s="1080"/>
      <c r="J1" s="1080"/>
      <c r="K1" s="1080"/>
      <c r="L1" s="1080"/>
      <c r="M1" s="1"/>
      <c r="N1" s="1"/>
      <c r="O1" s="1"/>
    </row>
    <row r="2" spans="1:15" ht="20.25" x14ac:dyDescent="0.3">
      <c r="A2" s="2"/>
      <c r="B2" s="1079" t="s">
        <v>30</v>
      </c>
      <c r="C2" s="1079"/>
      <c r="D2" s="1080" t="s">
        <v>91</v>
      </c>
      <c r="E2" s="1080"/>
      <c r="F2" s="1080"/>
      <c r="G2" s="1080"/>
      <c r="H2" s="1080"/>
      <c r="I2" s="1080"/>
      <c r="J2" s="1080"/>
      <c r="K2" s="1080"/>
      <c r="L2" s="1080"/>
      <c r="M2" s="1"/>
      <c r="N2" s="1"/>
      <c r="O2" s="1"/>
    </row>
    <row r="3" spans="1:15" ht="20.25" x14ac:dyDescent="0.3">
      <c r="A3" s="2"/>
      <c r="B3" s="1079" t="s">
        <v>58</v>
      </c>
      <c r="C3" s="1079"/>
      <c r="D3" s="1080" t="s">
        <v>92</v>
      </c>
      <c r="E3" s="1080"/>
      <c r="F3" s="1080"/>
      <c r="G3" s="1080"/>
      <c r="H3" s="1080"/>
      <c r="I3" s="1080"/>
      <c r="J3" s="1080"/>
      <c r="K3" s="1080"/>
      <c r="L3" s="1080"/>
      <c r="M3" s="1"/>
      <c r="N3" s="1"/>
      <c r="O3" s="1"/>
    </row>
    <row r="4" spans="1:15" ht="17.25" thickBot="1" x14ac:dyDescent="0.35"/>
    <row r="5" spans="1:15" ht="22.5" customHeight="1" x14ac:dyDescent="0.3">
      <c r="A5" s="722"/>
      <c r="B5" s="723"/>
      <c r="C5" s="724"/>
      <c r="E5" s="382" t="s">
        <v>737</v>
      </c>
      <c r="F5" s="233"/>
      <c r="G5" s="233"/>
      <c r="H5" s="233"/>
      <c r="I5" s="233"/>
      <c r="J5" s="233"/>
      <c r="K5" s="233"/>
      <c r="L5" s="233"/>
      <c r="M5" s="233"/>
      <c r="N5" s="233"/>
      <c r="O5" s="234"/>
    </row>
    <row r="6" spans="1:15" ht="20.25" customHeight="1" x14ac:dyDescent="0.3">
      <c r="B6" s="718"/>
      <c r="C6" s="718"/>
      <c r="E6" s="383" t="s">
        <v>735</v>
      </c>
      <c r="F6" s="235"/>
      <c r="G6" s="235"/>
      <c r="H6" s="235"/>
      <c r="I6" s="235"/>
      <c r="J6" s="235"/>
      <c r="K6" s="235"/>
      <c r="L6" s="235"/>
      <c r="M6" s="235"/>
      <c r="N6" s="235"/>
      <c r="O6" s="236"/>
    </row>
    <row r="7" spans="1:15" ht="20.25" x14ac:dyDescent="0.3">
      <c r="B7" s="718"/>
      <c r="C7" s="718"/>
      <c r="E7" s="383" t="s">
        <v>736</v>
      </c>
      <c r="F7" s="235"/>
      <c r="G7" s="235"/>
      <c r="H7" s="235"/>
      <c r="I7" s="235"/>
      <c r="J7" s="235"/>
      <c r="K7" s="235"/>
      <c r="L7" s="235"/>
      <c r="M7" s="235"/>
      <c r="N7" s="235"/>
      <c r="O7" s="236"/>
    </row>
    <row r="8" spans="1:15" ht="21" thickBot="1" x14ac:dyDescent="0.35">
      <c r="B8" s="718"/>
      <c r="C8" s="718"/>
      <c r="E8" s="384" t="s">
        <v>625</v>
      </c>
      <c r="F8" s="237"/>
      <c r="G8" s="237"/>
      <c r="H8" s="237"/>
      <c r="I8" s="237"/>
      <c r="J8" s="237"/>
      <c r="K8" s="237"/>
      <c r="L8" s="237"/>
      <c r="M8" s="237"/>
      <c r="N8" s="237"/>
      <c r="O8" s="238"/>
    </row>
    <row r="9" spans="1:15" x14ac:dyDescent="0.3"/>
    <row r="10" spans="1:15" ht="20.25" x14ac:dyDescent="0.3">
      <c r="A10" s="4"/>
      <c r="B10" s="1086" t="s">
        <v>86</v>
      </c>
      <c r="C10" s="1087"/>
      <c r="D10" s="1083" t="s">
        <v>632</v>
      </c>
      <c r="E10" s="1085"/>
      <c r="F10" s="1078" t="s">
        <v>169</v>
      </c>
      <c r="G10" s="1072"/>
      <c r="H10" s="1083" t="s">
        <v>633</v>
      </c>
      <c r="I10" s="1084"/>
      <c r="J10" s="1085"/>
      <c r="K10" s="1070" t="s">
        <v>158</v>
      </c>
      <c r="L10" s="1070"/>
      <c r="M10" s="1070"/>
      <c r="N10" s="1070"/>
      <c r="O10" s="336" t="s">
        <v>185</v>
      </c>
    </row>
    <row r="11" spans="1:15" ht="17.25" x14ac:dyDescent="0.3">
      <c r="A11" s="4"/>
      <c r="B11" s="1088"/>
      <c r="C11" s="1089"/>
      <c r="D11" s="1074" t="s">
        <v>44</v>
      </c>
      <c r="E11" s="1076"/>
      <c r="F11" s="1074" t="s">
        <v>37</v>
      </c>
      <c r="G11" s="1075"/>
      <c r="H11" s="366" t="s">
        <v>38</v>
      </c>
      <c r="I11" s="366" t="s">
        <v>39</v>
      </c>
      <c r="J11" s="366" t="s">
        <v>40</v>
      </c>
      <c r="K11" s="290" t="s">
        <v>276</v>
      </c>
      <c r="L11" s="290" t="s">
        <v>355</v>
      </c>
      <c r="M11" s="290" t="s">
        <v>356</v>
      </c>
      <c r="N11" s="290" t="s">
        <v>357</v>
      </c>
      <c r="O11" s="290" t="s">
        <v>358</v>
      </c>
    </row>
    <row r="12" spans="1:15" ht="51.75" x14ac:dyDescent="0.3">
      <c r="A12" s="4"/>
      <c r="B12" s="333" t="s">
        <v>196</v>
      </c>
      <c r="C12" s="367" t="s">
        <v>210</v>
      </c>
      <c r="D12" s="45" t="s">
        <v>188</v>
      </c>
      <c r="E12" s="45" t="s">
        <v>167</v>
      </c>
      <c r="F12" s="368" t="s">
        <v>203</v>
      </c>
      <c r="G12" s="369" t="s">
        <v>202</v>
      </c>
      <c r="H12" s="368" t="s">
        <v>359</v>
      </c>
      <c r="I12" s="368" t="s">
        <v>360</v>
      </c>
      <c r="J12" s="368" t="s">
        <v>361</v>
      </c>
      <c r="K12" s="370" t="s">
        <v>301</v>
      </c>
      <c r="L12" s="370" t="s">
        <v>648</v>
      </c>
      <c r="M12" s="370" t="s">
        <v>645</v>
      </c>
      <c r="N12" s="371" t="s">
        <v>300</v>
      </c>
      <c r="O12" s="370" t="s">
        <v>649</v>
      </c>
    </row>
    <row r="13" spans="1:15" ht="54.75" x14ac:dyDescent="0.3">
      <c r="A13" s="4"/>
      <c r="B13" s="372"/>
      <c r="C13" s="373"/>
      <c r="D13" s="182"/>
      <c r="E13" s="182"/>
      <c r="F13" s="374"/>
      <c r="G13" s="374"/>
      <c r="H13" s="374"/>
      <c r="I13" s="182"/>
      <c r="J13" s="375"/>
      <c r="K13" s="752" t="s">
        <v>651</v>
      </c>
      <c r="L13" s="751" t="s">
        <v>652</v>
      </c>
      <c r="M13" s="751" t="s">
        <v>653</v>
      </c>
      <c r="N13" s="290" t="s">
        <v>654</v>
      </c>
      <c r="O13" s="750" t="s">
        <v>650</v>
      </c>
    </row>
    <row r="14" spans="1:15" ht="27" customHeight="1" thickBot="1" x14ac:dyDescent="0.35">
      <c r="A14" s="4"/>
      <c r="B14" s="1081" t="s">
        <v>68</v>
      </c>
      <c r="C14" s="1082"/>
      <c r="D14" s="627"/>
      <c r="E14" s="628"/>
      <c r="F14" s="629"/>
      <c r="G14" s="629"/>
      <c r="H14" s="629"/>
      <c r="I14" s="628"/>
      <c r="J14" s="630"/>
      <c r="K14" s="738">
        <f>SUM(VALUE(K15),VALUE(K24))</f>
        <v>1993.1865326999998</v>
      </c>
      <c r="L14" s="738">
        <f>SUM(VALUE(L15),VALUE(L24))</f>
        <v>23.131758600000001</v>
      </c>
      <c r="M14" s="738">
        <f>SUM(VALUE(M15),VALUE(M24))</f>
        <v>11.565879300000001</v>
      </c>
      <c r="N14" s="738">
        <f>SUM(VALUE(N15),VALUE(N24))</f>
        <v>1997.2577222135999</v>
      </c>
      <c r="O14" s="738">
        <f>SUM(VALUE(O15),VALUE(O24))</f>
        <v>41123126.399999999</v>
      </c>
    </row>
    <row r="15" spans="1:15" ht="27" customHeight="1" x14ac:dyDescent="0.3">
      <c r="A15" s="4"/>
      <c r="B15" s="631" t="s">
        <v>201</v>
      </c>
      <c r="C15" s="632"/>
      <c r="D15" s="632"/>
      <c r="E15" s="632"/>
      <c r="F15" s="632"/>
      <c r="G15" s="633"/>
      <c r="H15" s="634" t="s">
        <v>302</v>
      </c>
      <c r="I15" s="635" t="s">
        <v>321</v>
      </c>
      <c r="J15" s="636" t="s">
        <v>309</v>
      </c>
      <c r="K15" s="739">
        <f>SUM(K16:K23)</f>
        <v>1993.1865326999998</v>
      </c>
      <c r="L15" s="739">
        <f>SUM(L16:L23)</f>
        <v>23.131758600000001</v>
      </c>
      <c r="M15" s="739">
        <f>SUM(M16:M23)</f>
        <v>11.565879300000001</v>
      </c>
      <c r="N15" s="739">
        <f>SUM(N16:N23)</f>
        <v>1997.2577222135999</v>
      </c>
      <c r="O15" s="839">
        <f>SUM(O16:O23)</f>
        <v>41123126.399999999</v>
      </c>
    </row>
    <row r="16" spans="1:15" ht="17.25" x14ac:dyDescent="0.3">
      <c r="A16" s="4"/>
      <c r="B16" s="637" t="s">
        <v>197</v>
      </c>
      <c r="C16" s="938" t="s">
        <v>731</v>
      </c>
      <c r="D16" s="941">
        <v>4283659</v>
      </c>
      <c r="E16" s="638" t="str">
        <f t="shared" ref="E16:E23" si="0">IF(C16&lt;&gt;"",VLOOKUP(C16,EF_Energy_stationary,2,0),"")</f>
        <v>kWh</v>
      </c>
      <c r="F16" s="639">
        <f t="shared" ref="F16:F23" si="1">IF($C16&lt;&gt;"",VLOOKUP($C16,EF_Energy_stationary,8,0),"")</f>
        <v>9.6</v>
      </c>
      <c r="G16" s="640" t="str">
        <f t="shared" ref="G16:G23" si="2">IF(C16&lt;&gt;"",VLOOKUP(C16,EF_Energy_stationary,7,0),"")</f>
        <v>TJ/GWh</v>
      </c>
      <c r="H16" s="547">
        <f t="shared" ref="H16:H23" si="3">IF($D16&lt;&gt;"",EF_Elec_CO2,"")</f>
        <v>0.46529999999999999</v>
      </c>
      <c r="I16" s="547">
        <f t="shared" ref="I16:I23" si="4">IF($D16&lt;&gt;"",EF_Elec_CH4,"")</f>
        <v>5.4000000000000003E-3</v>
      </c>
      <c r="J16" s="547">
        <f t="shared" ref="J16:J23" si="5">IF($D16&lt;&gt;"",EF_Elec_N2O,"")</f>
        <v>2.7000000000000001E-3</v>
      </c>
      <c r="K16" s="740">
        <f>IF(ISERROR($D16*H16),0,$D16*H16*10^-3)</f>
        <v>1993.1865326999998</v>
      </c>
      <c r="L16" s="740">
        <f>IF(ISERROR($D16*I16),0,$D16*I16*10^-3)</f>
        <v>23.131758600000001</v>
      </c>
      <c r="M16" s="740">
        <f>IF(ISERROR($D16*J16),0,$D16*J16*10^-3)</f>
        <v>11.565879300000001</v>
      </c>
      <c r="N16" s="741">
        <f t="shared" ref="N16:N23" si="6">K16*GWP_CO2+(L16*GWP_CH4+M16*GWP_N2O)*10^-3</f>
        <v>1997.2577222135999</v>
      </c>
      <c r="O16" s="840">
        <f>D16*N(F16)</f>
        <v>41123126.399999999</v>
      </c>
    </row>
    <row r="17" spans="1:15" ht="17.25" x14ac:dyDescent="0.3">
      <c r="A17" s="4"/>
      <c r="B17" s="641"/>
      <c r="C17" s="939"/>
      <c r="D17" s="836"/>
      <c r="E17" s="643" t="str">
        <f t="shared" si="0"/>
        <v/>
      </c>
      <c r="F17" s="644" t="str">
        <f t="shared" si="1"/>
        <v/>
      </c>
      <c r="G17" s="645" t="str">
        <f t="shared" si="2"/>
        <v/>
      </c>
      <c r="H17" s="548" t="str">
        <f t="shared" si="3"/>
        <v/>
      </c>
      <c r="I17" s="548" t="str">
        <f t="shared" si="4"/>
        <v/>
      </c>
      <c r="J17" s="548" t="str">
        <f t="shared" si="5"/>
        <v/>
      </c>
      <c r="K17" s="742">
        <f t="shared" ref="K17:K23" si="7">IF(ISERROR($D17*H17),0,$D17*H17*10^-3)</f>
        <v>0</v>
      </c>
      <c r="L17" s="742">
        <f t="shared" ref="L17:L23" si="8">IF(ISERROR($D17*I17),0,$D17*I17*10^-3)</f>
        <v>0</v>
      </c>
      <c r="M17" s="742">
        <f t="shared" ref="M17:M23" si="9">IF(ISERROR($D17*J17),0,$D17*J17*10^-3)</f>
        <v>0</v>
      </c>
      <c r="N17" s="743">
        <f t="shared" si="6"/>
        <v>0</v>
      </c>
      <c r="O17" s="841">
        <f t="shared" ref="O17:O23" si="10">D17*N(F17)</f>
        <v>0</v>
      </c>
    </row>
    <row r="18" spans="1:15" ht="17.25" x14ac:dyDescent="0.3">
      <c r="A18" s="4"/>
      <c r="B18" s="641"/>
      <c r="C18" s="939"/>
      <c r="D18" s="838"/>
      <c r="E18" s="643" t="str">
        <f t="shared" si="0"/>
        <v/>
      </c>
      <c r="F18" s="644" t="str">
        <f t="shared" si="1"/>
        <v/>
      </c>
      <c r="G18" s="645" t="str">
        <f t="shared" si="2"/>
        <v/>
      </c>
      <c r="H18" s="548" t="str">
        <f t="shared" si="3"/>
        <v/>
      </c>
      <c r="I18" s="548" t="str">
        <f t="shared" si="4"/>
        <v/>
      </c>
      <c r="J18" s="548" t="str">
        <f t="shared" si="5"/>
        <v/>
      </c>
      <c r="K18" s="742">
        <f t="shared" si="7"/>
        <v>0</v>
      </c>
      <c r="L18" s="742">
        <f t="shared" si="8"/>
        <v>0</v>
      </c>
      <c r="M18" s="742">
        <f t="shared" si="9"/>
        <v>0</v>
      </c>
      <c r="N18" s="743">
        <f t="shared" si="6"/>
        <v>0</v>
      </c>
      <c r="O18" s="841">
        <f t="shared" si="10"/>
        <v>0</v>
      </c>
    </row>
    <row r="19" spans="1:15" ht="17.25" x14ac:dyDescent="0.3">
      <c r="A19" s="4"/>
      <c r="B19" s="641"/>
      <c r="C19" s="939"/>
      <c r="D19" s="836"/>
      <c r="E19" s="643" t="str">
        <f t="shared" si="0"/>
        <v/>
      </c>
      <c r="F19" s="644" t="str">
        <f t="shared" si="1"/>
        <v/>
      </c>
      <c r="G19" s="645" t="str">
        <f t="shared" si="2"/>
        <v/>
      </c>
      <c r="H19" s="548" t="str">
        <f t="shared" si="3"/>
        <v/>
      </c>
      <c r="I19" s="548" t="str">
        <f t="shared" si="4"/>
        <v/>
      </c>
      <c r="J19" s="548" t="str">
        <f t="shared" si="5"/>
        <v/>
      </c>
      <c r="K19" s="742">
        <f t="shared" si="7"/>
        <v>0</v>
      </c>
      <c r="L19" s="742">
        <f t="shared" si="8"/>
        <v>0</v>
      </c>
      <c r="M19" s="742">
        <f t="shared" si="9"/>
        <v>0</v>
      </c>
      <c r="N19" s="743">
        <f t="shared" si="6"/>
        <v>0</v>
      </c>
      <c r="O19" s="841">
        <f t="shared" si="10"/>
        <v>0</v>
      </c>
    </row>
    <row r="20" spans="1:15" ht="17.25" x14ac:dyDescent="0.3">
      <c r="A20" s="4"/>
      <c r="B20" s="641"/>
      <c r="C20" s="939"/>
      <c r="D20" s="836"/>
      <c r="E20" s="643" t="str">
        <f t="shared" si="0"/>
        <v/>
      </c>
      <c r="F20" s="644" t="str">
        <f t="shared" si="1"/>
        <v/>
      </c>
      <c r="G20" s="645" t="str">
        <f t="shared" si="2"/>
        <v/>
      </c>
      <c r="H20" s="548" t="str">
        <f t="shared" si="3"/>
        <v/>
      </c>
      <c r="I20" s="548" t="str">
        <f t="shared" si="4"/>
        <v/>
      </c>
      <c r="J20" s="548" t="str">
        <f t="shared" si="5"/>
        <v/>
      </c>
      <c r="K20" s="742">
        <f t="shared" si="7"/>
        <v>0</v>
      </c>
      <c r="L20" s="742">
        <f t="shared" si="8"/>
        <v>0</v>
      </c>
      <c r="M20" s="742">
        <f t="shared" si="9"/>
        <v>0</v>
      </c>
      <c r="N20" s="743">
        <f t="shared" si="6"/>
        <v>0</v>
      </c>
      <c r="O20" s="841">
        <f t="shared" si="10"/>
        <v>0</v>
      </c>
    </row>
    <row r="21" spans="1:15" ht="17.25" x14ac:dyDescent="0.3">
      <c r="A21" s="4"/>
      <c r="B21" s="641"/>
      <c r="C21" s="939"/>
      <c r="D21" s="836"/>
      <c r="E21" s="643" t="str">
        <f t="shared" si="0"/>
        <v/>
      </c>
      <c r="F21" s="644" t="str">
        <f t="shared" si="1"/>
        <v/>
      </c>
      <c r="G21" s="645" t="str">
        <f t="shared" si="2"/>
        <v/>
      </c>
      <c r="H21" s="548" t="str">
        <f t="shared" si="3"/>
        <v/>
      </c>
      <c r="I21" s="548" t="str">
        <f t="shared" si="4"/>
        <v/>
      </c>
      <c r="J21" s="548" t="str">
        <f t="shared" si="5"/>
        <v/>
      </c>
      <c r="K21" s="742">
        <f t="shared" si="7"/>
        <v>0</v>
      </c>
      <c r="L21" s="742">
        <f t="shared" si="8"/>
        <v>0</v>
      </c>
      <c r="M21" s="742">
        <f t="shared" si="9"/>
        <v>0</v>
      </c>
      <c r="N21" s="743">
        <f t="shared" si="6"/>
        <v>0</v>
      </c>
      <c r="O21" s="841">
        <f t="shared" si="10"/>
        <v>0</v>
      </c>
    </row>
    <row r="22" spans="1:15" ht="17.25" x14ac:dyDescent="0.3">
      <c r="A22" s="4"/>
      <c r="B22" s="641"/>
      <c r="C22" s="939"/>
      <c r="D22" s="836"/>
      <c r="E22" s="643" t="str">
        <f t="shared" si="0"/>
        <v/>
      </c>
      <c r="F22" s="644" t="str">
        <f t="shared" si="1"/>
        <v/>
      </c>
      <c r="G22" s="645" t="str">
        <f t="shared" si="2"/>
        <v/>
      </c>
      <c r="H22" s="548" t="str">
        <f t="shared" si="3"/>
        <v/>
      </c>
      <c r="I22" s="548" t="str">
        <f t="shared" si="4"/>
        <v/>
      </c>
      <c r="J22" s="548" t="str">
        <f t="shared" si="5"/>
        <v/>
      </c>
      <c r="K22" s="742">
        <f t="shared" si="7"/>
        <v>0</v>
      </c>
      <c r="L22" s="742">
        <f t="shared" si="8"/>
        <v>0</v>
      </c>
      <c r="M22" s="742">
        <f t="shared" si="9"/>
        <v>0</v>
      </c>
      <c r="N22" s="743">
        <f t="shared" si="6"/>
        <v>0</v>
      </c>
      <c r="O22" s="841">
        <f t="shared" si="10"/>
        <v>0</v>
      </c>
    </row>
    <row r="23" spans="1:15" ht="18" thickBot="1" x14ac:dyDescent="0.35">
      <c r="B23" s="646"/>
      <c r="C23" s="940"/>
      <c r="D23" s="837"/>
      <c r="E23" s="648" t="str">
        <f t="shared" si="0"/>
        <v/>
      </c>
      <c r="F23" s="649" t="str">
        <f t="shared" si="1"/>
        <v/>
      </c>
      <c r="G23" s="650" t="str">
        <f t="shared" si="2"/>
        <v/>
      </c>
      <c r="H23" s="549" t="str">
        <f t="shared" si="3"/>
        <v/>
      </c>
      <c r="I23" s="549" t="str">
        <f t="shared" si="4"/>
        <v/>
      </c>
      <c r="J23" s="549" t="str">
        <f t="shared" si="5"/>
        <v/>
      </c>
      <c r="K23" s="744">
        <f t="shared" si="7"/>
        <v>0</v>
      </c>
      <c r="L23" s="744">
        <f t="shared" si="8"/>
        <v>0</v>
      </c>
      <c r="M23" s="744">
        <f t="shared" si="9"/>
        <v>0</v>
      </c>
      <c r="N23" s="745">
        <f t="shared" si="6"/>
        <v>0</v>
      </c>
      <c r="O23" s="842">
        <f t="shared" si="10"/>
        <v>0</v>
      </c>
    </row>
    <row r="24" spans="1:15" ht="29.25" customHeight="1" x14ac:dyDescent="0.3">
      <c r="B24" s="631" t="s">
        <v>200</v>
      </c>
      <c r="C24" s="632"/>
      <c r="D24" s="632"/>
      <c r="E24" s="632"/>
      <c r="F24" s="632"/>
      <c r="G24" s="633"/>
      <c r="H24" s="377" t="s">
        <v>303</v>
      </c>
      <c r="I24" s="749" t="s">
        <v>646</v>
      </c>
      <c r="J24" s="749" t="s">
        <v>647</v>
      </c>
      <c r="K24" s="746">
        <f>SUM(K25:K32)</f>
        <v>0</v>
      </c>
      <c r="L24" s="746">
        <f>SUM(L25:L32)</f>
        <v>0</v>
      </c>
      <c r="M24" s="746">
        <f>SUM(M25:M32)</f>
        <v>0</v>
      </c>
      <c r="N24" s="739">
        <f>SUM(N25:N32)</f>
        <v>0</v>
      </c>
      <c r="O24" s="843">
        <f>SUM(O25:O32)</f>
        <v>0</v>
      </c>
    </row>
    <row r="25" spans="1:15" ht="17.25" x14ac:dyDescent="0.3">
      <c r="B25" s="651" t="s">
        <v>262</v>
      </c>
      <c r="C25" s="652" t="s">
        <v>189</v>
      </c>
      <c r="D25" s="838"/>
      <c r="E25" s="653" t="s">
        <v>194</v>
      </c>
      <c r="F25" s="654"/>
      <c r="G25" s="655"/>
      <c r="H25" s="158"/>
      <c r="I25" s="158"/>
      <c r="J25" s="158"/>
      <c r="K25" s="747">
        <f>IF(ISERROR($D25*H25),0,$D25*H25)</f>
        <v>0</v>
      </c>
      <c r="L25" s="747">
        <f>IF(ISERROR($D25*I25),0,$D25*I25)</f>
        <v>0</v>
      </c>
      <c r="M25" s="747">
        <f>IF(ISERROR($D25*J25),0,$D25*J25)</f>
        <v>0</v>
      </c>
      <c r="N25" s="748">
        <f t="shared" ref="N25:N32" si="11">K25*GWP_CO2+(L25*GWP_CH4+M25*GWP_N2O)*10^-3</f>
        <v>0</v>
      </c>
      <c r="O25" s="844">
        <f>D25*(10^3)</f>
        <v>0</v>
      </c>
    </row>
    <row r="26" spans="1:15" ht="17.25" x14ac:dyDescent="0.3">
      <c r="B26" s="641"/>
      <c r="C26" s="642" t="s">
        <v>189</v>
      </c>
      <c r="D26" s="836"/>
      <c r="E26" s="656" t="s">
        <v>194</v>
      </c>
      <c r="F26" s="654"/>
      <c r="G26" s="655"/>
      <c r="H26" s="6"/>
      <c r="I26" s="6"/>
      <c r="J26" s="6"/>
      <c r="K26" s="742">
        <f t="shared" ref="K26:K32" si="12">IF(ISERROR($D26*H26),0,$D26*H26)</f>
        <v>0</v>
      </c>
      <c r="L26" s="742">
        <f t="shared" ref="L26:L32" si="13">IF(ISERROR($D26*I26),0,$D26*I26)</f>
        <v>0</v>
      </c>
      <c r="M26" s="742">
        <f t="shared" ref="M26:M32" si="14">IF(ISERROR($D26*J26),0,$D26*J26)</f>
        <v>0</v>
      </c>
      <c r="N26" s="743">
        <f t="shared" si="11"/>
        <v>0</v>
      </c>
      <c r="O26" s="841">
        <f t="shared" ref="O26:O32" si="15">D26*(10^3)</f>
        <v>0</v>
      </c>
    </row>
    <row r="27" spans="1:15" ht="17.25" x14ac:dyDescent="0.3">
      <c r="B27" s="641"/>
      <c r="C27" s="642" t="s">
        <v>189</v>
      </c>
      <c r="D27" s="836"/>
      <c r="E27" s="656" t="s">
        <v>194</v>
      </c>
      <c r="F27" s="654"/>
      <c r="G27" s="655"/>
      <c r="H27" s="6"/>
      <c r="I27" s="6"/>
      <c r="J27" s="6"/>
      <c r="K27" s="742">
        <f t="shared" si="12"/>
        <v>0</v>
      </c>
      <c r="L27" s="742">
        <f t="shared" si="13"/>
        <v>0</v>
      </c>
      <c r="M27" s="742">
        <f t="shared" si="14"/>
        <v>0</v>
      </c>
      <c r="N27" s="743">
        <f t="shared" si="11"/>
        <v>0</v>
      </c>
      <c r="O27" s="841">
        <f t="shared" si="15"/>
        <v>0</v>
      </c>
    </row>
    <row r="28" spans="1:15" ht="17.25" x14ac:dyDescent="0.3">
      <c r="B28" s="641"/>
      <c r="C28" s="642" t="s">
        <v>189</v>
      </c>
      <c r="D28" s="836"/>
      <c r="E28" s="656" t="s">
        <v>194</v>
      </c>
      <c r="F28" s="654"/>
      <c r="G28" s="655"/>
      <c r="H28" s="6"/>
      <c r="I28" s="6"/>
      <c r="J28" s="6"/>
      <c r="K28" s="742">
        <f t="shared" si="12"/>
        <v>0</v>
      </c>
      <c r="L28" s="742">
        <f t="shared" si="13"/>
        <v>0</v>
      </c>
      <c r="M28" s="742">
        <f t="shared" si="14"/>
        <v>0</v>
      </c>
      <c r="N28" s="743">
        <f t="shared" si="11"/>
        <v>0</v>
      </c>
      <c r="O28" s="841">
        <f t="shared" si="15"/>
        <v>0</v>
      </c>
    </row>
    <row r="29" spans="1:15" ht="17.25" x14ac:dyDescent="0.3">
      <c r="B29" s="641"/>
      <c r="C29" s="642" t="s">
        <v>189</v>
      </c>
      <c r="D29" s="836"/>
      <c r="E29" s="656" t="s">
        <v>194</v>
      </c>
      <c r="F29" s="654"/>
      <c r="G29" s="655"/>
      <c r="H29" s="6"/>
      <c r="I29" s="6"/>
      <c r="J29" s="6"/>
      <c r="K29" s="742">
        <f t="shared" si="12"/>
        <v>0</v>
      </c>
      <c r="L29" s="742">
        <f t="shared" si="13"/>
        <v>0</v>
      </c>
      <c r="M29" s="742">
        <f t="shared" si="14"/>
        <v>0</v>
      </c>
      <c r="N29" s="743">
        <f t="shared" si="11"/>
        <v>0</v>
      </c>
      <c r="O29" s="841">
        <f t="shared" si="15"/>
        <v>0</v>
      </c>
    </row>
    <row r="30" spans="1:15" ht="17.25" x14ac:dyDescent="0.3">
      <c r="B30" s="641"/>
      <c r="C30" s="642" t="s">
        <v>189</v>
      </c>
      <c r="D30" s="836"/>
      <c r="E30" s="656" t="s">
        <v>194</v>
      </c>
      <c r="F30" s="654"/>
      <c r="G30" s="655"/>
      <c r="H30" s="6"/>
      <c r="I30" s="6"/>
      <c r="J30" s="6"/>
      <c r="K30" s="742">
        <f t="shared" si="12"/>
        <v>0</v>
      </c>
      <c r="L30" s="742">
        <f t="shared" si="13"/>
        <v>0</v>
      </c>
      <c r="M30" s="742">
        <f t="shared" si="14"/>
        <v>0</v>
      </c>
      <c r="N30" s="743">
        <f t="shared" si="11"/>
        <v>0</v>
      </c>
      <c r="O30" s="841">
        <f t="shared" si="15"/>
        <v>0</v>
      </c>
    </row>
    <row r="31" spans="1:15" ht="17.25" x14ac:dyDescent="0.3">
      <c r="B31" s="641"/>
      <c r="C31" s="642" t="s">
        <v>189</v>
      </c>
      <c r="D31" s="836"/>
      <c r="E31" s="656" t="s">
        <v>194</v>
      </c>
      <c r="F31" s="654"/>
      <c r="G31" s="655"/>
      <c r="H31" s="6"/>
      <c r="I31" s="6"/>
      <c r="J31" s="6"/>
      <c r="K31" s="742">
        <f t="shared" si="12"/>
        <v>0</v>
      </c>
      <c r="L31" s="742">
        <f t="shared" si="13"/>
        <v>0</v>
      </c>
      <c r="M31" s="742">
        <f t="shared" si="14"/>
        <v>0</v>
      </c>
      <c r="N31" s="743">
        <f t="shared" si="11"/>
        <v>0</v>
      </c>
      <c r="O31" s="841">
        <f t="shared" si="15"/>
        <v>0</v>
      </c>
    </row>
    <row r="32" spans="1:15" ht="18" thickBot="1" x14ac:dyDescent="0.35">
      <c r="B32" s="646"/>
      <c r="C32" s="647" t="s">
        <v>189</v>
      </c>
      <c r="D32" s="837"/>
      <c r="E32" s="657" t="s">
        <v>194</v>
      </c>
      <c r="F32" s="658"/>
      <c r="G32" s="659"/>
      <c r="H32" s="7"/>
      <c r="I32" s="7"/>
      <c r="J32" s="7"/>
      <c r="K32" s="744">
        <f t="shared" si="12"/>
        <v>0</v>
      </c>
      <c r="L32" s="744">
        <f t="shared" si="13"/>
        <v>0</v>
      </c>
      <c r="M32" s="744">
        <f t="shared" si="14"/>
        <v>0</v>
      </c>
      <c r="N32" s="745">
        <f t="shared" si="11"/>
        <v>0</v>
      </c>
      <c r="O32" s="842">
        <f t="shared" si="15"/>
        <v>0</v>
      </c>
    </row>
    <row r="33" x14ac:dyDescent="0.3"/>
  </sheetData>
  <mergeCells count="14">
    <mergeCell ref="B1:C1"/>
    <mergeCell ref="D1:L1"/>
    <mergeCell ref="B2:C2"/>
    <mergeCell ref="D2:L2"/>
    <mergeCell ref="B3:C3"/>
    <mergeCell ref="D3:L3"/>
    <mergeCell ref="B14:C14"/>
    <mergeCell ref="K10:N10"/>
    <mergeCell ref="H10:J10"/>
    <mergeCell ref="D11:E11"/>
    <mergeCell ref="F11:G11"/>
    <mergeCell ref="B10:C11"/>
    <mergeCell ref="D10:E10"/>
    <mergeCell ref="F10:G10"/>
  </mergeCells>
  <phoneticPr fontId="27" type="noConversion"/>
  <conditionalFormatting sqref="H16:J23">
    <cfRule type="expression" dxfId="19" priority="1" stopIfTrue="1">
      <formula>$C$5&gt;4</formula>
    </cfRule>
  </conditionalFormatting>
  <pageMargins left="0.70866141732283472" right="0.70866141732283472" top="0.74803149606299213" bottom="0.74803149606299213" header="0.31496062992125984" footer="0.31496062992125984"/>
  <pageSetup paperSize="9" scale="62" orientation="landscape" blackAndWhite="1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Parameter!$M$60:$M$61</xm:f>
          </x14:formula1>
          <xm:sqref>C16:C23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CC97"/>
  <sheetViews>
    <sheetView zoomScale="55" zoomScaleNormal="55" workbookViewId="0">
      <selection activeCell="AS18" sqref="AS18"/>
    </sheetView>
  </sheetViews>
  <sheetFormatPr defaultColWidth="0" defaultRowHeight="16.5" zeroHeight="1" x14ac:dyDescent="0.3"/>
  <cols>
    <col min="1" max="1" width="3.25" style="21" customWidth="1"/>
    <col min="2" max="2" width="17" style="22" customWidth="1"/>
    <col min="3" max="3" width="15.75" style="22" customWidth="1"/>
    <col min="4" max="16" width="11.125" style="22" customWidth="1"/>
    <col min="17" max="17" width="20.375" style="22" customWidth="1"/>
    <col min="18" max="18" width="27.125" style="22" bestFit="1" customWidth="1"/>
    <col min="19" max="19" width="27.125" style="22" customWidth="1"/>
    <col min="20" max="20" width="25.375" style="22" customWidth="1"/>
    <col min="21" max="21" width="26.125" style="22" customWidth="1"/>
    <col min="22" max="22" width="10.875" style="22" customWidth="1"/>
    <col min="23" max="36" width="7.125" style="22" customWidth="1"/>
    <col min="37" max="48" width="8.75" style="22" customWidth="1"/>
    <col min="49" max="49" width="10.75" style="22" bestFit="1" customWidth="1"/>
    <col min="50" max="62" width="10.125" style="22" customWidth="1"/>
    <col min="63" max="63" width="11.75" style="22" bestFit="1" customWidth="1"/>
    <col min="64" max="77" width="10" style="22" customWidth="1"/>
    <col min="78" max="78" width="29.75" style="22" bestFit="1" customWidth="1"/>
    <col min="79" max="79" width="37.375" style="22" bestFit="1" customWidth="1"/>
    <col min="80" max="80" width="39.625" style="22" customWidth="1"/>
    <col min="81" max="81" width="9" style="22" customWidth="1"/>
    <col min="82" max="16384" width="9" style="22" hidden="1"/>
  </cols>
  <sheetData>
    <row r="1" spans="1:80" ht="26.25" customHeight="1" x14ac:dyDescent="0.3">
      <c r="B1" s="1114" t="s">
        <v>29</v>
      </c>
      <c r="C1" s="1114"/>
      <c r="D1" s="1115" t="s">
        <v>28</v>
      </c>
      <c r="E1" s="1115"/>
      <c r="F1" s="1115"/>
      <c r="G1" s="1115"/>
      <c r="H1" s="1115"/>
      <c r="I1" s="1115"/>
      <c r="J1" s="1115"/>
    </row>
    <row r="2" spans="1:80" ht="26.25" customHeight="1" x14ac:dyDescent="0.3">
      <c r="B2" s="1114" t="s">
        <v>30</v>
      </c>
      <c r="C2" s="1114"/>
      <c r="D2" s="1115" t="s">
        <v>27</v>
      </c>
      <c r="E2" s="1115"/>
      <c r="F2" s="1115"/>
      <c r="G2" s="1115"/>
      <c r="H2" s="1115"/>
      <c r="I2" s="1115"/>
      <c r="J2" s="1115"/>
    </row>
    <row r="3" spans="1:80" ht="26.25" customHeight="1" thickBot="1" x14ac:dyDescent="0.35">
      <c r="B3" s="1114" t="s">
        <v>58</v>
      </c>
      <c r="C3" s="1114"/>
      <c r="D3" s="1115" t="s">
        <v>34</v>
      </c>
      <c r="E3" s="1115"/>
      <c r="F3" s="1115"/>
      <c r="G3" s="1115"/>
      <c r="H3" s="1115"/>
      <c r="I3" s="1115"/>
      <c r="J3" s="1115"/>
      <c r="AK3" s="243" t="s">
        <v>222</v>
      </c>
    </row>
    <row r="4" spans="1:80" ht="26.25" customHeight="1" thickBot="1" x14ac:dyDescent="0.35">
      <c r="AK4" s="244" t="s">
        <v>211</v>
      </c>
      <c r="AL4" s="245" t="str">
        <f t="array" ref="AL4:AX4">IF($C$9=1,TRANSPOSE(성상_MSW),TRANSPOSE(성상_Indu))</f>
        <v>음식물</v>
      </c>
      <c r="AM4" s="246" t="str">
        <v>섬유</v>
      </c>
      <c r="AN4" s="245" t="str">
        <v>폐목재</v>
      </c>
      <c r="AO4" s="245" t="str">
        <v>제지</v>
      </c>
      <c r="AP4" s="245" t="str">
        <v>석유제품</v>
      </c>
      <c r="AQ4" s="245" t="str">
        <v>고무</v>
      </c>
      <c r="AR4" s="245" t="str">
        <v>건설폐기물</v>
      </c>
      <c r="AS4" s="245" t="str">
        <v>하수슬러지</v>
      </c>
      <c r="AT4" s="245" t="str">
        <v>폐수슬러지</v>
      </c>
      <c r="AU4" s="245" t="str">
        <v>병원성폐기물</v>
      </c>
      <c r="AV4" s="247" t="str">
        <v>폐피혁</v>
      </c>
      <c r="AW4" s="247" t="str">
        <v>기타</v>
      </c>
      <c r="AX4" s="248" t="str">
        <v>혼합폐기물(bulk)</v>
      </c>
      <c r="BX4" s="1214"/>
    </row>
    <row r="5" spans="1:80" s="36" customFormat="1" ht="24.75" customHeight="1" x14ac:dyDescent="0.3">
      <c r="A5" s="249" t="s">
        <v>231</v>
      </c>
      <c r="B5" s="250" t="s">
        <v>227</v>
      </c>
      <c r="C5" s="127">
        <v>2005</v>
      </c>
      <c r="F5" s="251" t="s">
        <v>469</v>
      </c>
      <c r="G5" s="252"/>
      <c r="H5" s="252"/>
      <c r="I5" s="252"/>
      <c r="J5" s="252"/>
      <c r="K5" s="252"/>
      <c r="L5" s="252"/>
      <c r="M5" s="252"/>
      <c r="N5" s="252"/>
      <c r="O5" s="252"/>
      <c r="P5" s="253"/>
      <c r="Q5" s="254"/>
      <c r="AK5" s="255" t="s">
        <v>212</v>
      </c>
      <c r="AL5" s="443">
        <f t="array" ref="AL5:AX5">IF($C$9=1,TRANSPOSE(DOC_MSW),TRANSPOSE(DOC_Indu))</f>
        <v>0.15</v>
      </c>
      <c r="AM5" s="444">
        <v>0.24</v>
      </c>
      <c r="AN5" s="445">
        <v>0.43</v>
      </c>
      <c r="AO5" s="445">
        <v>0.4</v>
      </c>
      <c r="AP5" s="445">
        <v>0</v>
      </c>
      <c r="AQ5" s="445">
        <v>0.39</v>
      </c>
      <c r="AR5" s="445">
        <v>0.04</v>
      </c>
      <c r="AS5" s="445">
        <v>0.05</v>
      </c>
      <c r="AT5" s="445">
        <v>0.09</v>
      </c>
      <c r="AU5" s="445">
        <v>0.15</v>
      </c>
      <c r="AV5" s="446">
        <v>0.39</v>
      </c>
      <c r="AW5" s="446">
        <v>0.01</v>
      </c>
      <c r="AX5" s="447">
        <v>0.15</v>
      </c>
    </row>
    <row r="6" spans="1:80" s="36" customFormat="1" ht="24.75" customHeight="1" thickBot="1" x14ac:dyDescent="0.35">
      <c r="A6" s="256"/>
      <c r="B6" s="257" t="s">
        <v>228</v>
      </c>
      <c r="C6" s="128"/>
      <c r="D6" s="124"/>
      <c r="F6" s="258" t="s">
        <v>470</v>
      </c>
      <c r="G6" s="259"/>
      <c r="H6" s="259"/>
      <c r="I6" s="259"/>
      <c r="J6" s="259"/>
      <c r="K6" s="259"/>
      <c r="L6" s="259"/>
      <c r="M6" s="259"/>
      <c r="N6" s="259"/>
      <c r="O6" s="259"/>
      <c r="P6" s="260"/>
      <c r="Q6" s="254"/>
      <c r="AK6" s="261" t="s">
        <v>213</v>
      </c>
      <c r="AL6" s="448">
        <f t="array" ref="AL6:AX6">IF($C$9=1,TRANSPOSE(k_MSW),TRANSPOSE(k_Indu))</f>
        <v>0.185</v>
      </c>
      <c r="AM6" s="449">
        <v>0.06</v>
      </c>
      <c r="AN6" s="450">
        <v>0.03</v>
      </c>
      <c r="AO6" s="450">
        <v>0.06</v>
      </c>
      <c r="AP6" s="450">
        <v>0</v>
      </c>
      <c r="AQ6" s="450">
        <v>0.03</v>
      </c>
      <c r="AR6" s="450">
        <v>0.09</v>
      </c>
      <c r="AS6" s="450">
        <v>0.185</v>
      </c>
      <c r="AT6" s="450">
        <v>0.185</v>
      </c>
      <c r="AU6" s="450">
        <v>0.1</v>
      </c>
      <c r="AV6" s="451">
        <v>0.03</v>
      </c>
      <c r="AW6" s="451">
        <v>0.1</v>
      </c>
      <c r="AX6" s="452">
        <v>0.09</v>
      </c>
    </row>
    <row r="7" spans="1:80" s="36" customFormat="1" ht="24.75" customHeight="1" thickBot="1" x14ac:dyDescent="0.35">
      <c r="A7" s="256"/>
      <c r="B7" s="262" t="s">
        <v>229</v>
      </c>
      <c r="C7" s="159">
        <v>2012</v>
      </c>
      <c r="F7" s="258" t="s">
        <v>471</v>
      </c>
      <c r="G7" s="259"/>
      <c r="H7" s="259"/>
      <c r="I7" s="259"/>
      <c r="J7" s="259"/>
      <c r="K7" s="259"/>
      <c r="L7" s="259"/>
      <c r="M7" s="259"/>
      <c r="N7" s="259"/>
      <c r="O7" s="259"/>
      <c r="P7" s="260"/>
      <c r="Q7" s="254"/>
      <c r="AJ7" s="263"/>
    </row>
    <row r="8" spans="1:80" s="36" customFormat="1" ht="23.25" customHeight="1" thickBot="1" x14ac:dyDescent="0.35">
      <c r="A8" s="264"/>
      <c r="B8" s="265"/>
      <c r="C8" s="364"/>
      <c r="F8" s="258" t="s">
        <v>472</v>
      </c>
      <c r="G8" s="259"/>
      <c r="H8" s="259"/>
      <c r="I8" s="259"/>
      <c r="J8" s="259"/>
      <c r="K8" s="259"/>
      <c r="L8" s="259"/>
      <c r="M8" s="259"/>
      <c r="N8" s="259"/>
      <c r="O8" s="259"/>
      <c r="P8" s="260"/>
      <c r="Q8" s="254"/>
      <c r="AK8" s="266" t="s">
        <v>214</v>
      </c>
      <c r="AL8" s="453">
        <f>DOCf</f>
        <v>0.5</v>
      </c>
      <c r="AM8" s="267" t="s">
        <v>218</v>
      </c>
      <c r="AN8" s="267"/>
      <c r="AO8" s="267"/>
      <c r="AP8" s="267"/>
      <c r="AQ8" s="268"/>
    </row>
    <row r="9" spans="1:80" s="36" customFormat="1" ht="24.75" customHeight="1" x14ac:dyDescent="0.3">
      <c r="A9" s="269" t="s">
        <v>232</v>
      </c>
      <c r="B9" s="270" t="s">
        <v>19</v>
      </c>
      <c r="C9" s="219">
        <v>2</v>
      </c>
      <c r="D9" s="271"/>
      <c r="F9" s="258" t="s">
        <v>537</v>
      </c>
      <c r="G9" s="259"/>
      <c r="H9" s="259"/>
      <c r="I9" s="259"/>
      <c r="J9" s="259"/>
      <c r="K9" s="259"/>
      <c r="L9" s="259"/>
      <c r="M9" s="259"/>
      <c r="N9" s="259"/>
      <c r="O9" s="259"/>
      <c r="P9" s="260"/>
      <c r="Q9" s="254"/>
      <c r="AK9" s="272" t="s">
        <v>215</v>
      </c>
      <c r="AL9" s="454">
        <f>MCF</f>
        <v>8</v>
      </c>
      <c r="AM9" s="273" t="s">
        <v>219</v>
      </c>
      <c r="AN9" s="273"/>
      <c r="AO9" s="273"/>
      <c r="AP9" s="273"/>
      <c r="AQ9" s="274"/>
    </row>
    <row r="10" spans="1:80" s="36" customFormat="1" ht="24.75" customHeight="1" x14ac:dyDescent="0.3">
      <c r="A10" s="256"/>
      <c r="B10" s="262" t="s">
        <v>20</v>
      </c>
      <c r="C10" s="219">
        <v>3</v>
      </c>
      <c r="D10" s="275"/>
      <c r="F10" s="258" t="s">
        <v>538</v>
      </c>
      <c r="G10" s="259"/>
      <c r="H10" s="259"/>
      <c r="I10" s="259"/>
      <c r="J10" s="259"/>
      <c r="K10" s="259"/>
      <c r="L10" s="259"/>
      <c r="M10" s="259"/>
      <c r="N10" s="259"/>
      <c r="O10" s="259"/>
      <c r="P10" s="260"/>
      <c r="Q10" s="254"/>
      <c r="AK10" s="272" t="s">
        <v>216</v>
      </c>
      <c r="AL10" s="454">
        <f>F</f>
        <v>0.5</v>
      </c>
      <c r="AM10" s="273" t="s">
        <v>220</v>
      </c>
      <c r="AN10" s="273"/>
      <c r="AO10" s="273"/>
      <c r="AP10" s="273"/>
      <c r="AQ10" s="274"/>
      <c r="AX10" s="36">
        <f>DOCf</f>
        <v>0.5</v>
      </c>
    </row>
    <row r="11" spans="1:80" s="36" customFormat="1" ht="24.75" customHeight="1" thickBot="1" x14ac:dyDescent="0.35">
      <c r="A11" s="326"/>
      <c r="B11" s="327" t="s">
        <v>489</v>
      </c>
      <c r="C11" s="365">
        <v>1</v>
      </c>
      <c r="D11" s="328"/>
      <c r="E11" s="276"/>
      <c r="F11" s="277" t="s">
        <v>539</v>
      </c>
      <c r="G11" s="278"/>
      <c r="H11" s="278"/>
      <c r="I11" s="278"/>
      <c r="J11" s="278"/>
      <c r="K11" s="278"/>
      <c r="L11" s="278"/>
      <c r="M11" s="278"/>
      <c r="N11" s="278"/>
      <c r="O11" s="278"/>
      <c r="P11" s="279"/>
      <c r="Q11" s="254"/>
      <c r="AK11" s="280" t="s">
        <v>217</v>
      </c>
      <c r="AL11" s="455">
        <f>OX</f>
        <v>0.1</v>
      </c>
      <c r="AM11" s="281" t="s">
        <v>221</v>
      </c>
      <c r="AN11" s="281"/>
      <c r="AO11" s="281"/>
      <c r="AP11" s="281"/>
      <c r="AQ11" s="282"/>
      <c r="AX11" s="36">
        <f>VLOOKUP(AS$15,IF($C$9=1,Param_MSW,Param_Indu),2,0)</f>
        <v>0.09</v>
      </c>
    </row>
    <row r="12" spans="1:80" s="36" customFormat="1" ht="32.25" customHeight="1" x14ac:dyDescent="0.3">
      <c r="A12" s="283"/>
      <c r="F12" s="124"/>
      <c r="V12" s="284"/>
    </row>
    <row r="13" spans="1:80" s="285" customFormat="1" ht="62.25" customHeight="1" x14ac:dyDescent="0.3">
      <c r="B13" s="1118" t="s">
        <v>45</v>
      </c>
      <c r="C13" s="1106" t="s">
        <v>719</v>
      </c>
      <c r="D13" s="1117"/>
      <c r="E13" s="1117"/>
      <c r="F13" s="1117"/>
      <c r="G13" s="1117"/>
      <c r="H13" s="1117"/>
      <c r="I13" s="1117"/>
      <c r="J13" s="1117"/>
      <c r="K13" s="1117"/>
      <c r="L13" s="1117"/>
      <c r="M13" s="1117"/>
      <c r="N13" s="1117"/>
      <c r="O13" s="1117"/>
      <c r="P13" s="1117"/>
      <c r="Q13" s="286" t="s">
        <v>540</v>
      </c>
      <c r="R13" s="1120" t="s">
        <v>536</v>
      </c>
      <c r="S13" s="1121"/>
      <c r="T13" s="1121"/>
      <c r="U13" s="1122"/>
      <c r="V13" s="287"/>
      <c r="W13" s="1095" t="s">
        <v>347</v>
      </c>
      <c r="X13" s="1096"/>
      <c r="Y13" s="1096"/>
      <c r="Z13" s="1096"/>
      <c r="AA13" s="1096"/>
      <c r="AB13" s="1096"/>
      <c r="AC13" s="1096"/>
      <c r="AD13" s="1096"/>
      <c r="AE13" s="1096"/>
      <c r="AF13" s="1096"/>
      <c r="AG13" s="1096"/>
      <c r="AH13" s="1096"/>
      <c r="AI13" s="1096"/>
      <c r="AJ13" s="1097"/>
      <c r="AK13" s="1098" t="s">
        <v>460</v>
      </c>
      <c r="AL13" s="1099"/>
      <c r="AM13" s="1099"/>
      <c r="AN13" s="1099"/>
      <c r="AO13" s="1099"/>
      <c r="AP13" s="1099"/>
      <c r="AQ13" s="1099"/>
      <c r="AR13" s="1099"/>
      <c r="AS13" s="1099"/>
      <c r="AT13" s="1099"/>
      <c r="AU13" s="1099"/>
      <c r="AV13" s="1099"/>
      <c r="AW13" s="1100"/>
      <c r="AX13" s="1101" t="s">
        <v>461</v>
      </c>
      <c r="AY13" s="1098"/>
      <c r="AZ13" s="1098"/>
      <c r="BA13" s="1098"/>
      <c r="BB13" s="1098"/>
      <c r="BC13" s="1098"/>
      <c r="BD13" s="1098"/>
      <c r="BE13" s="1098"/>
      <c r="BF13" s="1098"/>
      <c r="BG13" s="1098"/>
      <c r="BH13" s="1098"/>
      <c r="BI13" s="1098"/>
      <c r="BJ13" s="1098"/>
      <c r="BK13" s="1102"/>
      <c r="BL13" s="1101" t="s">
        <v>543</v>
      </c>
      <c r="BM13" s="1098"/>
      <c r="BN13" s="1098"/>
      <c r="BO13" s="1098"/>
      <c r="BP13" s="1098"/>
      <c r="BQ13" s="1098"/>
      <c r="BR13" s="1098"/>
      <c r="BS13" s="1098"/>
      <c r="BT13" s="1098"/>
      <c r="BU13" s="1098"/>
      <c r="BV13" s="1098"/>
      <c r="BW13" s="1098"/>
      <c r="BX13" s="1098"/>
      <c r="BY13" s="1102"/>
      <c r="BZ13" s="1103" t="s">
        <v>346</v>
      </c>
      <c r="CA13" s="1104"/>
      <c r="CB13" s="1105"/>
    </row>
    <row r="14" spans="1:80" s="285" customFormat="1" ht="48" customHeight="1" thickBot="1" x14ac:dyDescent="0.35">
      <c r="B14" s="1119"/>
      <c r="C14" s="1116" t="s">
        <v>36</v>
      </c>
      <c r="D14" s="1117"/>
      <c r="E14" s="1117"/>
      <c r="F14" s="1117"/>
      <c r="G14" s="1117"/>
      <c r="H14" s="1117"/>
      <c r="I14" s="1117"/>
      <c r="J14" s="1117"/>
      <c r="K14" s="1117"/>
      <c r="L14" s="1117"/>
      <c r="M14" s="1117"/>
      <c r="N14" s="1117"/>
      <c r="O14" s="1117"/>
      <c r="P14" s="1117"/>
      <c r="Q14" s="288" t="s">
        <v>450</v>
      </c>
      <c r="R14" s="289" t="s">
        <v>38</v>
      </c>
      <c r="S14" s="290" t="s">
        <v>39</v>
      </c>
      <c r="T14" s="291" t="s">
        <v>40</v>
      </c>
      <c r="U14" s="292" t="s">
        <v>41</v>
      </c>
      <c r="V14" s="293"/>
      <c r="W14" s="1106"/>
      <c r="X14" s="1107"/>
      <c r="Y14" s="1107"/>
      <c r="Z14" s="1107"/>
      <c r="AA14" s="1107"/>
      <c r="AB14" s="1107"/>
      <c r="AC14" s="1107"/>
      <c r="AD14" s="1107"/>
      <c r="AE14" s="1107"/>
      <c r="AF14" s="1107"/>
      <c r="AG14" s="1107"/>
      <c r="AH14" s="1107"/>
      <c r="AI14" s="1107"/>
      <c r="AJ14" s="1108"/>
      <c r="AK14" s="1110" t="s">
        <v>454</v>
      </c>
      <c r="AL14" s="1112"/>
      <c r="AM14" s="1112"/>
      <c r="AN14" s="1112"/>
      <c r="AO14" s="1112"/>
      <c r="AP14" s="1112"/>
      <c r="AQ14" s="1112"/>
      <c r="AR14" s="1112"/>
      <c r="AS14" s="1112"/>
      <c r="AT14" s="1112"/>
      <c r="AU14" s="1112"/>
      <c r="AV14" s="1112"/>
      <c r="AW14" s="1113"/>
      <c r="AX14" s="1109" t="s">
        <v>455</v>
      </c>
      <c r="AY14" s="1110"/>
      <c r="AZ14" s="1110"/>
      <c r="BA14" s="1110"/>
      <c r="BB14" s="1110"/>
      <c r="BC14" s="1110"/>
      <c r="BD14" s="1110"/>
      <c r="BE14" s="1110"/>
      <c r="BF14" s="1110"/>
      <c r="BG14" s="1110"/>
      <c r="BH14" s="1110"/>
      <c r="BI14" s="1110"/>
      <c r="BJ14" s="1110"/>
      <c r="BK14" s="1111"/>
      <c r="BL14" s="1109" t="s">
        <v>456</v>
      </c>
      <c r="BM14" s="1110"/>
      <c r="BN14" s="1110"/>
      <c r="BO14" s="1110"/>
      <c r="BP14" s="1110"/>
      <c r="BQ14" s="1110"/>
      <c r="BR14" s="1110"/>
      <c r="BS14" s="1110"/>
      <c r="BT14" s="1110"/>
      <c r="BU14" s="1110"/>
      <c r="BV14" s="1110"/>
      <c r="BW14" s="1110"/>
      <c r="BX14" s="1110"/>
      <c r="BY14" s="1111"/>
      <c r="BZ14" s="294" t="s">
        <v>457</v>
      </c>
      <c r="CA14" s="334" t="s">
        <v>458</v>
      </c>
      <c r="CB14" s="335" t="s">
        <v>459</v>
      </c>
    </row>
    <row r="15" spans="1:80" s="295" customFormat="1" ht="49.5" customHeight="1" thickTop="1" x14ac:dyDescent="0.3">
      <c r="B15" s="1123" t="s">
        <v>545</v>
      </c>
      <c r="C15" s="1125" t="s">
        <v>349</v>
      </c>
      <c r="D15" s="692" t="str">
        <f t="array" ref="D15:P15">IF($C$9=1,TRANSPOSE(성상_MSW),TRANSPOSE(성상_Indu))</f>
        <v>음식물</v>
      </c>
      <c r="E15" s="693" t="str">
        <v>섬유</v>
      </c>
      <c r="F15" s="693" t="str">
        <v>폐목재</v>
      </c>
      <c r="G15" s="693" t="str">
        <v>제지</v>
      </c>
      <c r="H15" s="693" t="str">
        <v>석유제품</v>
      </c>
      <c r="I15" s="693" t="str">
        <v>고무</v>
      </c>
      <c r="J15" s="693" t="str">
        <v>건설폐기물</v>
      </c>
      <c r="K15" s="693" t="str">
        <v>하수슬러지</v>
      </c>
      <c r="L15" s="693" t="str">
        <v>폐수슬러지</v>
      </c>
      <c r="M15" s="693" t="str">
        <v>병원성폐기물</v>
      </c>
      <c r="N15" s="694" t="str">
        <v>폐피혁</v>
      </c>
      <c r="O15" s="694" t="str">
        <v>기타</v>
      </c>
      <c r="P15" s="695" t="str">
        <v>혼합폐기물(bulk)</v>
      </c>
      <c r="Q15" s="296" t="s">
        <v>449</v>
      </c>
      <c r="R15" s="297" t="s">
        <v>546</v>
      </c>
      <c r="S15" s="298" t="s">
        <v>547</v>
      </c>
      <c r="T15" s="711" t="s">
        <v>672</v>
      </c>
      <c r="U15" s="712" t="s">
        <v>484</v>
      </c>
      <c r="V15" s="299" t="s">
        <v>452</v>
      </c>
      <c r="W15" s="300" t="str">
        <f t="shared" ref="W15:AI15" si="0">D15</f>
        <v>음식물</v>
      </c>
      <c r="X15" s="301" t="str">
        <f t="shared" si="0"/>
        <v>섬유</v>
      </c>
      <c r="Y15" s="301" t="str">
        <f t="shared" si="0"/>
        <v>폐목재</v>
      </c>
      <c r="Z15" s="301" t="str">
        <f t="shared" si="0"/>
        <v>제지</v>
      </c>
      <c r="AA15" s="301" t="str">
        <f t="shared" si="0"/>
        <v>석유제품</v>
      </c>
      <c r="AB15" s="301" t="str">
        <f t="shared" si="0"/>
        <v>고무</v>
      </c>
      <c r="AC15" s="301" t="str">
        <f t="shared" si="0"/>
        <v>건설폐기물</v>
      </c>
      <c r="AD15" s="301" t="str">
        <f t="shared" si="0"/>
        <v>하수슬러지</v>
      </c>
      <c r="AE15" s="301" t="str">
        <f t="shared" si="0"/>
        <v>폐수슬러지</v>
      </c>
      <c r="AF15" s="301" t="str">
        <f t="shared" si="0"/>
        <v>병원성폐기물</v>
      </c>
      <c r="AG15" s="301" t="str">
        <f t="shared" si="0"/>
        <v>폐피혁</v>
      </c>
      <c r="AH15" s="301" t="str">
        <f t="shared" si="0"/>
        <v>기타</v>
      </c>
      <c r="AI15" s="302" t="str">
        <f t="shared" si="0"/>
        <v>혼합폐기물(bulk)</v>
      </c>
      <c r="AJ15" s="209" t="s">
        <v>17</v>
      </c>
      <c r="AK15" s="303" t="str">
        <f t="shared" ref="AK15:AW15" si="1">D15</f>
        <v>음식물</v>
      </c>
      <c r="AL15" s="301" t="str">
        <f t="shared" si="1"/>
        <v>섬유</v>
      </c>
      <c r="AM15" s="301" t="str">
        <f t="shared" si="1"/>
        <v>폐목재</v>
      </c>
      <c r="AN15" s="301" t="str">
        <f t="shared" si="1"/>
        <v>제지</v>
      </c>
      <c r="AO15" s="301" t="str">
        <f t="shared" si="1"/>
        <v>석유제품</v>
      </c>
      <c r="AP15" s="301" t="str">
        <f t="shared" si="1"/>
        <v>고무</v>
      </c>
      <c r="AQ15" s="301" t="str">
        <f t="shared" si="1"/>
        <v>건설폐기물</v>
      </c>
      <c r="AR15" s="301" t="str">
        <f t="shared" si="1"/>
        <v>하수슬러지</v>
      </c>
      <c r="AS15" s="301" t="str">
        <f t="shared" si="1"/>
        <v>폐수슬러지</v>
      </c>
      <c r="AT15" s="301" t="str">
        <f t="shared" si="1"/>
        <v>병원성폐기물</v>
      </c>
      <c r="AU15" s="301" t="str">
        <f t="shared" si="1"/>
        <v>폐피혁</v>
      </c>
      <c r="AV15" s="301" t="str">
        <f t="shared" si="1"/>
        <v>기타</v>
      </c>
      <c r="AW15" s="304" t="str">
        <f t="shared" si="1"/>
        <v>혼합폐기물(bulk)</v>
      </c>
      <c r="AX15" s="305" t="str">
        <f t="shared" ref="AX15:BJ15" si="2">D15</f>
        <v>음식물</v>
      </c>
      <c r="AY15" s="301" t="str">
        <f t="shared" si="2"/>
        <v>섬유</v>
      </c>
      <c r="AZ15" s="301" t="str">
        <f t="shared" si="2"/>
        <v>폐목재</v>
      </c>
      <c r="BA15" s="301" t="str">
        <f t="shared" si="2"/>
        <v>제지</v>
      </c>
      <c r="BB15" s="301" t="str">
        <f t="shared" si="2"/>
        <v>석유제품</v>
      </c>
      <c r="BC15" s="301" t="str">
        <f t="shared" si="2"/>
        <v>고무</v>
      </c>
      <c r="BD15" s="301" t="str">
        <f t="shared" si="2"/>
        <v>건설폐기물</v>
      </c>
      <c r="BE15" s="301" t="str">
        <f t="shared" si="2"/>
        <v>하수슬러지</v>
      </c>
      <c r="BF15" s="301" t="str">
        <f t="shared" si="2"/>
        <v>폐수슬러지</v>
      </c>
      <c r="BG15" s="301" t="str">
        <f t="shared" si="2"/>
        <v>병원성폐기물</v>
      </c>
      <c r="BH15" s="301" t="str">
        <f t="shared" si="2"/>
        <v>폐피혁</v>
      </c>
      <c r="BI15" s="301" t="str">
        <f t="shared" si="2"/>
        <v>기타</v>
      </c>
      <c r="BJ15" s="302" t="str">
        <f t="shared" si="2"/>
        <v>혼합폐기물(bulk)</v>
      </c>
      <c r="BK15" s="306" t="s">
        <v>344</v>
      </c>
      <c r="BL15" s="305" t="str">
        <f t="shared" ref="BL15:BX15" si="3">D15</f>
        <v>음식물</v>
      </c>
      <c r="BM15" s="301" t="str">
        <f t="shared" si="3"/>
        <v>섬유</v>
      </c>
      <c r="BN15" s="301" t="str">
        <f t="shared" si="3"/>
        <v>폐목재</v>
      </c>
      <c r="BO15" s="301" t="str">
        <f t="shared" si="3"/>
        <v>제지</v>
      </c>
      <c r="BP15" s="301" t="str">
        <f t="shared" si="3"/>
        <v>석유제품</v>
      </c>
      <c r="BQ15" s="301" t="str">
        <f t="shared" si="3"/>
        <v>고무</v>
      </c>
      <c r="BR15" s="301" t="str">
        <f t="shared" si="3"/>
        <v>건설폐기물</v>
      </c>
      <c r="BS15" s="301" t="str">
        <f t="shared" si="3"/>
        <v>하수슬러지</v>
      </c>
      <c r="BT15" s="301" t="str">
        <f t="shared" si="3"/>
        <v>폐수슬러지</v>
      </c>
      <c r="BU15" s="301" t="str">
        <f t="shared" si="3"/>
        <v>병원성폐기물</v>
      </c>
      <c r="BV15" s="301" t="str">
        <f t="shared" si="3"/>
        <v>폐피혁</v>
      </c>
      <c r="BW15" s="301" t="str">
        <f t="shared" si="3"/>
        <v>기타</v>
      </c>
      <c r="BX15" s="302" t="str">
        <f t="shared" si="3"/>
        <v>혼합폐기물(bulk)</v>
      </c>
      <c r="BY15" s="306" t="s">
        <v>345</v>
      </c>
      <c r="BZ15" s="307" t="s">
        <v>447</v>
      </c>
      <c r="CA15" s="308" t="s">
        <v>348</v>
      </c>
      <c r="CB15" s="309" t="s">
        <v>322</v>
      </c>
    </row>
    <row r="16" spans="1:80" s="285" customFormat="1" ht="90" thickBot="1" x14ac:dyDescent="0.35">
      <c r="B16" s="1124"/>
      <c r="C16" s="1126"/>
      <c r="D16" s="696" t="str">
        <f t="shared" ref="D16:P16" si="4">VLOOKUP(D$15,IF($C$9=1,Param_MSW,Param_Indu),9,0)</f>
        <v>음식, 음료, 담배 등</v>
      </c>
      <c r="E16" s="697" t="str">
        <f t="shared" si="4"/>
        <v>섬유, 폐섬유 등</v>
      </c>
      <c r="F16" s="697" t="str">
        <f t="shared" si="4"/>
        <v>목재(최종 목재 제품으로 사용된), 폐목재</v>
      </c>
      <c r="G16" s="697" t="str">
        <f t="shared" si="4"/>
        <v>제지, 폐지 등</v>
      </c>
      <c r="H16" s="697" t="str">
        <f t="shared" si="4"/>
        <v>석유제품, 용매, 플라스틱 등</v>
      </c>
      <c r="I16" s="697" t="str">
        <f t="shared" si="4"/>
        <v>폐합성고무(천연고무가 아닌)</v>
      </c>
      <c r="J16" s="697" t="str">
        <f t="shared" si="4"/>
        <v>건설 및 파쇄 잔재 등</v>
      </c>
      <c r="K16" s="697" t="str">
        <f t="shared" si="4"/>
        <v>하수오니, 정수처리오니, 유기성하수오니 등</v>
      </c>
      <c r="L16" s="697" t="str">
        <f t="shared" si="4"/>
        <v>폐수처리오니, 공정오니 등</v>
      </c>
      <c r="M16" s="697" t="str">
        <f t="shared" si="4"/>
        <v>감염성폐기물, 동식물성 폐잔재물 등</v>
      </c>
      <c r="N16" s="698" t="str">
        <f t="shared" si="4"/>
        <v>피혁, 폐피혁 등</v>
      </c>
      <c r="O16" s="698" t="str">
        <f t="shared" si="4"/>
        <v>기타</v>
      </c>
      <c r="P16" s="699" t="str">
        <f t="shared" si="4"/>
        <v>조성별매립량 자료의 확보가 불가능한 년도만 적용</v>
      </c>
      <c r="Q16" s="690" t="s">
        <v>617</v>
      </c>
      <c r="R16" s="310" t="s">
        <v>448</v>
      </c>
      <c r="S16" s="311" t="s">
        <v>451</v>
      </c>
      <c r="T16" s="713" t="s">
        <v>673</v>
      </c>
      <c r="U16" s="312" t="s">
        <v>674</v>
      </c>
      <c r="V16" s="700" t="s">
        <v>453</v>
      </c>
      <c r="W16" s="701"/>
      <c r="X16" s="702"/>
      <c r="Y16" s="702"/>
      <c r="Z16" s="702"/>
      <c r="AA16" s="702"/>
      <c r="AB16" s="702"/>
      <c r="AC16" s="702"/>
      <c r="AD16" s="702"/>
      <c r="AE16" s="702"/>
      <c r="AF16" s="702"/>
      <c r="AG16" s="703"/>
      <c r="AH16" s="703"/>
      <c r="AI16" s="704"/>
      <c r="AJ16" s="705">
        <f>SUM(W16:AI16)</f>
        <v>0</v>
      </c>
      <c r="AK16" s="1090" t="s">
        <v>462</v>
      </c>
      <c r="AL16" s="1091"/>
      <c r="AM16" s="1091"/>
      <c r="AN16" s="1091"/>
      <c r="AO16" s="1091"/>
      <c r="AP16" s="1091"/>
      <c r="AQ16" s="1091"/>
      <c r="AR16" s="1091"/>
      <c r="AS16" s="1091"/>
      <c r="AT16" s="1091"/>
      <c r="AU16" s="1091"/>
      <c r="AV16" s="1091"/>
      <c r="AW16" s="1092"/>
      <c r="AX16" s="1090" t="s">
        <v>485</v>
      </c>
      <c r="AY16" s="1093"/>
      <c r="AZ16" s="1093"/>
      <c r="BA16" s="1093"/>
      <c r="BB16" s="1093"/>
      <c r="BC16" s="1093"/>
      <c r="BD16" s="1093"/>
      <c r="BE16" s="1093"/>
      <c r="BF16" s="1093"/>
      <c r="BG16" s="1093"/>
      <c r="BH16" s="1093"/>
      <c r="BI16" s="1093"/>
      <c r="BJ16" s="1093"/>
      <c r="BK16" s="1094"/>
      <c r="BL16" s="1090" t="s">
        <v>486</v>
      </c>
      <c r="BM16" s="1093"/>
      <c r="BN16" s="1093"/>
      <c r="BO16" s="1093"/>
      <c r="BP16" s="1093"/>
      <c r="BQ16" s="1093"/>
      <c r="BR16" s="1093"/>
      <c r="BS16" s="1093"/>
      <c r="BT16" s="1093"/>
      <c r="BU16" s="1093"/>
      <c r="BV16" s="1093"/>
      <c r="BW16" s="1093"/>
      <c r="BX16" s="1093"/>
      <c r="BY16" s="1094"/>
      <c r="BZ16" s="324" t="s">
        <v>488</v>
      </c>
      <c r="CA16" s="324" t="s">
        <v>487</v>
      </c>
      <c r="CB16" s="346" t="s">
        <v>544</v>
      </c>
    </row>
    <row r="17" spans="1:80" s="315" customFormat="1" ht="27.75" thickTop="1" thickBot="1" x14ac:dyDescent="0.35">
      <c r="A17" s="313"/>
      <c r="B17" s="314">
        <f>IF($C$7="","",$C$7)</f>
        <v>2012</v>
      </c>
      <c r="C17" s="883">
        <v>10</v>
      </c>
      <c r="D17" s="884"/>
      <c r="E17" s="885"/>
      <c r="F17" s="885"/>
      <c r="G17" s="885"/>
      <c r="H17" s="885"/>
      <c r="I17" s="885"/>
      <c r="J17" s="885"/>
      <c r="K17" s="885"/>
      <c r="L17" s="885"/>
      <c r="M17" s="885"/>
      <c r="N17" s="886"/>
      <c r="O17" s="886"/>
      <c r="P17" s="886"/>
      <c r="Q17" s="887"/>
      <c r="R17" s="810">
        <f>CB17</f>
        <v>1.6628360448188289</v>
      </c>
      <c r="S17" s="811">
        <f>IF(R17*0.75&lt;Q17,Q17*(1/0.75),R17)</f>
        <v>1.6628360448188289</v>
      </c>
      <c r="T17" s="812">
        <f t="shared" ref="T17:T46" si="5">(S17-Q17)*(1-OX)*10^3</f>
        <v>1496.5524403369459</v>
      </c>
      <c r="U17" s="813">
        <f t="shared" ref="U17:U46" si="6">T17*GWP_CH4 * 10^-3</f>
        <v>31.427601247075867</v>
      </c>
      <c r="V17" s="706">
        <f t="shared" ref="V17:V46" si="7">IF(OR(B17&lt;$C$5,AND(B17&gt;$C$6,$C$6&lt;&gt;"")),0,SUM(D17:P17))</f>
        <v>0</v>
      </c>
      <c r="W17" s="707" t="str">
        <f t="shared" ref="W17:W46" si="8">IF(AND($V17&lt;&gt;"",$V17&lt;&gt;0),D17/$V17,"")</f>
        <v/>
      </c>
      <c r="X17" s="708" t="str">
        <f t="shared" ref="X17:X46" si="9">IF(AND($V17&lt;&gt;"",$V17&lt;&gt;0),E17/$V17,"")</f>
        <v/>
      </c>
      <c r="Y17" s="708" t="str">
        <f t="shared" ref="Y17:Y46" si="10">IF(AND($V17&lt;&gt;"",$V17&lt;&gt;0),F17/$V17,"")</f>
        <v/>
      </c>
      <c r="Z17" s="708" t="str">
        <f t="shared" ref="Z17:Z46" si="11">IF(AND($V17&lt;&gt;"",$V17&lt;&gt;0),G17/$V17,"")</f>
        <v/>
      </c>
      <c r="AA17" s="708" t="str">
        <f t="shared" ref="AA17:AA46" si="12">IF(AND($V17&lt;&gt;"",$V17&lt;&gt;0),H17/$V17,"")</f>
        <v/>
      </c>
      <c r="AB17" s="708" t="str">
        <f t="shared" ref="AB17:AB46" si="13">IF(AND($V17&lt;&gt;"",$V17&lt;&gt;0),I17/$V17,"")</f>
        <v/>
      </c>
      <c r="AC17" s="708" t="str">
        <f t="shared" ref="AC17:AC46" si="14">IF(AND($V17&lt;&gt;"",$V17&lt;&gt;0),J17/$V17,"")</f>
        <v/>
      </c>
      <c r="AD17" s="708" t="str">
        <f t="shared" ref="AD17:AD46" si="15">IF(AND($V17&lt;&gt;"",$V17&lt;&gt;0),K17/$V17,"")</f>
        <v/>
      </c>
      <c r="AE17" s="708" t="str">
        <f t="shared" ref="AE17:AE46" si="16">IF(AND($V17&lt;&gt;"",$V17&lt;&gt;0),L17/$V17,"")</f>
        <v/>
      </c>
      <c r="AF17" s="708" t="str">
        <f t="shared" ref="AF17:AF46" si="17">IF(AND($V17&lt;&gt;"",$V17&lt;&gt;0),M17/$V17,"")</f>
        <v/>
      </c>
      <c r="AG17" s="708" t="str">
        <f t="shared" ref="AG17:AG46" si="18">IF(AND($V17&lt;&gt;"",$V17&lt;&gt;0),N17/$V17,"")</f>
        <v/>
      </c>
      <c r="AH17" s="708" t="str">
        <f t="shared" ref="AH17:AH46" si="19">IF(AND($V17&lt;&gt;"",$V17&lt;&gt;0),O17/$V17,"")</f>
        <v/>
      </c>
      <c r="AI17" s="709" t="str">
        <f t="shared" ref="AI17:AI46" si="20">IF(AND($V17&lt;&gt;"",$V17&lt;&gt;0),P17/$V17,"")</f>
        <v/>
      </c>
      <c r="AJ17" s="710">
        <f>SUM(W17:AI17)</f>
        <v>0</v>
      </c>
      <c r="AK17" s="505">
        <f>IF($V17&lt;&gt;0,D17*VLOOKUP(AK$15,IF($C$9=1,Param_MSW,Param_Indu),2,0)*DOCf*MCF,0)</f>
        <v>0</v>
      </c>
      <c r="AL17" s="506">
        <f t="shared" ref="AL17:AL46" si="21">IF($V17&lt;&gt;0,E17*VLOOKUP(AL$15,IF($C$9=1,Param_MSW,Param_Indu),2,0)*DOCf*MCF,0)</f>
        <v>0</v>
      </c>
      <c r="AM17" s="506">
        <f t="shared" ref="AM17:AM46" si="22">IF($V17&lt;&gt;0,F17*VLOOKUP(AM$15,IF($C$9=1,Param_MSW,Param_Indu),2,0)*DOCf*MCF,0)</f>
        <v>0</v>
      </c>
      <c r="AN17" s="506">
        <f t="shared" ref="AN17:AN46" si="23">IF($V17&lt;&gt;0,G17*VLOOKUP(AN$15,IF($C$9=1,Param_MSW,Param_Indu),2,0)*DOCf*MCF,0)</f>
        <v>0</v>
      </c>
      <c r="AO17" s="506">
        <f t="shared" ref="AO17:AO46" si="24">IF($V17&lt;&gt;0,H17*VLOOKUP(AO$15,IF($C$9=1,Param_MSW,Param_Indu),2,0)*DOCf*MCF,0)</f>
        <v>0</v>
      </c>
      <c r="AP17" s="506">
        <f t="shared" ref="AP17:AP46" si="25">IF($V17&lt;&gt;0,I17*VLOOKUP(AP$15,IF($C$9=1,Param_MSW,Param_Indu),2,0)*DOCf*MCF,0)</f>
        <v>0</v>
      </c>
      <c r="AQ17" s="506">
        <f t="shared" ref="AQ17:AQ46" si="26">IF($V17&lt;&gt;0,J17*VLOOKUP(AQ$15,IF($C$9=1,Param_MSW,Param_Indu),2,0)*DOCf*MCF,0)</f>
        <v>0</v>
      </c>
      <c r="AR17" s="506">
        <f t="shared" ref="AR17:AR46" si="27">IF($V17&lt;&gt;0,K17*VLOOKUP(AR$15,IF($C$9=1,Param_MSW,Param_Indu),2,0)*DOCf*MCF,0)</f>
        <v>0</v>
      </c>
      <c r="AS17" s="506">
        <f t="shared" ref="AS17:AS46" si="28">IF($V17&lt;&gt;0,L17*VLOOKUP(AS$15,IF($C$9=1,Param_MSW,Param_Indu),2,0)*DOCf*MCF,0)</f>
        <v>0</v>
      </c>
      <c r="AT17" s="506">
        <f t="shared" ref="AT17:AT46" si="29">IF($V17&lt;&gt;0,M17*VLOOKUP(AT$15,IF($C$9=1,Param_MSW,Param_Indu),2,0)*DOCf*MCF,0)</f>
        <v>0</v>
      </c>
      <c r="AU17" s="506">
        <f t="shared" ref="AU17:AU46" si="30">IF($V17&lt;&gt;0,N17*VLOOKUP(AU$15,IF($C$9=1,Param_MSW,Param_Indu),2,0)*DOCf*MCF,0)</f>
        <v>0</v>
      </c>
      <c r="AV17" s="563">
        <f t="shared" ref="AV17:AV46" si="31">IF($V17&lt;&gt;0,O17*VLOOKUP(AV$15,IF($C$9=1,Param_MSW,Param_Indu),2,0)*DOCf*MCF,0)</f>
        <v>0</v>
      </c>
      <c r="AW17" s="507">
        <f t="shared" ref="AW17:AW46" si="32">IF($V17&lt;&gt;0,P17*VLOOKUP(AW$15,IF($C$9=1,Param_MSW,Param_Indu),2,0)*DOCf*MCF,0)</f>
        <v>0</v>
      </c>
      <c r="AX17" s="508">
        <f t="shared" ref="AX17:AX45" si="33">AK17+AX18*EXP(-(VLOOKUP(AX$15,IF($C$9=1,Param_MSW,Param_Indu),3,0)))</f>
        <v>0</v>
      </c>
      <c r="AY17" s="506">
        <f t="shared" ref="AY17:AY45" si="34">AL17+AY18*EXP(-(VLOOKUP(AY$15,IF($C$9=1,Param_MSW,Param_Indu),3,0)))</f>
        <v>0</v>
      </c>
      <c r="AZ17" s="506">
        <f t="shared" ref="AZ17:AZ45" si="35">AM17+AZ18*EXP(-(VLOOKUP(AZ$15,IF($C$9=1,Param_MSW,Param_Indu),3,0)))</f>
        <v>0</v>
      </c>
      <c r="BA17" s="506">
        <f t="shared" ref="BA17:BA45" si="36">AN17+BA18*EXP(-(VLOOKUP(BA$15,IF($C$9=1,Param_MSW,Param_Indu),3,0)))</f>
        <v>0</v>
      </c>
      <c r="BB17" s="506">
        <f t="shared" ref="BB17:BB45" si="37">AO17+BB18*EXP(-(VLOOKUP(BB$15,IF($C$9=1,Param_MSW,Param_Indu),3,0)))</f>
        <v>0</v>
      </c>
      <c r="BC17" s="506">
        <f t="shared" ref="BC17:BC45" si="38">AP17+BC18*EXP(-(VLOOKUP(BC$15,IF($C$9=1,Param_MSW,Param_Indu),3,0)))</f>
        <v>0</v>
      </c>
      <c r="BD17" s="506">
        <f t="shared" ref="BD17:BD45" si="39">AQ17+BD18*EXP(-(VLOOKUP(BD$15,IF($C$9=1,Param_MSW,Param_Indu),3,0)))</f>
        <v>0</v>
      </c>
      <c r="BE17" s="506">
        <f t="shared" ref="BE17:BE45" si="40">AR17+BE18*EXP(-(VLOOKUP(BE$15,IF($C$9=1,Param_MSW,Param_Indu),3,0)))</f>
        <v>1.6622085677042513</v>
      </c>
      <c r="BF17" s="506">
        <f t="shared" ref="BF17:BF45" si="41">AS17+BF18*EXP(-(VLOOKUP(BF$15,IF($C$9=1,Param_MSW,Param_Indu),3,0)))</f>
        <v>2.991975421867652</v>
      </c>
      <c r="BG17" s="506">
        <f t="shared" ref="BG17:BG45" si="42">AT17+BG18*EXP(-(VLOOKUP(BG$15,IF($C$9=1,Param_MSW,Param_Indu),3,0)))</f>
        <v>5.4290245082157575</v>
      </c>
      <c r="BH17" s="509">
        <f t="shared" ref="BH17:BH45" si="43">AU17+BH18*EXP(-(VLOOKUP(BH$15,IF($C$9=1,Param_MSW,Param_Indu),3,0)))</f>
        <v>15.138950323356729</v>
      </c>
      <c r="BI17" s="563">
        <f t="shared" ref="BI17:BI45" si="44">AV17+BI18*EXP(-(VLOOKUP(BI$15,IF($C$9=1,Param_MSW,Param_Indu),3,0)))</f>
        <v>0</v>
      </c>
      <c r="BJ17" s="510">
        <f t="shared" ref="BJ17:BJ45" si="45">AW17+BJ18*EXP(-(VLOOKUP(BJ$15,IF($C$9=1,Param_MSW,Param_Indu),3,0)))</f>
        <v>5.4835871116273687</v>
      </c>
      <c r="BK17" s="511">
        <f t="shared" ref="BK17:BK46" si="46">SUM(AX17:BJ17)</f>
        <v>30.705745932771759</v>
      </c>
      <c r="BL17" s="512">
        <f t="shared" ref="BL17:BL45" si="47">AX18*(1-EXP(-(VLOOKUP(BL$15,IF($C$9=1,Param_MSW,Param_Indu),3,0))))</f>
        <v>0</v>
      </c>
      <c r="BM17" s="506">
        <f t="shared" ref="BM17:BM45" si="48">AY18*(1-EXP(-(VLOOKUP(BM$15,IF($C$9=1,Param_MSW,Param_Indu),3,0))))</f>
        <v>0</v>
      </c>
      <c r="BN17" s="506">
        <f t="shared" ref="BN17:BN45" si="49">AZ18*(1-EXP(-(VLOOKUP(BN$15,IF($C$9=1,Param_MSW,Param_Indu),3,0))))</f>
        <v>0</v>
      </c>
      <c r="BO17" s="506">
        <f t="shared" ref="BO17:BO45" si="50">BA18*(1-EXP(-(VLOOKUP(BO$15,IF($C$9=1,Param_MSW,Param_Indu),3,0))))</f>
        <v>0</v>
      </c>
      <c r="BP17" s="506">
        <f t="shared" ref="BP17:BP45" si="51">BB18*(1-EXP(-(VLOOKUP(BP$15,IF($C$9=1,Param_MSW,Param_Indu),3,0))))</f>
        <v>0</v>
      </c>
      <c r="BQ17" s="506">
        <f t="shared" ref="BQ17:BQ45" si="52">BC18*(1-EXP(-(VLOOKUP(BQ$15,IF($C$9=1,Param_MSW,Param_Indu),3,0))))</f>
        <v>0</v>
      </c>
      <c r="BR17" s="506">
        <f t="shared" ref="BR17:BR45" si="53">BD18*(1-EXP(-(VLOOKUP(BR$15,IF($C$9=1,Param_MSW,Param_Indu),3,0))))</f>
        <v>0</v>
      </c>
      <c r="BS17" s="506">
        <f t="shared" ref="BS17:BS45" si="54">BE18*(1-EXP(-(VLOOKUP(BS$15,IF($C$9=1,Param_MSW,Param_Indu),3,0))))</f>
        <v>0.33779143229574871</v>
      </c>
      <c r="BT17" s="506">
        <f t="shared" ref="BT17:BT45" si="55">BF18*(1-EXP(-(VLOOKUP(BT$15,IF($C$9=1,Param_MSW,Param_Indu),3,0))))</f>
        <v>0.60802457813234756</v>
      </c>
      <c r="BU17" s="506">
        <f t="shared" ref="BU17:BU45" si="56">BG18*(1-EXP(-(VLOOKUP(BU$15,IF($C$9=1,Param_MSW,Param_Indu),3,0))))</f>
        <v>0.57097549178424289</v>
      </c>
      <c r="BV17" s="509">
        <f t="shared" ref="BV17:BV45" si="57">BH18*(1-EXP(-(VLOOKUP(BV$15,IF($C$9=1,Param_MSW,Param_Indu),3,0))))</f>
        <v>0.46104967664327284</v>
      </c>
      <c r="BW17" s="563">
        <f t="shared" ref="BW17:BW45" si="58">BI18*(1-EXP(-(VLOOKUP(BW$15,IF($C$9=1,Param_MSW,Param_Indu),3,0))))</f>
        <v>0</v>
      </c>
      <c r="BX17" s="510">
        <f>BJ18*(1-EXP(-(VLOOKUP(BX$15,IF($C$9=1,Param_MSW,Param_Indu),3,0))))</f>
        <v>0.51641288837263088</v>
      </c>
      <c r="BY17" s="513">
        <f>SUM(BL17:BX17)</f>
        <v>2.4942540672282432</v>
      </c>
      <c r="BZ17" s="514">
        <f t="array" ref="BZ17">SUMPRODUCT(AX18:BJ18,TRANSPOSE(EXP(-(IF($C$9=1,k_MSW,k_Indu)))))+SUM(AK17:AW17)</f>
        <v>30.705745932771759</v>
      </c>
      <c r="CA17" s="515">
        <f t="array" ref="CA17">SUMPRODUCT(AX18:BJ18,TRANSPOSE(1-EXP(-(IF($C$9=1,k_MSW,k_Indu)))))</f>
        <v>2.4942540672282432</v>
      </c>
      <c r="CB17" s="516">
        <f t="shared" ref="CB17:CB45" si="59">BY17*F*16/12</f>
        <v>1.6628360448188289</v>
      </c>
    </row>
    <row r="18" spans="1:80" s="315" customFormat="1" ht="18" thickTop="1" x14ac:dyDescent="0.3">
      <c r="A18" s="313"/>
      <c r="B18" s="316">
        <f>IF(B17="","",B17-1)</f>
        <v>2011</v>
      </c>
      <c r="C18" s="883">
        <v>10</v>
      </c>
      <c r="D18" s="884"/>
      <c r="E18" s="885"/>
      <c r="F18" s="885"/>
      <c r="G18" s="885"/>
      <c r="H18" s="885"/>
      <c r="I18" s="885"/>
      <c r="J18" s="885"/>
      <c r="K18" s="885">
        <v>10</v>
      </c>
      <c r="L18" s="885">
        <v>10</v>
      </c>
      <c r="M18" s="885">
        <v>10</v>
      </c>
      <c r="N18" s="886">
        <v>10</v>
      </c>
      <c r="O18" s="886"/>
      <c r="P18" s="886">
        <v>10</v>
      </c>
      <c r="Q18" s="888"/>
      <c r="R18" s="814">
        <f>CB18</f>
        <v>0</v>
      </c>
      <c r="S18" s="815">
        <f t="shared" ref="S18:S46" si="60">IF(R18*0.75&lt;Q18,Q18*(1/0.75),R18)</f>
        <v>0</v>
      </c>
      <c r="T18" s="816">
        <f t="shared" si="5"/>
        <v>0</v>
      </c>
      <c r="U18" s="817">
        <f t="shared" si="6"/>
        <v>0</v>
      </c>
      <c r="V18" s="566">
        <f t="shared" si="7"/>
        <v>50</v>
      </c>
      <c r="W18" s="562">
        <f t="shared" si="8"/>
        <v>0</v>
      </c>
      <c r="X18" s="563">
        <f t="shared" si="9"/>
        <v>0</v>
      </c>
      <c r="Y18" s="563">
        <f t="shared" si="10"/>
        <v>0</v>
      </c>
      <c r="Z18" s="563">
        <f t="shared" si="11"/>
        <v>0</v>
      </c>
      <c r="AA18" s="563">
        <f t="shared" si="12"/>
        <v>0</v>
      </c>
      <c r="AB18" s="563">
        <f t="shared" si="13"/>
        <v>0</v>
      </c>
      <c r="AC18" s="563">
        <f t="shared" si="14"/>
        <v>0</v>
      </c>
      <c r="AD18" s="563">
        <f t="shared" si="15"/>
        <v>0.2</v>
      </c>
      <c r="AE18" s="563">
        <f t="shared" si="16"/>
        <v>0.2</v>
      </c>
      <c r="AF18" s="563">
        <f t="shared" si="17"/>
        <v>0.2</v>
      </c>
      <c r="AG18" s="563">
        <f t="shared" si="18"/>
        <v>0.2</v>
      </c>
      <c r="AH18" s="563">
        <f t="shared" si="19"/>
        <v>0</v>
      </c>
      <c r="AI18" s="564">
        <f t="shared" si="20"/>
        <v>0.2</v>
      </c>
      <c r="AJ18" s="565">
        <f t="shared" ref="AJ18:AJ46" si="61">SUM(W18:AI18)</f>
        <v>1</v>
      </c>
      <c r="AK18" s="517">
        <f t="shared" ref="AK17:AK46" si="62">IF($V18&lt;&gt;0,D18*VLOOKUP(AK$15,IF($C$9=1,Param_MSW,Param_Indu),2,0)*DOCf*MCF,0)</f>
        <v>0</v>
      </c>
      <c r="AL18" s="518">
        <f t="shared" si="21"/>
        <v>0</v>
      </c>
      <c r="AM18" s="518">
        <f t="shared" si="22"/>
        <v>0</v>
      </c>
      <c r="AN18" s="518">
        <f t="shared" si="23"/>
        <v>0</v>
      </c>
      <c r="AO18" s="518">
        <f t="shared" si="24"/>
        <v>0</v>
      </c>
      <c r="AP18" s="518">
        <f t="shared" si="25"/>
        <v>0</v>
      </c>
      <c r="AQ18" s="518">
        <f t="shared" si="26"/>
        <v>0</v>
      </c>
      <c r="AR18" s="518">
        <f t="shared" si="27"/>
        <v>2</v>
      </c>
      <c r="AS18" s="518">
        <f t="shared" si="28"/>
        <v>3.5999999999999996</v>
      </c>
      <c r="AT18" s="518">
        <f t="shared" si="29"/>
        <v>6</v>
      </c>
      <c r="AU18" s="518">
        <f t="shared" si="30"/>
        <v>15.600000000000001</v>
      </c>
      <c r="AV18" s="563">
        <f t="shared" si="31"/>
        <v>0</v>
      </c>
      <c r="AW18" s="519">
        <f t="shared" si="32"/>
        <v>6</v>
      </c>
      <c r="AX18" s="508">
        <f t="shared" si="33"/>
        <v>0</v>
      </c>
      <c r="AY18" s="518">
        <f t="shared" si="34"/>
        <v>0</v>
      </c>
      <c r="AZ18" s="518">
        <f t="shared" si="35"/>
        <v>0</v>
      </c>
      <c r="BA18" s="518">
        <f t="shared" si="36"/>
        <v>0</v>
      </c>
      <c r="BB18" s="518">
        <f t="shared" si="37"/>
        <v>0</v>
      </c>
      <c r="BC18" s="518">
        <f t="shared" si="38"/>
        <v>0</v>
      </c>
      <c r="BD18" s="518">
        <f t="shared" si="39"/>
        <v>0</v>
      </c>
      <c r="BE18" s="518">
        <f t="shared" si="40"/>
        <v>2</v>
      </c>
      <c r="BF18" s="518">
        <f t="shared" si="41"/>
        <v>3.5999999999999996</v>
      </c>
      <c r="BG18" s="518">
        <f t="shared" si="42"/>
        <v>6</v>
      </c>
      <c r="BH18" s="520">
        <f t="shared" si="43"/>
        <v>15.600000000000001</v>
      </c>
      <c r="BI18" s="563">
        <f t="shared" si="44"/>
        <v>0</v>
      </c>
      <c r="BJ18" s="521">
        <f t="shared" si="45"/>
        <v>6</v>
      </c>
      <c r="BK18" s="522">
        <f t="shared" si="46"/>
        <v>33.200000000000003</v>
      </c>
      <c r="BL18" s="512">
        <f t="shared" si="47"/>
        <v>0</v>
      </c>
      <c r="BM18" s="518">
        <f t="shared" si="48"/>
        <v>0</v>
      </c>
      <c r="BN18" s="518">
        <f t="shared" si="49"/>
        <v>0</v>
      </c>
      <c r="BO18" s="518">
        <f t="shared" si="50"/>
        <v>0</v>
      </c>
      <c r="BP18" s="518">
        <f t="shared" si="51"/>
        <v>0</v>
      </c>
      <c r="BQ18" s="518">
        <f t="shared" si="52"/>
        <v>0</v>
      </c>
      <c r="BR18" s="518">
        <f t="shared" si="53"/>
        <v>0</v>
      </c>
      <c r="BS18" s="518">
        <f t="shared" si="54"/>
        <v>0</v>
      </c>
      <c r="BT18" s="518">
        <f t="shared" si="55"/>
        <v>0</v>
      </c>
      <c r="BU18" s="518">
        <f t="shared" si="56"/>
        <v>0</v>
      </c>
      <c r="BV18" s="520">
        <f t="shared" si="57"/>
        <v>0</v>
      </c>
      <c r="BW18" s="563">
        <f t="shared" si="58"/>
        <v>0</v>
      </c>
      <c r="BX18" s="521">
        <f>BJ19*(1-EXP(-(VLOOKUP(BX$15,IF($C$9=1,Param_MSW,Param_Indu),3,0))))</f>
        <v>0</v>
      </c>
      <c r="BY18" s="513">
        <f t="shared" ref="BY18:BY46" si="63">SUM(BL18:BX18)</f>
        <v>0</v>
      </c>
      <c r="BZ18" s="514">
        <f t="array" ref="BZ18">SUMPRODUCT(AX19:BJ19,TRANSPOSE(EXP(-(IF($C$9=1,k_MSW,k_Indu)))))+SUM(AK18:AW18)</f>
        <v>33.200000000000003</v>
      </c>
      <c r="CA18" s="515">
        <f t="array" ref="CA18">SUMPRODUCT(AX19:BJ19,TRANSPOSE(1-EXP(-(IF($C$9=1,k_MSW,k_Indu)))))</f>
        <v>0</v>
      </c>
      <c r="CB18" s="516">
        <f t="shared" si="59"/>
        <v>0</v>
      </c>
    </row>
    <row r="19" spans="1:80" s="315" customFormat="1" ht="17.25" x14ac:dyDescent="0.3">
      <c r="A19" s="313"/>
      <c r="B19" s="316">
        <f t="shared" ref="B19:B76" si="64">IF(B18="","",B18-1)</f>
        <v>2010</v>
      </c>
      <c r="C19" s="883">
        <v>10</v>
      </c>
      <c r="D19" s="884"/>
      <c r="E19" s="885"/>
      <c r="F19" s="885"/>
      <c r="G19" s="885"/>
      <c r="H19" s="885"/>
      <c r="I19" s="885"/>
      <c r="J19" s="885"/>
      <c r="K19" s="885"/>
      <c r="L19" s="885"/>
      <c r="M19" s="885"/>
      <c r="N19" s="886"/>
      <c r="O19" s="886"/>
      <c r="P19" s="886"/>
      <c r="Q19" s="888"/>
      <c r="R19" s="814">
        <f t="shared" ref="R18:R46" si="65">CB19</f>
        <v>0</v>
      </c>
      <c r="S19" s="815">
        <f t="shared" si="60"/>
        <v>0</v>
      </c>
      <c r="T19" s="816">
        <f t="shared" si="5"/>
        <v>0</v>
      </c>
      <c r="U19" s="817">
        <f t="shared" si="6"/>
        <v>0</v>
      </c>
      <c r="V19" s="566">
        <f t="shared" si="7"/>
        <v>0</v>
      </c>
      <c r="W19" s="562" t="str">
        <f t="shared" si="8"/>
        <v/>
      </c>
      <c r="X19" s="563" t="str">
        <f t="shared" si="9"/>
        <v/>
      </c>
      <c r="Y19" s="563" t="str">
        <f t="shared" si="10"/>
        <v/>
      </c>
      <c r="Z19" s="563" t="str">
        <f t="shared" si="11"/>
        <v/>
      </c>
      <c r="AA19" s="563" t="str">
        <f t="shared" si="12"/>
        <v/>
      </c>
      <c r="AB19" s="563" t="str">
        <f t="shared" si="13"/>
        <v/>
      </c>
      <c r="AC19" s="563" t="str">
        <f t="shared" si="14"/>
        <v/>
      </c>
      <c r="AD19" s="563" t="str">
        <f t="shared" si="15"/>
        <v/>
      </c>
      <c r="AE19" s="563" t="str">
        <f t="shared" si="16"/>
        <v/>
      </c>
      <c r="AF19" s="563" t="str">
        <f t="shared" si="17"/>
        <v/>
      </c>
      <c r="AG19" s="563" t="str">
        <f t="shared" si="18"/>
        <v/>
      </c>
      <c r="AH19" s="563" t="str">
        <f t="shared" si="19"/>
        <v/>
      </c>
      <c r="AI19" s="564" t="str">
        <f t="shared" si="20"/>
        <v/>
      </c>
      <c r="AJ19" s="565">
        <f t="shared" si="61"/>
        <v>0</v>
      </c>
      <c r="AK19" s="517">
        <f t="shared" si="62"/>
        <v>0</v>
      </c>
      <c r="AL19" s="518">
        <f t="shared" si="21"/>
        <v>0</v>
      </c>
      <c r="AM19" s="518">
        <f t="shared" si="22"/>
        <v>0</v>
      </c>
      <c r="AN19" s="518">
        <f t="shared" si="23"/>
        <v>0</v>
      </c>
      <c r="AO19" s="518">
        <f t="shared" si="24"/>
        <v>0</v>
      </c>
      <c r="AP19" s="518">
        <f t="shared" si="25"/>
        <v>0</v>
      </c>
      <c r="AQ19" s="518">
        <f t="shared" si="26"/>
        <v>0</v>
      </c>
      <c r="AR19" s="518">
        <f t="shared" si="27"/>
        <v>0</v>
      </c>
      <c r="AS19" s="518">
        <f t="shared" si="28"/>
        <v>0</v>
      </c>
      <c r="AT19" s="518">
        <f t="shared" si="29"/>
        <v>0</v>
      </c>
      <c r="AU19" s="518">
        <f t="shared" si="30"/>
        <v>0</v>
      </c>
      <c r="AV19" s="563">
        <f t="shared" si="31"/>
        <v>0</v>
      </c>
      <c r="AW19" s="519">
        <f t="shared" si="32"/>
        <v>0</v>
      </c>
      <c r="AX19" s="508">
        <f t="shared" si="33"/>
        <v>0</v>
      </c>
      <c r="AY19" s="518">
        <f t="shared" si="34"/>
        <v>0</v>
      </c>
      <c r="AZ19" s="518">
        <f t="shared" si="35"/>
        <v>0</v>
      </c>
      <c r="BA19" s="518">
        <f t="shared" si="36"/>
        <v>0</v>
      </c>
      <c r="BB19" s="518">
        <f t="shared" si="37"/>
        <v>0</v>
      </c>
      <c r="BC19" s="518">
        <f t="shared" si="38"/>
        <v>0</v>
      </c>
      <c r="BD19" s="518">
        <f t="shared" si="39"/>
        <v>0</v>
      </c>
      <c r="BE19" s="518">
        <f t="shared" si="40"/>
        <v>0</v>
      </c>
      <c r="BF19" s="518">
        <f t="shared" si="41"/>
        <v>0</v>
      </c>
      <c r="BG19" s="518">
        <f t="shared" si="42"/>
        <v>0</v>
      </c>
      <c r="BH19" s="520">
        <f t="shared" si="43"/>
        <v>0</v>
      </c>
      <c r="BI19" s="563">
        <f t="shared" si="44"/>
        <v>0</v>
      </c>
      <c r="BJ19" s="521">
        <f t="shared" si="45"/>
        <v>0</v>
      </c>
      <c r="BK19" s="522">
        <f t="shared" si="46"/>
        <v>0</v>
      </c>
      <c r="BL19" s="512">
        <f>AX20*(1-EXP(-(VLOOKUP(BL$15,IF($C$9=1,Param_MSW,Param_Indu),3,0))))</f>
        <v>0</v>
      </c>
      <c r="BM19" s="518">
        <f t="shared" si="48"/>
        <v>0</v>
      </c>
      <c r="BN19" s="518">
        <f t="shared" si="49"/>
        <v>0</v>
      </c>
      <c r="BO19" s="518">
        <f t="shared" si="50"/>
        <v>0</v>
      </c>
      <c r="BP19" s="518">
        <f t="shared" si="51"/>
        <v>0</v>
      </c>
      <c r="BQ19" s="518">
        <f t="shared" si="52"/>
        <v>0</v>
      </c>
      <c r="BR19" s="518">
        <f t="shared" si="53"/>
        <v>0</v>
      </c>
      <c r="BS19" s="518">
        <f t="shared" si="54"/>
        <v>0</v>
      </c>
      <c r="BT19" s="518">
        <f t="shared" si="55"/>
        <v>0</v>
      </c>
      <c r="BU19" s="518">
        <f t="shared" si="56"/>
        <v>0</v>
      </c>
      <c r="BV19" s="520">
        <f t="shared" si="57"/>
        <v>0</v>
      </c>
      <c r="BW19" s="563">
        <f t="shared" si="58"/>
        <v>0</v>
      </c>
      <c r="BX19" s="521">
        <f t="shared" ref="BX17:BX45" si="66">BJ20*(1-EXP(-(VLOOKUP(BX$15,IF($C$9=1,Param_MSW,Param_Indu),3,0))))</f>
        <v>0</v>
      </c>
      <c r="BY19" s="513">
        <f t="shared" si="63"/>
        <v>0</v>
      </c>
      <c r="BZ19" s="514">
        <f t="array" ref="BZ19">SUMPRODUCT(AX20:BJ20,TRANSPOSE(EXP(-(IF($C$9=1,k_MSW,k_Indu)))))+SUM(AK19:AW19)</f>
        <v>0</v>
      </c>
      <c r="CA19" s="515">
        <f t="array" ref="CA19">SUMPRODUCT(AX20:BJ20,TRANSPOSE(1-EXP(-(IF($C$9=1,k_MSW,k_Indu)))))</f>
        <v>0</v>
      </c>
      <c r="CB19" s="516">
        <f t="shared" si="59"/>
        <v>0</v>
      </c>
    </row>
    <row r="20" spans="1:80" s="315" customFormat="1" ht="17.25" x14ac:dyDescent="0.3">
      <c r="A20" s="313"/>
      <c r="B20" s="316">
        <f t="shared" si="64"/>
        <v>2009</v>
      </c>
      <c r="C20" s="883">
        <v>10</v>
      </c>
      <c r="D20" s="884"/>
      <c r="E20" s="885"/>
      <c r="F20" s="885"/>
      <c r="G20" s="885"/>
      <c r="H20" s="885"/>
      <c r="I20" s="885"/>
      <c r="J20" s="885"/>
      <c r="K20" s="885"/>
      <c r="L20" s="885"/>
      <c r="M20" s="885"/>
      <c r="N20" s="886"/>
      <c r="O20" s="886"/>
      <c r="P20" s="886"/>
      <c r="Q20" s="888"/>
      <c r="R20" s="814">
        <f t="shared" si="65"/>
        <v>0</v>
      </c>
      <c r="S20" s="815">
        <f t="shared" si="60"/>
        <v>0</v>
      </c>
      <c r="T20" s="816">
        <f t="shared" si="5"/>
        <v>0</v>
      </c>
      <c r="U20" s="817">
        <f t="shared" si="6"/>
        <v>0</v>
      </c>
      <c r="V20" s="566">
        <f t="shared" si="7"/>
        <v>0</v>
      </c>
      <c r="W20" s="562" t="str">
        <f t="shared" si="8"/>
        <v/>
      </c>
      <c r="X20" s="563" t="str">
        <f t="shared" si="9"/>
        <v/>
      </c>
      <c r="Y20" s="563" t="str">
        <f t="shared" si="10"/>
        <v/>
      </c>
      <c r="Z20" s="563" t="str">
        <f t="shared" si="11"/>
        <v/>
      </c>
      <c r="AA20" s="563" t="str">
        <f t="shared" si="12"/>
        <v/>
      </c>
      <c r="AB20" s="563" t="str">
        <f t="shared" si="13"/>
        <v/>
      </c>
      <c r="AC20" s="563" t="str">
        <f t="shared" si="14"/>
        <v/>
      </c>
      <c r="AD20" s="563" t="str">
        <f t="shared" si="15"/>
        <v/>
      </c>
      <c r="AE20" s="563" t="str">
        <f t="shared" si="16"/>
        <v/>
      </c>
      <c r="AF20" s="563" t="str">
        <f t="shared" si="17"/>
        <v/>
      </c>
      <c r="AG20" s="563" t="str">
        <f t="shared" si="18"/>
        <v/>
      </c>
      <c r="AH20" s="563" t="str">
        <f t="shared" si="19"/>
        <v/>
      </c>
      <c r="AI20" s="564" t="str">
        <f t="shared" si="20"/>
        <v/>
      </c>
      <c r="AJ20" s="565">
        <f t="shared" si="61"/>
        <v>0</v>
      </c>
      <c r="AK20" s="517">
        <f t="shared" si="62"/>
        <v>0</v>
      </c>
      <c r="AL20" s="518">
        <f t="shared" si="21"/>
        <v>0</v>
      </c>
      <c r="AM20" s="518">
        <f t="shared" si="22"/>
        <v>0</v>
      </c>
      <c r="AN20" s="518">
        <f t="shared" si="23"/>
        <v>0</v>
      </c>
      <c r="AO20" s="518">
        <f t="shared" si="24"/>
        <v>0</v>
      </c>
      <c r="AP20" s="518">
        <f t="shared" si="25"/>
        <v>0</v>
      </c>
      <c r="AQ20" s="518">
        <f t="shared" si="26"/>
        <v>0</v>
      </c>
      <c r="AR20" s="518">
        <f t="shared" si="27"/>
        <v>0</v>
      </c>
      <c r="AS20" s="518">
        <f t="shared" si="28"/>
        <v>0</v>
      </c>
      <c r="AT20" s="518">
        <f t="shared" si="29"/>
        <v>0</v>
      </c>
      <c r="AU20" s="518">
        <f t="shared" si="30"/>
        <v>0</v>
      </c>
      <c r="AV20" s="563">
        <f t="shared" si="31"/>
        <v>0</v>
      </c>
      <c r="AW20" s="519">
        <f t="shared" si="32"/>
        <v>0</v>
      </c>
      <c r="AX20" s="508">
        <f t="shared" si="33"/>
        <v>0</v>
      </c>
      <c r="AY20" s="518">
        <f t="shared" si="34"/>
        <v>0</v>
      </c>
      <c r="AZ20" s="518">
        <f t="shared" si="35"/>
        <v>0</v>
      </c>
      <c r="BA20" s="518">
        <f t="shared" si="36"/>
        <v>0</v>
      </c>
      <c r="BB20" s="518">
        <f t="shared" si="37"/>
        <v>0</v>
      </c>
      <c r="BC20" s="518">
        <f t="shared" si="38"/>
        <v>0</v>
      </c>
      <c r="BD20" s="518">
        <f t="shared" si="39"/>
        <v>0</v>
      </c>
      <c r="BE20" s="518">
        <f t="shared" si="40"/>
        <v>0</v>
      </c>
      <c r="BF20" s="518">
        <f t="shared" si="41"/>
        <v>0</v>
      </c>
      <c r="BG20" s="518">
        <f t="shared" si="42"/>
        <v>0</v>
      </c>
      <c r="BH20" s="520">
        <f t="shared" si="43"/>
        <v>0</v>
      </c>
      <c r="BI20" s="563">
        <f t="shared" si="44"/>
        <v>0</v>
      </c>
      <c r="BJ20" s="521">
        <f t="shared" si="45"/>
        <v>0</v>
      </c>
      <c r="BK20" s="522">
        <f t="shared" si="46"/>
        <v>0</v>
      </c>
      <c r="BL20" s="512">
        <f t="shared" si="47"/>
        <v>0</v>
      </c>
      <c r="BM20" s="518">
        <f t="shared" si="48"/>
        <v>0</v>
      </c>
      <c r="BN20" s="518">
        <f t="shared" si="49"/>
        <v>0</v>
      </c>
      <c r="BO20" s="518">
        <f t="shared" si="50"/>
        <v>0</v>
      </c>
      <c r="BP20" s="518">
        <f t="shared" si="51"/>
        <v>0</v>
      </c>
      <c r="BQ20" s="518">
        <f t="shared" si="52"/>
        <v>0</v>
      </c>
      <c r="BR20" s="518">
        <f t="shared" si="53"/>
        <v>0</v>
      </c>
      <c r="BS20" s="518">
        <f t="shared" si="54"/>
        <v>0</v>
      </c>
      <c r="BT20" s="518">
        <f t="shared" si="55"/>
        <v>0</v>
      </c>
      <c r="BU20" s="518">
        <f t="shared" si="56"/>
        <v>0</v>
      </c>
      <c r="BV20" s="520">
        <f t="shared" si="57"/>
        <v>0</v>
      </c>
      <c r="BW20" s="563">
        <f t="shared" si="58"/>
        <v>0</v>
      </c>
      <c r="BX20" s="521">
        <f t="shared" si="66"/>
        <v>0</v>
      </c>
      <c r="BY20" s="513">
        <f t="shared" si="63"/>
        <v>0</v>
      </c>
      <c r="BZ20" s="514">
        <f t="array" ref="BZ20">SUMPRODUCT(AX21:BJ21,TRANSPOSE(EXP(-(IF($C$9=1,k_MSW,k_Indu)))))+SUM(AK20:AW20)</f>
        <v>0</v>
      </c>
      <c r="CA20" s="515">
        <f t="array" ref="CA20">SUMPRODUCT(AX21:BJ21,TRANSPOSE(1-EXP(-(IF($C$9=1,k_MSW,k_Indu)))))</f>
        <v>0</v>
      </c>
      <c r="CB20" s="516">
        <f t="shared" si="59"/>
        <v>0</v>
      </c>
    </row>
    <row r="21" spans="1:80" s="315" customFormat="1" ht="17.25" x14ac:dyDescent="0.3">
      <c r="A21" s="313"/>
      <c r="B21" s="316">
        <f t="shared" si="64"/>
        <v>2008</v>
      </c>
      <c r="C21" s="883">
        <v>10</v>
      </c>
      <c r="D21" s="884"/>
      <c r="E21" s="885"/>
      <c r="F21" s="885"/>
      <c r="G21" s="885"/>
      <c r="H21" s="885"/>
      <c r="I21" s="885"/>
      <c r="J21" s="885"/>
      <c r="K21" s="885"/>
      <c r="L21" s="885"/>
      <c r="M21" s="885"/>
      <c r="N21" s="886"/>
      <c r="O21" s="886"/>
      <c r="P21" s="886"/>
      <c r="Q21" s="888"/>
      <c r="R21" s="814">
        <f t="shared" si="65"/>
        <v>0</v>
      </c>
      <c r="S21" s="815">
        <f t="shared" si="60"/>
        <v>0</v>
      </c>
      <c r="T21" s="816">
        <f t="shared" si="5"/>
        <v>0</v>
      </c>
      <c r="U21" s="817">
        <f t="shared" si="6"/>
        <v>0</v>
      </c>
      <c r="V21" s="566">
        <f t="shared" si="7"/>
        <v>0</v>
      </c>
      <c r="W21" s="562" t="str">
        <f t="shared" si="8"/>
        <v/>
      </c>
      <c r="X21" s="563" t="str">
        <f t="shared" si="9"/>
        <v/>
      </c>
      <c r="Y21" s="563" t="str">
        <f t="shared" si="10"/>
        <v/>
      </c>
      <c r="Z21" s="563" t="str">
        <f t="shared" si="11"/>
        <v/>
      </c>
      <c r="AA21" s="563" t="str">
        <f t="shared" si="12"/>
        <v/>
      </c>
      <c r="AB21" s="563" t="str">
        <f t="shared" si="13"/>
        <v/>
      </c>
      <c r="AC21" s="563" t="str">
        <f t="shared" si="14"/>
        <v/>
      </c>
      <c r="AD21" s="563" t="str">
        <f t="shared" si="15"/>
        <v/>
      </c>
      <c r="AE21" s="563" t="str">
        <f t="shared" si="16"/>
        <v/>
      </c>
      <c r="AF21" s="563" t="str">
        <f t="shared" si="17"/>
        <v/>
      </c>
      <c r="AG21" s="563" t="str">
        <f t="shared" si="18"/>
        <v/>
      </c>
      <c r="AH21" s="563" t="str">
        <f t="shared" si="19"/>
        <v/>
      </c>
      <c r="AI21" s="564" t="str">
        <f t="shared" si="20"/>
        <v/>
      </c>
      <c r="AJ21" s="565">
        <f t="shared" si="61"/>
        <v>0</v>
      </c>
      <c r="AK21" s="517">
        <f t="shared" si="62"/>
        <v>0</v>
      </c>
      <c r="AL21" s="518">
        <f t="shared" si="21"/>
        <v>0</v>
      </c>
      <c r="AM21" s="518">
        <f t="shared" si="22"/>
        <v>0</v>
      </c>
      <c r="AN21" s="518">
        <f t="shared" si="23"/>
        <v>0</v>
      </c>
      <c r="AO21" s="518">
        <f t="shared" si="24"/>
        <v>0</v>
      </c>
      <c r="AP21" s="518">
        <f t="shared" si="25"/>
        <v>0</v>
      </c>
      <c r="AQ21" s="518">
        <f t="shared" si="26"/>
        <v>0</v>
      </c>
      <c r="AR21" s="518">
        <f t="shared" si="27"/>
        <v>0</v>
      </c>
      <c r="AS21" s="518">
        <f t="shared" si="28"/>
        <v>0</v>
      </c>
      <c r="AT21" s="518">
        <f t="shared" si="29"/>
        <v>0</v>
      </c>
      <c r="AU21" s="518">
        <f t="shared" si="30"/>
        <v>0</v>
      </c>
      <c r="AV21" s="563">
        <f t="shared" si="31"/>
        <v>0</v>
      </c>
      <c r="AW21" s="519">
        <f t="shared" si="32"/>
        <v>0</v>
      </c>
      <c r="AX21" s="508">
        <f t="shared" si="33"/>
        <v>0</v>
      </c>
      <c r="AY21" s="518">
        <f t="shared" si="34"/>
        <v>0</v>
      </c>
      <c r="AZ21" s="518">
        <f t="shared" si="35"/>
        <v>0</v>
      </c>
      <c r="BA21" s="518">
        <f t="shared" si="36"/>
        <v>0</v>
      </c>
      <c r="BB21" s="518">
        <f t="shared" si="37"/>
        <v>0</v>
      </c>
      <c r="BC21" s="518">
        <f t="shared" si="38"/>
        <v>0</v>
      </c>
      <c r="BD21" s="518">
        <f t="shared" si="39"/>
        <v>0</v>
      </c>
      <c r="BE21" s="518">
        <f t="shared" si="40"/>
        <v>0</v>
      </c>
      <c r="BF21" s="518">
        <f t="shared" si="41"/>
        <v>0</v>
      </c>
      <c r="BG21" s="518">
        <f t="shared" si="42"/>
        <v>0</v>
      </c>
      <c r="BH21" s="520">
        <f t="shared" si="43"/>
        <v>0</v>
      </c>
      <c r="BI21" s="563">
        <f t="shared" si="44"/>
        <v>0</v>
      </c>
      <c r="BJ21" s="521">
        <f t="shared" si="45"/>
        <v>0</v>
      </c>
      <c r="BK21" s="522">
        <f t="shared" si="46"/>
        <v>0</v>
      </c>
      <c r="BL21" s="512">
        <f t="shared" si="47"/>
        <v>0</v>
      </c>
      <c r="BM21" s="518">
        <f t="shared" si="48"/>
        <v>0</v>
      </c>
      <c r="BN21" s="518">
        <f t="shared" si="49"/>
        <v>0</v>
      </c>
      <c r="BO21" s="518">
        <f t="shared" si="50"/>
        <v>0</v>
      </c>
      <c r="BP21" s="518">
        <f t="shared" si="51"/>
        <v>0</v>
      </c>
      <c r="BQ21" s="518">
        <f t="shared" si="52"/>
        <v>0</v>
      </c>
      <c r="BR21" s="518">
        <f t="shared" si="53"/>
        <v>0</v>
      </c>
      <c r="BS21" s="518">
        <f t="shared" si="54"/>
        <v>0</v>
      </c>
      <c r="BT21" s="518">
        <f t="shared" si="55"/>
        <v>0</v>
      </c>
      <c r="BU21" s="518">
        <f t="shared" si="56"/>
        <v>0</v>
      </c>
      <c r="BV21" s="520">
        <f t="shared" si="57"/>
        <v>0</v>
      </c>
      <c r="BW21" s="563">
        <f t="shared" si="58"/>
        <v>0</v>
      </c>
      <c r="BX21" s="521">
        <f t="shared" si="66"/>
        <v>0</v>
      </c>
      <c r="BY21" s="513">
        <f t="shared" si="63"/>
        <v>0</v>
      </c>
      <c r="BZ21" s="514">
        <f t="array" ref="BZ21">SUMPRODUCT(AX22:BJ22,TRANSPOSE(EXP(-(IF($C$9=1,k_MSW,k_Indu)))))+SUM(AK21:AW21)</f>
        <v>0</v>
      </c>
      <c r="CA21" s="515">
        <f t="array" ref="CA21">SUMPRODUCT(AX22:BJ22,TRANSPOSE(1-EXP(-(IF($C$9=1,k_MSW,k_Indu)))))</f>
        <v>0</v>
      </c>
      <c r="CB21" s="516">
        <f t="shared" si="59"/>
        <v>0</v>
      </c>
    </row>
    <row r="22" spans="1:80" s="315" customFormat="1" ht="17.25" x14ac:dyDescent="0.3">
      <c r="A22" s="313"/>
      <c r="B22" s="316">
        <f t="shared" si="64"/>
        <v>2007</v>
      </c>
      <c r="C22" s="883">
        <v>10</v>
      </c>
      <c r="D22" s="884"/>
      <c r="E22" s="885"/>
      <c r="F22" s="885"/>
      <c r="G22" s="885"/>
      <c r="H22" s="885"/>
      <c r="I22" s="885"/>
      <c r="J22" s="885"/>
      <c r="K22" s="885"/>
      <c r="L22" s="885"/>
      <c r="M22" s="885"/>
      <c r="N22" s="886"/>
      <c r="O22" s="886"/>
      <c r="P22" s="886"/>
      <c r="Q22" s="888"/>
      <c r="R22" s="814">
        <f t="shared" si="65"/>
        <v>0</v>
      </c>
      <c r="S22" s="815">
        <f t="shared" si="60"/>
        <v>0</v>
      </c>
      <c r="T22" s="816">
        <f t="shared" si="5"/>
        <v>0</v>
      </c>
      <c r="U22" s="817">
        <f t="shared" si="6"/>
        <v>0</v>
      </c>
      <c r="V22" s="566">
        <f t="shared" si="7"/>
        <v>0</v>
      </c>
      <c r="W22" s="562" t="str">
        <f t="shared" si="8"/>
        <v/>
      </c>
      <c r="X22" s="563" t="str">
        <f t="shared" si="9"/>
        <v/>
      </c>
      <c r="Y22" s="563" t="str">
        <f t="shared" si="10"/>
        <v/>
      </c>
      <c r="Z22" s="563" t="str">
        <f t="shared" si="11"/>
        <v/>
      </c>
      <c r="AA22" s="563" t="str">
        <f t="shared" si="12"/>
        <v/>
      </c>
      <c r="AB22" s="563" t="str">
        <f t="shared" si="13"/>
        <v/>
      </c>
      <c r="AC22" s="563" t="str">
        <f t="shared" si="14"/>
        <v/>
      </c>
      <c r="AD22" s="563" t="str">
        <f t="shared" si="15"/>
        <v/>
      </c>
      <c r="AE22" s="563" t="str">
        <f t="shared" si="16"/>
        <v/>
      </c>
      <c r="AF22" s="563" t="str">
        <f t="shared" si="17"/>
        <v/>
      </c>
      <c r="AG22" s="563" t="str">
        <f t="shared" si="18"/>
        <v/>
      </c>
      <c r="AH22" s="563" t="str">
        <f t="shared" si="19"/>
        <v/>
      </c>
      <c r="AI22" s="564" t="str">
        <f t="shared" si="20"/>
        <v/>
      </c>
      <c r="AJ22" s="565">
        <f t="shared" si="61"/>
        <v>0</v>
      </c>
      <c r="AK22" s="517">
        <f t="shared" si="62"/>
        <v>0</v>
      </c>
      <c r="AL22" s="518">
        <f t="shared" si="21"/>
        <v>0</v>
      </c>
      <c r="AM22" s="518">
        <f t="shared" si="22"/>
        <v>0</v>
      </c>
      <c r="AN22" s="518">
        <f t="shared" si="23"/>
        <v>0</v>
      </c>
      <c r="AO22" s="518">
        <f t="shared" si="24"/>
        <v>0</v>
      </c>
      <c r="AP22" s="518">
        <f t="shared" si="25"/>
        <v>0</v>
      </c>
      <c r="AQ22" s="518">
        <f t="shared" si="26"/>
        <v>0</v>
      </c>
      <c r="AR22" s="518">
        <f t="shared" si="27"/>
        <v>0</v>
      </c>
      <c r="AS22" s="518">
        <f t="shared" si="28"/>
        <v>0</v>
      </c>
      <c r="AT22" s="518">
        <f t="shared" si="29"/>
        <v>0</v>
      </c>
      <c r="AU22" s="518">
        <f t="shared" si="30"/>
        <v>0</v>
      </c>
      <c r="AV22" s="563">
        <f t="shared" si="31"/>
        <v>0</v>
      </c>
      <c r="AW22" s="519">
        <f t="shared" si="32"/>
        <v>0</v>
      </c>
      <c r="AX22" s="508">
        <f t="shared" si="33"/>
        <v>0</v>
      </c>
      <c r="AY22" s="518">
        <f t="shared" si="34"/>
        <v>0</v>
      </c>
      <c r="AZ22" s="518">
        <f t="shared" si="35"/>
        <v>0</v>
      </c>
      <c r="BA22" s="518">
        <f t="shared" si="36"/>
        <v>0</v>
      </c>
      <c r="BB22" s="518">
        <f t="shared" si="37"/>
        <v>0</v>
      </c>
      <c r="BC22" s="518">
        <f t="shared" si="38"/>
        <v>0</v>
      </c>
      <c r="BD22" s="518">
        <f t="shared" si="39"/>
        <v>0</v>
      </c>
      <c r="BE22" s="518">
        <f t="shared" si="40"/>
        <v>0</v>
      </c>
      <c r="BF22" s="518">
        <f t="shared" si="41"/>
        <v>0</v>
      </c>
      <c r="BG22" s="518">
        <f t="shared" si="42"/>
        <v>0</v>
      </c>
      <c r="BH22" s="520">
        <f t="shared" si="43"/>
        <v>0</v>
      </c>
      <c r="BI22" s="563">
        <f t="shared" si="44"/>
        <v>0</v>
      </c>
      <c r="BJ22" s="521">
        <f t="shared" si="45"/>
        <v>0</v>
      </c>
      <c r="BK22" s="522">
        <f t="shared" si="46"/>
        <v>0</v>
      </c>
      <c r="BL22" s="512">
        <f t="shared" si="47"/>
        <v>0</v>
      </c>
      <c r="BM22" s="518">
        <f t="shared" si="48"/>
        <v>0</v>
      </c>
      <c r="BN22" s="518">
        <f t="shared" si="49"/>
        <v>0</v>
      </c>
      <c r="BO22" s="518">
        <f t="shared" si="50"/>
        <v>0</v>
      </c>
      <c r="BP22" s="518">
        <f t="shared" si="51"/>
        <v>0</v>
      </c>
      <c r="BQ22" s="518">
        <f t="shared" si="52"/>
        <v>0</v>
      </c>
      <c r="BR22" s="518">
        <f t="shared" si="53"/>
        <v>0</v>
      </c>
      <c r="BS22" s="518">
        <f t="shared" si="54"/>
        <v>0</v>
      </c>
      <c r="BT22" s="518">
        <f t="shared" si="55"/>
        <v>0</v>
      </c>
      <c r="BU22" s="518">
        <f t="shared" si="56"/>
        <v>0</v>
      </c>
      <c r="BV22" s="520">
        <f t="shared" si="57"/>
        <v>0</v>
      </c>
      <c r="BW22" s="563">
        <f t="shared" si="58"/>
        <v>0</v>
      </c>
      <c r="BX22" s="521">
        <f t="shared" si="66"/>
        <v>0</v>
      </c>
      <c r="BY22" s="513">
        <f t="shared" si="63"/>
        <v>0</v>
      </c>
      <c r="BZ22" s="514">
        <f t="array" ref="BZ22">SUMPRODUCT(AX23:BJ23,TRANSPOSE(EXP(-(IF($C$9=1,k_MSW,k_Indu)))))+SUM(AK22:AW22)</f>
        <v>0</v>
      </c>
      <c r="CA22" s="515">
        <f t="array" ref="CA22">SUMPRODUCT(AX23:BJ23,TRANSPOSE(1-EXP(-(IF($C$9=1,k_MSW,k_Indu)))))</f>
        <v>0</v>
      </c>
      <c r="CB22" s="516">
        <f t="shared" si="59"/>
        <v>0</v>
      </c>
    </row>
    <row r="23" spans="1:80" s="315" customFormat="1" ht="17.25" x14ac:dyDescent="0.3">
      <c r="A23" s="313"/>
      <c r="B23" s="316">
        <f t="shared" si="64"/>
        <v>2006</v>
      </c>
      <c r="C23" s="883"/>
      <c r="D23" s="884"/>
      <c r="E23" s="885"/>
      <c r="F23" s="885"/>
      <c r="G23" s="885"/>
      <c r="H23" s="885"/>
      <c r="I23" s="885"/>
      <c r="J23" s="885"/>
      <c r="K23" s="885"/>
      <c r="L23" s="885"/>
      <c r="M23" s="885"/>
      <c r="N23" s="886"/>
      <c r="O23" s="886"/>
      <c r="P23" s="886"/>
      <c r="Q23" s="888"/>
      <c r="R23" s="814">
        <f t="shared" si="65"/>
        <v>0</v>
      </c>
      <c r="S23" s="815">
        <f t="shared" si="60"/>
        <v>0</v>
      </c>
      <c r="T23" s="816">
        <f t="shared" si="5"/>
        <v>0</v>
      </c>
      <c r="U23" s="817">
        <f t="shared" si="6"/>
        <v>0</v>
      </c>
      <c r="V23" s="566">
        <f t="shared" si="7"/>
        <v>0</v>
      </c>
      <c r="W23" s="562" t="str">
        <f t="shared" si="8"/>
        <v/>
      </c>
      <c r="X23" s="563" t="str">
        <f t="shared" si="9"/>
        <v/>
      </c>
      <c r="Y23" s="563" t="str">
        <f t="shared" si="10"/>
        <v/>
      </c>
      <c r="Z23" s="563" t="str">
        <f t="shared" si="11"/>
        <v/>
      </c>
      <c r="AA23" s="563" t="str">
        <f t="shared" si="12"/>
        <v/>
      </c>
      <c r="AB23" s="563" t="str">
        <f t="shared" si="13"/>
        <v/>
      </c>
      <c r="AC23" s="563" t="str">
        <f t="shared" si="14"/>
        <v/>
      </c>
      <c r="AD23" s="563" t="str">
        <f t="shared" si="15"/>
        <v/>
      </c>
      <c r="AE23" s="563" t="str">
        <f t="shared" si="16"/>
        <v/>
      </c>
      <c r="AF23" s="563" t="str">
        <f t="shared" si="17"/>
        <v/>
      </c>
      <c r="AG23" s="563" t="str">
        <f t="shared" si="18"/>
        <v/>
      </c>
      <c r="AH23" s="563" t="str">
        <f t="shared" si="19"/>
        <v/>
      </c>
      <c r="AI23" s="564" t="str">
        <f t="shared" si="20"/>
        <v/>
      </c>
      <c r="AJ23" s="565">
        <f t="shared" si="61"/>
        <v>0</v>
      </c>
      <c r="AK23" s="517">
        <f t="shared" si="62"/>
        <v>0</v>
      </c>
      <c r="AL23" s="518">
        <f t="shared" si="21"/>
        <v>0</v>
      </c>
      <c r="AM23" s="518">
        <f t="shared" si="22"/>
        <v>0</v>
      </c>
      <c r="AN23" s="518">
        <f t="shared" si="23"/>
        <v>0</v>
      </c>
      <c r="AO23" s="518">
        <f t="shared" si="24"/>
        <v>0</v>
      </c>
      <c r="AP23" s="518">
        <f t="shared" si="25"/>
        <v>0</v>
      </c>
      <c r="AQ23" s="518">
        <f t="shared" si="26"/>
        <v>0</v>
      </c>
      <c r="AR23" s="518">
        <f t="shared" si="27"/>
        <v>0</v>
      </c>
      <c r="AS23" s="518">
        <f t="shared" si="28"/>
        <v>0</v>
      </c>
      <c r="AT23" s="518">
        <f t="shared" si="29"/>
        <v>0</v>
      </c>
      <c r="AU23" s="518">
        <f t="shared" si="30"/>
        <v>0</v>
      </c>
      <c r="AV23" s="563">
        <f t="shared" si="31"/>
        <v>0</v>
      </c>
      <c r="AW23" s="519">
        <f t="shared" si="32"/>
        <v>0</v>
      </c>
      <c r="AX23" s="508">
        <f t="shared" si="33"/>
        <v>0</v>
      </c>
      <c r="AY23" s="518">
        <f t="shared" si="34"/>
        <v>0</v>
      </c>
      <c r="AZ23" s="518">
        <f t="shared" si="35"/>
        <v>0</v>
      </c>
      <c r="BA23" s="518">
        <f t="shared" si="36"/>
        <v>0</v>
      </c>
      <c r="BB23" s="518">
        <f t="shared" si="37"/>
        <v>0</v>
      </c>
      <c r="BC23" s="518">
        <f t="shared" si="38"/>
        <v>0</v>
      </c>
      <c r="BD23" s="518">
        <f t="shared" si="39"/>
        <v>0</v>
      </c>
      <c r="BE23" s="518">
        <f t="shared" si="40"/>
        <v>0</v>
      </c>
      <c r="BF23" s="518">
        <f t="shared" si="41"/>
        <v>0</v>
      </c>
      <c r="BG23" s="518">
        <f t="shared" si="42"/>
        <v>0</v>
      </c>
      <c r="BH23" s="520">
        <f t="shared" si="43"/>
        <v>0</v>
      </c>
      <c r="BI23" s="563">
        <f t="shared" si="44"/>
        <v>0</v>
      </c>
      <c r="BJ23" s="521">
        <f t="shared" si="45"/>
        <v>0</v>
      </c>
      <c r="BK23" s="522">
        <f t="shared" si="46"/>
        <v>0</v>
      </c>
      <c r="BL23" s="512">
        <f t="shared" si="47"/>
        <v>0</v>
      </c>
      <c r="BM23" s="518">
        <f t="shared" si="48"/>
        <v>0</v>
      </c>
      <c r="BN23" s="518">
        <f t="shared" si="49"/>
        <v>0</v>
      </c>
      <c r="BO23" s="518">
        <f t="shared" si="50"/>
        <v>0</v>
      </c>
      <c r="BP23" s="518">
        <f t="shared" si="51"/>
        <v>0</v>
      </c>
      <c r="BQ23" s="518">
        <f t="shared" si="52"/>
        <v>0</v>
      </c>
      <c r="BR23" s="518">
        <f t="shared" si="53"/>
        <v>0</v>
      </c>
      <c r="BS23" s="518">
        <f t="shared" si="54"/>
        <v>0</v>
      </c>
      <c r="BT23" s="518">
        <f t="shared" si="55"/>
        <v>0</v>
      </c>
      <c r="BU23" s="518">
        <f t="shared" si="56"/>
        <v>0</v>
      </c>
      <c r="BV23" s="520">
        <f t="shared" si="57"/>
        <v>0</v>
      </c>
      <c r="BW23" s="563">
        <f t="shared" si="58"/>
        <v>0</v>
      </c>
      <c r="BX23" s="521">
        <f t="shared" si="66"/>
        <v>0</v>
      </c>
      <c r="BY23" s="513">
        <f t="shared" si="63"/>
        <v>0</v>
      </c>
      <c r="BZ23" s="514">
        <f t="array" ref="BZ23">SUMPRODUCT(AX24:BJ24,TRANSPOSE(EXP(-(IF($C$9=1,k_MSW,k_Indu)))))+SUM(AK23:AW23)</f>
        <v>0</v>
      </c>
      <c r="CA23" s="515">
        <f t="array" ref="CA23">SUMPRODUCT(AX24:BJ24,TRANSPOSE(1-EXP(-(IF($C$9=1,k_MSW,k_Indu)))))</f>
        <v>0</v>
      </c>
      <c r="CB23" s="516">
        <f t="shared" si="59"/>
        <v>0</v>
      </c>
    </row>
    <row r="24" spans="1:80" s="315" customFormat="1" ht="17.25" x14ac:dyDescent="0.3">
      <c r="A24" s="313"/>
      <c r="B24" s="316">
        <f t="shared" si="64"/>
        <v>2005</v>
      </c>
      <c r="C24" s="883"/>
      <c r="D24" s="884"/>
      <c r="E24" s="885"/>
      <c r="F24" s="885"/>
      <c r="G24" s="885"/>
      <c r="H24" s="885"/>
      <c r="I24" s="885"/>
      <c r="J24" s="885"/>
      <c r="K24" s="885"/>
      <c r="L24" s="885"/>
      <c r="M24" s="885"/>
      <c r="N24" s="886"/>
      <c r="O24" s="886"/>
      <c r="P24" s="886"/>
      <c r="Q24" s="888"/>
      <c r="R24" s="814">
        <f t="shared" si="65"/>
        <v>0</v>
      </c>
      <c r="S24" s="815">
        <f t="shared" si="60"/>
        <v>0</v>
      </c>
      <c r="T24" s="816">
        <f t="shared" si="5"/>
        <v>0</v>
      </c>
      <c r="U24" s="817">
        <f t="shared" si="6"/>
        <v>0</v>
      </c>
      <c r="V24" s="566">
        <f t="shared" si="7"/>
        <v>0</v>
      </c>
      <c r="W24" s="562" t="str">
        <f t="shared" si="8"/>
        <v/>
      </c>
      <c r="X24" s="563" t="str">
        <f t="shared" si="9"/>
        <v/>
      </c>
      <c r="Y24" s="563" t="str">
        <f t="shared" si="10"/>
        <v/>
      </c>
      <c r="Z24" s="563" t="str">
        <f t="shared" si="11"/>
        <v/>
      </c>
      <c r="AA24" s="563" t="str">
        <f t="shared" si="12"/>
        <v/>
      </c>
      <c r="AB24" s="563" t="str">
        <f t="shared" si="13"/>
        <v/>
      </c>
      <c r="AC24" s="563" t="str">
        <f t="shared" si="14"/>
        <v/>
      </c>
      <c r="AD24" s="563" t="str">
        <f t="shared" si="15"/>
        <v/>
      </c>
      <c r="AE24" s="563" t="str">
        <f t="shared" si="16"/>
        <v/>
      </c>
      <c r="AF24" s="563" t="str">
        <f t="shared" si="17"/>
        <v/>
      </c>
      <c r="AG24" s="563" t="str">
        <f t="shared" si="18"/>
        <v/>
      </c>
      <c r="AH24" s="563" t="str">
        <f t="shared" si="19"/>
        <v/>
      </c>
      <c r="AI24" s="564" t="str">
        <f t="shared" si="20"/>
        <v/>
      </c>
      <c r="AJ24" s="565">
        <f t="shared" si="61"/>
        <v>0</v>
      </c>
      <c r="AK24" s="517">
        <f t="shared" si="62"/>
        <v>0</v>
      </c>
      <c r="AL24" s="523">
        <f t="shared" si="21"/>
        <v>0</v>
      </c>
      <c r="AM24" s="518">
        <f t="shared" si="22"/>
        <v>0</v>
      </c>
      <c r="AN24" s="518">
        <f t="shared" si="23"/>
        <v>0</v>
      </c>
      <c r="AO24" s="518">
        <f t="shared" si="24"/>
        <v>0</v>
      </c>
      <c r="AP24" s="518">
        <f t="shared" si="25"/>
        <v>0</v>
      </c>
      <c r="AQ24" s="518">
        <f t="shared" si="26"/>
        <v>0</v>
      </c>
      <c r="AR24" s="518">
        <f t="shared" si="27"/>
        <v>0</v>
      </c>
      <c r="AS24" s="518">
        <f t="shared" si="28"/>
        <v>0</v>
      </c>
      <c r="AT24" s="518">
        <f t="shared" si="29"/>
        <v>0</v>
      </c>
      <c r="AU24" s="518">
        <f t="shared" si="30"/>
        <v>0</v>
      </c>
      <c r="AV24" s="563">
        <f t="shared" si="31"/>
        <v>0</v>
      </c>
      <c r="AW24" s="519">
        <f t="shared" si="32"/>
        <v>0</v>
      </c>
      <c r="AX24" s="508">
        <f t="shared" si="33"/>
        <v>0</v>
      </c>
      <c r="AY24" s="518">
        <f t="shared" si="34"/>
        <v>0</v>
      </c>
      <c r="AZ24" s="518">
        <f t="shared" si="35"/>
        <v>0</v>
      </c>
      <c r="BA24" s="518">
        <f t="shared" si="36"/>
        <v>0</v>
      </c>
      <c r="BB24" s="518">
        <f t="shared" si="37"/>
        <v>0</v>
      </c>
      <c r="BC24" s="518">
        <f t="shared" si="38"/>
        <v>0</v>
      </c>
      <c r="BD24" s="518">
        <f t="shared" si="39"/>
        <v>0</v>
      </c>
      <c r="BE24" s="518">
        <f t="shared" si="40"/>
        <v>0</v>
      </c>
      <c r="BF24" s="518">
        <f t="shared" si="41"/>
        <v>0</v>
      </c>
      <c r="BG24" s="518">
        <f t="shared" si="42"/>
        <v>0</v>
      </c>
      <c r="BH24" s="520">
        <f t="shared" si="43"/>
        <v>0</v>
      </c>
      <c r="BI24" s="563">
        <f t="shared" si="44"/>
        <v>0</v>
      </c>
      <c r="BJ24" s="521">
        <f t="shared" si="45"/>
        <v>0</v>
      </c>
      <c r="BK24" s="522">
        <f t="shared" si="46"/>
        <v>0</v>
      </c>
      <c r="BL24" s="512">
        <f t="shared" si="47"/>
        <v>0</v>
      </c>
      <c r="BM24" s="518">
        <f t="shared" si="48"/>
        <v>0</v>
      </c>
      <c r="BN24" s="518">
        <f t="shared" si="49"/>
        <v>0</v>
      </c>
      <c r="BO24" s="518">
        <f t="shared" si="50"/>
        <v>0</v>
      </c>
      <c r="BP24" s="518">
        <f t="shared" si="51"/>
        <v>0</v>
      </c>
      <c r="BQ24" s="518">
        <f t="shared" si="52"/>
        <v>0</v>
      </c>
      <c r="BR24" s="518">
        <f t="shared" si="53"/>
        <v>0</v>
      </c>
      <c r="BS24" s="518">
        <f t="shared" si="54"/>
        <v>0</v>
      </c>
      <c r="BT24" s="518">
        <f t="shared" si="55"/>
        <v>0</v>
      </c>
      <c r="BU24" s="518">
        <f t="shared" si="56"/>
        <v>0</v>
      </c>
      <c r="BV24" s="520">
        <f t="shared" si="57"/>
        <v>0</v>
      </c>
      <c r="BW24" s="563">
        <f t="shared" si="58"/>
        <v>0</v>
      </c>
      <c r="BX24" s="521">
        <f t="shared" si="66"/>
        <v>0</v>
      </c>
      <c r="BY24" s="513">
        <f t="shared" si="63"/>
        <v>0</v>
      </c>
      <c r="BZ24" s="514">
        <f t="array" ref="BZ24">SUMPRODUCT(AX25:BJ25,TRANSPOSE(EXP(-(IF($C$9=1,k_MSW,k_Indu)))))+SUM(AK24:AW24)</f>
        <v>0</v>
      </c>
      <c r="CA24" s="515">
        <f t="array" ref="CA24">SUMPRODUCT(AX25:BJ25,TRANSPOSE(1-EXP(-(IF($C$9=1,k_MSW,k_Indu)))))</f>
        <v>0</v>
      </c>
      <c r="CB24" s="516">
        <f t="shared" si="59"/>
        <v>0</v>
      </c>
    </row>
    <row r="25" spans="1:80" s="315" customFormat="1" ht="17.25" x14ac:dyDescent="0.3">
      <c r="A25" s="313"/>
      <c r="B25" s="316">
        <f t="shared" si="64"/>
        <v>2004</v>
      </c>
      <c r="C25" s="883"/>
      <c r="D25" s="884"/>
      <c r="E25" s="885"/>
      <c r="F25" s="885"/>
      <c r="G25" s="885"/>
      <c r="H25" s="885"/>
      <c r="I25" s="885"/>
      <c r="J25" s="885"/>
      <c r="K25" s="885"/>
      <c r="L25" s="885"/>
      <c r="M25" s="885"/>
      <c r="N25" s="886"/>
      <c r="O25" s="886"/>
      <c r="P25" s="886"/>
      <c r="Q25" s="888"/>
      <c r="R25" s="814">
        <f t="shared" si="65"/>
        <v>0</v>
      </c>
      <c r="S25" s="815">
        <f t="shared" si="60"/>
        <v>0</v>
      </c>
      <c r="T25" s="816">
        <f t="shared" si="5"/>
        <v>0</v>
      </c>
      <c r="U25" s="817">
        <f t="shared" si="6"/>
        <v>0</v>
      </c>
      <c r="V25" s="566">
        <f t="shared" si="7"/>
        <v>0</v>
      </c>
      <c r="W25" s="562" t="str">
        <f t="shared" si="8"/>
        <v/>
      </c>
      <c r="X25" s="563" t="str">
        <f t="shared" si="9"/>
        <v/>
      </c>
      <c r="Y25" s="563" t="str">
        <f t="shared" si="10"/>
        <v/>
      </c>
      <c r="Z25" s="563" t="str">
        <f t="shared" si="11"/>
        <v/>
      </c>
      <c r="AA25" s="563" t="str">
        <f t="shared" si="12"/>
        <v/>
      </c>
      <c r="AB25" s="563" t="str">
        <f t="shared" si="13"/>
        <v/>
      </c>
      <c r="AC25" s="563" t="str">
        <f t="shared" si="14"/>
        <v/>
      </c>
      <c r="AD25" s="563" t="str">
        <f t="shared" si="15"/>
        <v/>
      </c>
      <c r="AE25" s="563" t="str">
        <f t="shared" si="16"/>
        <v/>
      </c>
      <c r="AF25" s="563" t="str">
        <f t="shared" si="17"/>
        <v/>
      </c>
      <c r="AG25" s="563" t="str">
        <f t="shared" si="18"/>
        <v/>
      </c>
      <c r="AH25" s="563" t="str">
        <f t="shared" si="19"/>
        <v/>
      </c>
      <c r="AI25" s="564" t="str">
        <f t="shared" si="20"/>
        <v/>
      </c>
      <c r="AJ25" s="565">
        <f t="shared" si="61"/>
        <v>0</v>
      </c>
      <c r="AK25" s="517">
        <f t="shared" si="62"/>
        <v>0</v>
      </c>
      <c r="AL25" s="518">
        <f t="shared" si="21"/>
        <v>0</v>
      </c>
      <c r="AM25" s="518">
        <f t="shared" si="22"/>
        <v>0</v>
      </c>
      <c r="AN25" s="518">
        <f t="shared" si="23"/>
        <v>0</v>
      </c>
      <c r="AO25" s="518">
        <f t="shared" si="24"/>
        <v>0</v>
      </c>
      <c r="AP25" s="518">
        <f t="shared" si="25"/>
        <v>0</v>
      </c>
      <c r="AQ25" s="518">
        <f t="shared" si="26"/>
        <v>0</v>
      </c>
      <c r="AR25" s="518">
        <f t="shared" si="27"/>
        <v>0</v>
      </c>
      <c r="AS25" s="518">
        <f t="shared" si="28"/>
        <v>0</v>
      </c>
      <c r="AT25" s="518">
        <f t="shared" si="29"/>
        <v>0</v>
      </c>
      <c r="AU25" s="518">
        <f t="shared" si="30"/>
        <v>0</v>
      </c>
      <c r="AV25" s="563">
        <f t="shared" si="31"/>
        <v>0</v>
      </c>
      <c r="AW25" s="519">
        <f t="shared" si="32"/>
        <v>0</v>
      </c>
      <c r="AX25" s="508">
        <f t="shared" si="33"/>
        <v>0</v>
      </c>
      <c r="AY25" s="518">
        <f t="shared" si="34"/>
        <v>0</v>
      </c>
      <c r="AZ25" s="518">
        <f t="shared" si="35"/>
        <v>0</v>
      </c>
      <c r="BA25" s="518">
        <f t="shared" si="36"/>
        <v>0</v>
      </c>
      <c r="BB25" s="518">
        <f t="shared" si="37"/>
        <v>0</v>
      </c>
      <c r="BC25" s="518">
        <f t="shared" si="38"/>
        <v>0</v>
      </c>
      <c r="BD25" s="518">
        <f t="shared" si="39"/>
        <v>0</v>
      </c>
      <c r="BE25" s="518">
        <f t="shared" si="40"/>
        <v>0</v>
      </c>
      <c r="BF25" s="518">
        <f t="shared" si="41"/>
        <v>0</v>
      </c>
      <c r="BG25" s="518">
        <f t="shared" si="42"/>
        <v>0</v>
      </c>
      <c r="BH25" s="520">
        <f t="shared" si="43"/>
        <v>0</v>
      </c>
      <c r="BI25" s="563">
        <f t="shared" si="44"/>
        <v>0</v>
      </c>
      <c r="BJ25" s="521">
        <f t="shared" si="45"/>
        <v>0</v>
      </c>
      <c r="BK25" s="522">
        <f t="shared" si="46"/>
        <v>0</v>
      </c>
      <c r="BL25" s="512">
        <f t="shared" si="47"/>
        <v>0</v>
      </c>
      <c r="BM25" s="518">
        <f t="shared" si="48"/>
        <v>0</v>
      </c>
      <c r="BN25" s="518">
        <f t="shared" si="49"/>
        <v>0</v>
      </c>
      <c r="BO25" s="518">
        <f t="shared" si="50"/>
        <v>0</v>
      </c>
      <c r="BP25" s="518">
        <f t="shared" si="51"/>
        <v>0</v>
      </c>
      <c r="BQ25" s="518">
        <f t="shared" si="52"/>
        <v>0</v>
      </c>
      <c r="BR25" s="518">
        <f t="shared" si="53"/>
        <v>0</v>
      </c>
      <c r="BS25" s="518">
        <f t="shared" si="54"/>
        <v>0</v>
      </c>
      <c r="BT25" s="518">
        <f t="shared" si="55"/>
        <v>0</v>
      </c>
      <c r="BU25" s="518">
        <f t="shared" si="56"/>
        <v>0</v>
      </c>
      <c r="BV25" s="520">
        <f t="shared" si="57"/>
        <v>0</v>
      </c>
      <c r="BW25" s="563">
        <f t="shared" si="58"/>
        <v>0</v>
      </c>
      <c r="BX25" s="521">
        <f t="shared" si="66"/>
        <v>0</v>
      </c>
      <c r="BY25" s="513">
        <f t="shared" si="63"/>
        <v>0</v>
      </c>
      <c r="BZ25" s="514">
        <f t="array" ref="BZ25">SUMPRODUCT(AX26:BJ26,TRANSPOSE(EXP(-(IF($C$9=1,k_MSW,k_Indu)))))+SUM(AK25:AW25)</f>
        <v>0</v>
      </c>
      <c r="CA25" s="515">
        <f t="array" ref="CA25">SUMPRODUCT(AX26:BJ26,TRANSPOSE(1-EXP(-(IF($C$9=1,k_MSW,k_Indu)))))</f>
        <v>0</v>
      </c>
      <c r="CB25" s="516">
        <f t="shared" si="59"/>
        <v>0</v>
      </c>
    </row>
    <row r="26" spans="1:80" s="315" customFormat="1" ht="17.25" x14ac:dyDescent="0.3">
      <c r="A26" s="313"/>
      <c r="B26" s="316">
        <f t="shared" si="64"/>
        <v>2003</v>
      </c>
      <c r="C26" s="883"/>
      <c r="D26" s="884"/>
      <c r="E26" s="885"/>
      <c r="F26" s="885"/>
      <c r="G26" s="885"/>
      <c r="H26" s="885"/>
      <c r="I26" s="885"/>
      <c r="J26" s="885"/>
      <c r="K26" s="885"/>
      <c r="L26" s="885"/>
      <c r="M26" s="885"/>
      <c r="N26" s="886"/>
      <c r="O26" s="886"/>
      <c r="P26" s="886"/>
      <c r="Q26" s="888"/>
      <c r="R26" s="814">
        <f t="shared" si="65"/>
        <v>0</v>
      </c>
      <c r="S26" s="815">
        <f t="shared" si="60"/>
        <v>0</v>
      </c>
      <c r="T26" s="816">
        <f t="shared" si="5"/>
        <v>0</v>
      </c>
      <c r="U26" s="817">
        <f t="shared" si="6"/>
        <v>0</v>
      </c>
      <c r="V26" s="566">
        <f t="shared" si="7"/>
        <v>0</v>
      </c>
      <c r="W26" s="562" t="str">
        <f t="shared" si="8"/>
        <v/>
      </c>
      <c r="X26" s="563" t="str">
        <f t="shared" si="9"/>
        <v/>
      </c>
      <c r="Y26" s="563" t="str">
        <f t="shared" si="10"/>
        <v/>
      </c>
      <c r="Z26" s="563" t="str">
        <f t="shared" si="11"/>
        <v/>
      </c>
      <c r="AA26" s="563" t="str">
        <f t="shared" si="12"/>
        <v/>
      </c>
      <c r="AB26" s="563" t="str">
        <f t="shared" si="13"/>
        <v/>
      </c>
      <c r="AC26" s="563" t="str">
        <f t="shared" si="14"/>
        <v/>
      </c>
      <c r="AD26" s="563" t="str">
        <f t="shared" si="15"/>
        <v/>
      </c>
      <c r="AE26" s="563" t="str">
        <f t="shared" si="16"/>
        <v/>
      </c>
      <c r="AF26" s="563" t="str">
        <f t="shared" si="17"/>
        <v/>
      </c>
      <c r="AG26" s="563" t="str">
        <f t="shared" si="18"/>
        <v/>
      </c>
      <c r="AH26" s="563" t="str">
        <f t="shared" si="19"/>
        <v/>
      </c>
      <c r="AI26" s="564" t="str">
        <f t="shared" si="20"/>
        <v/>
      </c>
      <c r="AJ26" s="565">
        <f t="shared" si="61"/>
        <v>0</v>
      </c>
      <c r="AK26" s="517">
        <f t="shared" si="62"/>
        <v>0</v>
      </c>
      <c r="AL26" s="518">
        <f t="shared" si="21"/>
        <v>0</v>
      </c>
      <c r="AM26" s="518">
        <f t="shared" si="22"/>
        <v>0</v>
      </c>
      <c r="AN26" s="518">
        <f t="shared" si="23"/>
        <v>0</v>
      </c>
      <c r="AO26" s="518">
        <f t="shared" si="24"/>
        <v>0</v>
      </c>
      <c r="AP26" s="518">
        <f t="shared" si="25"/>
        <v>0</v>
      </c>
      <c r="AQ26" s="518">
        <f t="shared" si="26"/>
        <v>0</v>
      </c>
      <c r="AR26" s="518">
        <f t="shared" si="27"/>
        <v>0</v>
      </c>
      <c r="AS26" s="518">
        <f t="shared" si="28"/>
        <v>0</v>
      </c>
      <c r="AT26" s="518">
        <f t="shared" si="29"/>
        <v>0</v>
      </c>
      <c r="AU26" s="518">
        <f t="shared" si="30"/>
        <v>0</v>
      </c>
      <c r="AV26" s="563">
        <f t="shared" si="31"/>
        <v>0</v>
      </c>
      <c r="AW26" s="519">
        <f t="shared" si="32"/>
        <v>0</v>
      </c>
      <c r="AX26" s="508">
        <f t="shared" si="33"/>
        <v>0</v>
      </c>
      <c r="AY26" s="518">
        <f t="shared" si="34"/>
        <v>0</v>
      </c>
      <c r="AZ26" s="518">
        <f t="shared" si="35"/>
        <v>0</v>
      </c>
      <c r="BA26" s="518">
        <f t="shared" si="36"/>
        <v>0</v>
      </c>
      <c r="BB26" s="518">
        <f t="shared" si="37"/>
        <v>0</v>
      </c>
      <c r="BC26" s="518">
        <f t="shared" si="38"/>
        <v>0</v>
      </c>
      <c r="BD26" s="518">
        <f t="shared" si="39"/>
        <v>0</v>
      </c>
      <c r="BE26" s="518">
        <f t="shared" si="40"/>
        <v>0</v>
      </c>
      <c r="BF26" s="518">
        <f t="shared" si="41"/>
        <v>0</v>
      </c>
      <c r="BG26" s="518">
        <f t="shared" si="42"/>
        <v>0</v>
      </c>
      <c r="BH26" s="520">
        <f t="shared" si="43"/>
        <v>0</v>
      </c>
      <c r="BI26" s="563">
        <f t="shared" si="44"/>
        <v>0</v>
      </c>
      <c r="BJ26" s="521">
        <f t="shared" si="45"/>
        <v>0</v>
      </c>
      <c r="BK26" s="522">
        <f t="shared" si="46"/>
        <v>0</v>
      </c>
      <c r="BL26" s="512">
        <f t="shared" si="47"/>
        <v>0</v>
      </c>
      <c r="BM26" s="518">
        <f t="shared" si="48"/>
        <v>0</v>
      </c>
      <c r="BN26" s="518">
        <f t="shared" si="49"/>
        <v>0</v>
      </c>
      <c r="BO26" s="518">
        <f t="shared" si="50"/>
        <v>0</v>
      </c>
      <c r="BP26" s="518">
        <f t="shared" si="51"/>
        <v>0</v>
      </c>
      <c r="BQ26" s="518">
        <f t="shared" si="52"/>
        <v>0</v>
      </c>
      <c r="BR26" s="518">
        <f t="shared" si="53"/>
        <v>0</v>
      </c>
      <c r="BS26" s="518">
        <f t="shared" si="54"/>
        <v>0</v>
      </c>
      <c r="BT26" s="518">
        <f t="shared" si="55"/>
        <v>0</v>
      </c>
      <c r="BU26" s="518">
        <f t="shared" si="56"/>
        <v>0</v>
      </c>
      <c r="BV26" s="520">
        <f t="shared" si="57"/>
        <v>0</v>
      </c>
      <c r="BW26" s="563">
        <f t="shared" si="58"/>
        <v>0</v>
      </c>
      <c r="BX26" s="521">
        <f t="shared" si="66"/>
        <v>0</v>
      </c>
      <c r="BY26" s="513">
        <f t="shared" si="63"/>
        <v>0</v>
      </c>
      <c r="BZ26" s="514">
        <f t="array" ref="BZ26">SUMPRODUCT(AX27:BJ27,TRANSPOSE(EXP(-(IF($C$9=1,k_MSW,k_Indu)))))+SUM(AK26:AW26)</f>
        <v>0</v>
      </c>
      <c r="CA26" s="515">
        <f t="array" ref="CA26">SUMPRODUCT(AX27:BJ27,TRANSPOSE(1-EXP(-(IF($C$9=1,k_MSW,k_Indu)))))</f>
        <v>0</v>
      </c>
      <c r="CB26" s="516">
        <f t="shared" si="59"/>
        <v>0</v>
      </c>
    </row>
    <row r="27" spans="1:80" s="315" customFormat="1" ht="17.25" x14ac:dyDescent="0.3">
      <c r="A27" s="313"/>
      <c r="B27" s="316">
        <f t="shared" si="64"/>
        <v>2002</v>
      </c>
      <c r="C27" s="883"/>
      <c r="D27" s="884"/>
      <c r="E27" s="885"/>
      <c r="F27" s="885"/>
      <c r="G27" s="885"/>
      <c r="H27" s="885"/>
      <c r="I27" s="885"/>
      <c r="J27" s="885"/>
      <c r="K27" s="885"/>
      <c r="L27" s="885"/>
      <c r="M27" s="885"/>
      <c r="N27" s="886"/>
      <c r="O27" s="886"/>
      <c r="P27" s="886"/>
      <c r="Q27" s="888"/>
      <c r="R27" s="814">
        <f t="shared" si="65"/>
        <v>0</v>
      </c>
      <c r="S27" s="815">
        <f t="shared" si="60"/>
        <v>0</v>
      </c>
      <c r="T27" s="816">
        <f t="shared" si="5"/>
        <v>0</v>
      </c>
      <c r="U27" s="817">
        <f t="shared" si="6"/>
        <v>0</v>
      </c>
      <c r="V27" s="566">
        <f t="shared" si="7"/>
        <v>0</v>
      </c>
      <c r="W27" s="562" t="str">
        <f t="shared" si="8"/>
        <v/>
      </c>
      <c r="X27" s="563" t="str">
        <f t="shared" si="9"/>
        <v/>
      </c>
      <c r="Y27" s="563" t="str">
        <f t="shared" si="10"/>
        <v/>
      </c>
      <c r="Z27" s="563" t="str">
        <f t="shared" si="11"/>
        <v/>
      </c>
      <c r="AA27" s="563" t="str">
        <f t="shared" si="12"/>
        <v/>
      </c>
      <c r="AB27" s="563" t="str">
        <f t="shared" si="13"/>
        <v/>
      </c>
      <c r="AC27" s="563" t="str">
        <f t="shared" si="14"/>
        <v/>
      </c>
      <c r="AD27" s="563" t="str">
        <f t="shared" si="15"/>
        <v/>
      </c>
      <c r="AE27" s="563" t="str">
        <f t="shared" si="16"/>
        <v/>
      </c>
      <c r="AF27" s="563" t="str">
        <f t="shared" si="17"/>
        <v/>
      </c>
      <c r="AG27" s="563" t="str">
        <f t="shared" si="18"/>
        <v/>
      </c>
      <c r="AH27" s="563" t="str">
        <f t="shared" si="19"/>
        <v/>
      </c>
      <c r="AI27" s="564" t="str">
        <f t="shared" si="20"/>
        <v/>
      </c>
      <c r="AJ27" s="565">
        <f t="shared" si="61"/>
        <v>0</v>
      </c>
      <c r="AK27" s="517">
        <f t="shared" si="62"/>
        <v>0</v>
      </c>
      <c r="AL27" s="518">
        <f t="shared" si="21"/>
        <v>0</v>
      </c>
      <c r="AM27" s="518">
        <f t="shared" si="22"/>
        <v>0</v>
      </c>
      <c r="AN27" s="518">
        <f t="shared" si="23"/>
        <v>0</v>
      </c>
      <c r="AO27" s="518">
        <f t="shared" si="24"/>
        <v>0</v>
      </c>
      <c r="AP27" s="518">
        <f t="shared" si="25"/>
        <v>0</v>
      </c>
      <c r="AQ27" s="518">
        <f t="shared" si="26"/>
        <v>0</v>
      </c>
      <c r="AR27" s="518">
        <f t="shared" si="27"/>
        <v>0</v>
      </c>
      <c r="AS27" s="518">
        <f t="shared" si="28"/>
        <v>0</v>
      </c>
      <c r="AT27" s="518">
        <f t="shared" si="29"/>
        <v>0</v>
      </c>
      <c r="AU27" s="518">
        <f t="shared" si="30"/>
        <v>0</v>
      </c>
      <c r="AV27" s="563">
        <f t="shared" si="31"/>
        <v>0</v>
      </c>
      <c r="AW27" s="519">
        <f t="shared" si="32"/>
        <v>0</v>
      </c>
      <c r="AX27" s="508">
        <f t="shared" si="33"/>
        <v>0</v>
      </c>
      <c r="AY27" s="518">
        <f t="shared" si="34"/>
        <v>0</v>
      </c>
      <c r="AZ27" s="518">
        <f t="shared" si="35"/>
        <v>0</v>
      </c>
      <c r="BA27" s="518">
        <f t="shared" si="36"/>
        <v>0</v>
      </c>
      <c r="BB27" s="518">
        <f t="shared" si="37"/>
        <v>0</v>
      </c>
      <c r="BC27" s="518">
        <f t="shared" si="38"/>
        <v>0</v>
      </c>
      <c r="BD27" s="518">
        <f t="shared" si="39"/>
        <v>0</v>
      </c>
      <c r="BE27" s="518">
        <f t="shared" si="40"/>
        <v>0</v>
      </c>
      <c r="BF27" s="518">
        <f t="shared" si="41"/>
        <v>0</v>
      </c>
      <c r="BG27" s="518">
        <f t="shared" si="42"/>
        <v>0</v>
      </c>
      <c r="BH27" s="520">
        <f t="shared" si="43"/>
        <v>0</v>
      </c>
      <c r="BI27" s="563">
        <f t="shared" si="44"/>
        <v>0</v>
      </c>
      <c r="BJ27" s="521">
        <f t="shared" si="45"/>
        <v>0</v>
      </c>
      <c r="BK27" s="522">
        <f t="shared" si="46"/>
        <v>0</v>
      </c>
      <c r="BL27" s="512">
        <f t="shared" si="47"/>
        <v>0</v>
      </c>
      <c r="BM27" s="518">
        <f t="shared" si="48"/>
        <v>0</v>
      </c>
      <c r="BN27" s="518">
        <f t="shared" si="49"/>
        <v>0</v>
      </c>
      <c r="BO27" s="518">
        <f t="shared" si="50"/>
        <v>0</v>
      </c>
      <c r="BP27" s="518">
        <f t="shared" si="51"/>
        <v>0</v>
      </c>
      <c r="BQ27" s="518">
        <f t="shared" si="52"/>
        <v>0</v>
      </c>
      <c r="BR27" s="518">
        <f t="shared" si="53"/>
        <v>0</v>
      </c>
      <c r="BS27" s="518">
        <f t="shared" si="54"/>
        <v>0</v>
      </c>
      <c r="BT27" s="518">
        <f t="shared" si="55"/>
        <v>0</v>
      </c>
      <c r="BU27" s="518">
        <f t="shared" si="56"/>
        <v>0</v>
      </c>
      <c r="BV27" s="520">
        <f t="shared" si="57"/>
        <v>0</v>
      </c>
      <c r="BW27" s="563">
        <f t="shared" si="58"/>
        <v>0</v>
      </c>
      <c r="BX27" s="521">
        <f t="shared" si="66"/>
        <v>0</v>
      </c>
      <c r="BY27" s="513">
        <f t="shared" si="63"/>
        <v>0</v>
      </c>
      <c r="BZ27" s="514">
        <f t="array" ref="BZ27">SUMPRODUCT(AX28:BJ28,TRANSPOSE(EXP(-(IF($C$9=1,k_MSW,k_Indu)))))+SUM(AK27:AW27)</f>
        <v>0</v>
      </c>
      <c r="CA27" s="515">
        <f t="array" ref="CA27">SUMPRODUCT(AX28:BJ28,TRANSPOSE(1-EXP(-(IF($C$9=1,k_MSW,k_Indu)))))</f>
        <v>0</v>
      </c>
      <c r="CB27" s="516">
        <f t="shared" si="59"/>
        <v>0</v>
      </c>
    </row>
    <row r="28" spans="1:80" s="315" customFormat="1" ht="17.25" x14ac:dyDescent="0.3">
      <c r="A28" s="313"/>
      <c r="B28" s="316">
        <f t="shared" si="64"/>
        <v>2001</v>
      </c>
      <c r="C28" s="883"/>
      <c r="D28" s="884"/>
      <c r="E28" s="885"/>
      <c r="F28" s="885"/>
      <c r="G28" s="885"/>
      <c r="H28" s="885"/>
      <c r="I28" s="885"/>
      <c r="J28" s="885"/>
      <c r="K28" s="885"/>
      <c r="L28" s="885"/>
      <c r="M28" s="885"/>
      <c r="N28" s="886"/>
      <c r="O28" s="886"/>
      <c r="P28" s="886"/>
      <c r="Q28" s="888"/>
      <c r="R28" s="814">
        <f t="shared" si="65"/>
        <v>0</v>
      </c>
      <c r="S28" s="815">
        <f t="shared" si="60"/>
        <v>0</v>
      </c>
      <c r="T28" s="816">
        <f t="shared" si="5"/>
        <v>0</v>
      </c>
      <c r="U28" s="817">
        <f t="shared" si="6"/>
        <v>0</v>
      </c>
      <c r="V28" s="566">
        <f t="shared" si="7"/>
        <v>0</v>
      </c>
      <c r="W28" s="562" t="str">
        <f t="shared" si="8"/>
        <v/>
      </c>
      <c r="X28" s="563" t="str">
        <f t="shared" si="9"/>
        <v/>
      </c>
      <c r="Y28" s="563" t="str">
        <f t="shared" si="10"/>
        <v/>
      </c>
      <c r="Z28" s="563" t="str">
        <f t="shared" si="11"/>
        <v/>
      </c>
      <c r="AA28" s="563" t="str">
        <f t="shared" si="12"/>
        <v/>
      </c>
      <c r="AB28" s="563" t="str">
        <f t="shared" si="13"/>
        <v/>
      </c>
      <c r="AC28" s="563" t="str">
        <f t="shared" si="14"/>
        <v/>
      </c>
      <c r="AD28" s="563" t="str">
        <f t="shared" si="15"/>
        <v/>
      </c>
      <c r="AE28" s="563" t="str">
        <f t="shared" si="16"/>
        <v/>
      </c>
      <c r="AF28" s="563" t="str">
        <f t="shared" si="17"/>
        <v/>
      </c>
      <c r="AG28" s="563" t="str">
        <f t="shared" si="18"/>
        <v/>
      </c>
      <c r="AH28" s="563" t="str">
        <f t="shared" si="19"/>
        <v/>
      </c>
      <c r="AI28" s="564" t="str">
        <f t="shared" si="20"/>
        <v/>
      </c>
      <c r="AJ28" s="565">
        <f t="shared" si="61"/>
        <v>0</v>
      </c>
      <c r="AK28" s="517">
        <f t="shared" si="62"/>
        <v>0</v>
      </c>
      <c r="AL28" s="518">
        <f t="shared" si="21"/>
        <v>0</v>
      </c>
      <c r="AM28" s="518">
        <f t="shared" si="22"/>
        <v>0</v>
      </c>
      <c r="AN28" s="518">
        <f t="shared" si="23"/>
        <v>0</v>
      </c>
      <c r="AO28" s="518">
        <f t="shared" si="24"/>
        <v>0</v>
      </c>
      <c r="AP28" s="518">
        <f t="shared" si="25"/>
        <v>0</v>
      </c>
      <c r="AQ28" s="518">
        <f t="shared" si="26"/>
        <v>0</v>
      </c>
      <c r="AR28" s="518">
        <f t="shared" si="27"/>
        <v>0</v>
      </c>
      <c r="AS28" s="518">
        <f t="shared" si="28"/>
        <v>0</v>
      </c>
      <c r="AT28" s="518">
        <f t="shared" si="29"/>
        <v>0</v>
      </c>
      <c r="AU28" s="518">
        <f t="shared" si="30"/>
        <v>0</v>
      </c>
      <c r="AV28" s="563">
        <f t="shared" si="31"/>
        <v>0</v>
      </c>
      <c r="AW28" s="519">
        <f t="shared" si="32"/>
        <v>0</v>
      </c>
      <c r="AX28" s="508">
        <f t="shared" si="33"/>
        <v>0</v>
      </c>
      <c r="AY28" s="518">
        <f t="shared" si="34"/>
        <v>0</v>
      </c>
      <c r="AZ28" s="518">
        <f t="shared" si="35"/>
        <v>0</v>
      </c>
      <c r="BA28" s="518">
        <f t="shared" si="36"/>
        <v>0</v>
      </c>
      <c r="BB28" s="518">
        <f t="shared" si="37"/>
        <v>0</v>
      </c>
      <c r="BC28" s="518">
        <f t="shared" si="38"/>
        <v>0</v>
      </c>
      <c r="BD28" s="518">
        <f t="shared" si="39"/>
        <v>0</v>
      </c>
      <c r="BE28" s="518">
        <f t="shared" si="40"/>
        <v>0</v>
      </c>
      <c r="BF28" s="518">
        <f t="shared" si="41"/>
        <v>0</v>
      </c>
      <c r="BG28" s="518">
        <f t="shared" si="42"/>
        <v>0</v>
      </c>
      <c r="BH28" s="520">
        <f t="shared" si="43"/>
        <v>0</v>
      </c>
      <c r="BI28" s="563">
        <f t="shared" si="44"/>
        <v>0</v>
      </c>
      <c r="BJ28" s="521">
        <f t="shared" si="45"/>
        <v>0</v>
      </c>
      <c r="BK28" s="522">
        <f t="shared" si="46"/>
        <v>0</v>
      </c>
      <c r="BL28" s="512">
        <f t="shared" si="47"/>
        <v>0</v>
      </c>
      <c r="BM28" s="518">
        <f t="shared" si="48"/>
        <v>0</v>
      </c>
      <c r="BN28" s="518">
        <f t="shared" si="49"/>
        <v>0</v>
      </c>
      <c r="BO28" s="518">
        <f t="shared" si="50"/>
        <v>0</v>
      </c>
      <c r="BP28" s="518">
        <f t="shared" si="51"/>
        <v>0</v>
      </c>
      <c r="BQ28" s="518">
        <f t="shared" si="52"/>
        <v>0</v>
      </c>
      <c r="BR28" s="518">
        <f t="shared" si="53"/>
        <v>0</v>
      </c>
      <c r="BS28" s="518">
        <f t="shared" si="54"/>
        <v>0</v>
      </c>
      <c r="BT28" s="518">
        <f t="shared" si="55"/>
        <v>0</v>
      </c>
      <c r="BU28" s="518">
        <f t="shared" si="56"/>
        <v>0</v>
      </c>
      <c r="BV28" s="520">
        <f t="shared" si="57"/>
        <v>0</v>
      </c>
      <c r="BW28" s="563">
        <f t="shared" si="58"/>
        <v>0</v>
      </c>
      <c r="BX28" s="521">
        <f t="shared" si="66"/>
        <v>0</v>
      </c>
      <c r="BY28" s="513">
        <f t="shared" si="63"/>
        <v>0</v>
      </c>
      <c r="BZ28" s="514">
        <f t="array" ref="BZ28">SUMPRODUCT(AX29:BJ29,TRANSPOSE(EXP(-(IF($C$9=1,k_MSW,k_Indu)))))+SUM(AK28:AW28)</f>
        <v>0</v>
      </c>
      <c r="CA28" s="515">
        <f t="array" ref="CA28">SUMPRODUCT(AX29:BJ29,TRANSPOSE(1-EXP(-(IF($C$9=1,k_MSW,k_Indu)))))</f>
        <v>0</v>
      </c>
      <c r="CB28" s="516">
        <f t="shared" si="59"/>
        <v>0</v>
      </c>
    </row>
    <row r="29" spans="1:80" s="315" customFormat="1" ht="17.25" x14ac:dyDescent="0.3">
      <c r="A29" s="313"/>
      <c r="B29" s="316">
        <f t="shared" si="64"/>
        <v>2000</v>
      </c>
      <c r="C29" s="883"/>
      <c r="D29" s="884"/>
      <c r="E29" s="885"/>
      <c r="F29" s="885"/>
      <c r="G29" s="885"/>
      <c r="H29" s="885"/>
      <c r="I29" s="885"/>
      <c r="J29" s="885"/>
      <c r="K29" s="885"/>
      <c r="L29" s="885"/>
      <c r="M29" s="885"/>
      <c r="N29" s="886"/>
      <c r="O29" s="886"/>
      <c r="P29" s="886"/>
      <c r="Q29" s="888"/>
      <c r="R29" s="814">
        <f t="shared" si="65"/>
        <v>0</v>
      </c>
      <c r="S29" s="815">
        <f t="shared" si="60"/>
        <v>0</v>
      </c>
      <c r="T29" s="816">
        <f t="shared" si="5"/>
        <v>0</v>
      </c>
      <c r="U29" s="817">
        <f t="shared" si="6"/>
        <v>0</v>
      </c>
      <c r="V29" s="566">
        <f t="shared" si="7"/>
        <v>0</v>
      </c>
      <c r="W29" s="562" t="str">
        <f t="shared" si="8"/>
        <v/>
      </c>
      <c r="X29" s="563" t="str">
        <f t="shared" si="9"/>
        <v/>
      </c>
      <c r="Y29" s="563" t="str">
        <f t="shared" si="10"/>
        <v/>
      </c>
      <c r="Z29" s="563" t="str">
        <f t="shared" si="11"/>
        <v/>
      </c>
      <c r="AA29" s="563" t="str">
        <f t="shared" si="12"/>
        <v/>
      </c>
      <c r="AB29" s="563" t="str">
        <f t="shared" si="13"/>
        <v/>
      </c>
      <c r="AC29" s="563" t="str">
        <f t="shared" si="14"/>
        <v/>
      </c>
      <c r="AD29" s="563" t="str">
        <f t="shared" si="15"/>
        <v/>
      </c>
      <c r="AE29" s="563" t="str">
        <f t="shared" si="16"/>
        <v/>
      </c>
      <c r="AF29" s="563" t="str">
        <f t="shared" si="17"/>
        <v/>
      </c>
      <c r="AG29" s="563" t="str">
        <f t="shared" si="18"/>
        <v/>
      </c>
      <c r="AH29" s="563" t="str">
        <f t="shared" si="19"/>
        <v/>
      </c>
      <c r="AI29" s="564" t="str">
        <f t="shared" si="20"/>
        <v/>
      </c>
      <c r="AJ29" s="565">
        <f t="shared" si="61"/>
        <v>0</v>
      </c>
      <c r="AK29" s="517">
        <f t="shared" si="62"/>
        <v>0</v>
      </c>
      <c r="AL29" s="518">
        <f t="shared" si="21"/>
        <v>0</v>
      </c>
      <c r="AM29" s="518">
        <f t="shared" si="22"/>
        <v>0</v>
      </c>
      <c r="AN29" s="518">
        <f t="shared" si="23"/>
        <v>0</v>
      </c>
      <c r="AO29" s="518">
        <f t="shared" si="24"/>
        <v>0</v>
      </c>
      <c r="AP29" s="518">
        <f t="shared" si="25"/>
        <v>0</v>
      </c>
      <c r="AQ29" s="518">
        <f t="shared" si="26"/>
        <v>0</v>
      </c>
      <c r="AR29" s="518">
        <f t="shared" si="27"/>
        <v>0</v>
      </c>
      <c r="AS29" s="518">
        <f t="shared" si="28"/>
        <v>0</v>
      </c>
      <c r="AT29" s="518">
        <f t="shared" si="29"/>
        <v>0</v>
      </c>
      <c r="AU29" s="518">
        <f t="shared" si="30"/>
        <v>0</v>
      </c>
      <c r="AV29" s="563">
        <f t="shared" si="31"/>
        <v>0</v>
      </c>
      <c r="AW29" s="519">
        <f t="shared" si="32"/>
        <v>0</v>
      </c>
      <c r="AX29" s="508">
        <f t="shared" si="33"/>
        <v>0</v>
      </c>
      <c r="AY29" s="518">
        <f t="shared" si="34"/>
        <v>0</v>
      </c>
      <c r="AZ29" s="518">
        <f t="shared" si="35"/>
        <v>0</v>
      </c>
      <c r="BA29" s="518">
        <f t="shared" si="36"/>
        <v>0</v>
      </c>
      <c r="BB29" s="518">
        <f t="shared" si="37"/>
        <v>0</v>
      </c>
      <c r="BC29" s="518">
        <f t="shared" si="38"/>
        <v>0</v>
      </c>
      <c r="BD29" s="518">
        <f t="shared" si="39"/>
        <v>0</v>
      </c>
      <c r="BE29" s="518">
        <f t="shared" si="40"/>
        <v>0</v>
      </c>
      <c r="BF29" s="518">
        <f t="shared" si="41"/>
        <v>0</v>
      </c>
      <c r="BG29" s="518">
        <f t="shared" si="42"/>
        <v>0</v>
      </c>
      <c r="BH29" s="520">
        <f t="shared" si="43"/>
        <v>0</v>
      </c>
      <c r="BI29" s="563">
        <f t="shared" si="44"/>
        <v>0</v>
      </c>
      <c r="BJ29" s="521">
        <f t="shared" si="45"/>
        <v>0</v>
      </c>
      <c r="BK29" s="522">
        <f t="shared" si="46"/>
        <v>0</v>
      </c>
      <c r="BL29" s="512">
        <f t="shared" si="47"/>
        <v>0</v>
      </c>
      <c r="BM29" s="518">
        <f t="shared" si="48"/>
        <v>0</v>
      </c>
      <c r="BN29" s="518">
        <f t="shared" si="49"/>
        <v>0</v>
      </c>
      <c r="BO29" s="518">
        <f t="shared" si="50"/>
        <v>0</v>
      </c>
      <c r="BP29" s="518">
        <f t="shared" si="51"/>
        <v>0</v>
      </c>
      <c r="BQ29" s="518">
        <f t="shared" si="52"/>
        <v>0</v>
      </c>
      <c r="BR29" s="518">
        <f t="shared" si="53"/>
        <v>0</v>
      </c>
      <c r="BS29" s="518">
        <f t="shared" si="54"/>
        <v>0</v>
      </c>
      <c r="BT29" s="518">
        <f t="shared" si="55"/>
        <v>0</v>
      </c>
      <c r="BU29" s="518">
        <f t="shared" si="56"/>
        <v>0</v>
      </c>
      <c r="BV29" s="520">
        <f t="shared" si="57"/>
        <v>0</v>
      </c>
      <c r="BW29" s="563">
        <f t="shared" si="58"/>
        <v>0</v>
      </c>
      <c r="BX29" s="521">
        <f t="shared" si="66"/>
        <v>0</v>
      </c>
      <c r="BY29" s="513">
        <f t="shared" si="63"/>
        <v>0</v>
      </c>
      <c r="BZ29" s="514">
        <f t="array" ref="BZ29">SUMPRODUCT(AX30:BJ30,TRANSPOSE(EXP(-(IF($C$9=1,k_MSW,k_Indu)))))+SUM(AK29:AW29)</f>
        <v>0</v>
      </c>
      <c r="CA29" s="515">
        <f t="array" ref="CA29">SUMPRODUCT(AX30:BJ30,TRANSPOSE(1-EXP(-(IF($C$9=1,k_MSW,k_Indu)))))</f>
        <v>0</v>
      </c>
      <c r="CB29" s="516">
        <f t="shared" si="59"/>
        <v>0</v>
      </c>
    </row>
    <row r="30" spans="1:80" s="315" customFormat="1" ht="17.25" x14ac:dyDescent="0.3">
      <c r="A30" s="313"/>
      <c r="B30" s="316">
        <f t="shared" si="64"/>
        <v>1999</v>
      </c>
      <c r="C30" s="883"/>
      <c r="D30" s="884"/>
      <c r="E30" s="885"/>
      <c r="F30" s="885"/>
      <c r="G30" s="885"/>
      <c r="H30" s="885"/>
      <c r="I30" s="885"/>
      <c r="J30" s="885"/>
      <c r="K30" s="885"/>
      <c r="L30" s="885"/>
      <c r="M30" s="885"/>
      <c r="N30" s="886"/>
      <c r="O30" s="886"/>
      <c r="P30" s="889"/>
      <c r="Q30" s="890"/>
      <c r="R30" s="814">
        <f t="shared" si="65"/>
        <v>0</v>
      </c>
      <c r="S30" s="815">
        <f t="shared" si="60"/>
        <v>0</v>
      </c>
      <c r="T30" s="816">
        <f t="shared" si="5"/>
        <v>0</v>
      </c>
      <c r="U30" s="817">
        <f t="shared" si="6"/>
        <v>0</v>
      </c>
      <c r="V30" s="566">
        <f t="shared" si="7"/>
        <v>0</v>
      </c>
      <c r="W30" s="562" t="str">
        <f t="shared" si="8"/>
        <v/>
      </c>
      <c r="X30" s="563" t="str">
        <f t="shared" si="9"/>
        <v/>
      </c>
      <c r="Y30" s="563" t="str">
        <f t="shared" si="10"/>
        <v/>
      </c>
      <c r="Z30" s="563" t="str">
        <f t="shared" si="11"/>
        <v/>
      </c>
      <c r="AA30" s="563" t="str">
        <f t="shared" si="12"/>
        <v/>
      </c>
      <c r="AB30" s="563" t="str">
        <f t="shared" si="13"/>
        <v/>
      </c>
      <c r="AC30" s="563" t="str">
        <f t="shared" si="14"/>
        <v/>
      </c>
      <c r="AD30" s="563" t="str">
        <f t="shared" si="15"/>
        <v/>
      </c>
      <c r="AE30" s="563" t="str">
        <f t="shared" si="16"/>
        <v/>
      </c>
      <c r="AF30" s="563" t="str">
        <f t="shared" si="17"/>
        <v/>
      </c>
      <c r="AG30" s="563" t="str">
        <f t="shared" si="18"/>
        <v/>
      </c>
      <c r="AH30" s="563" t="str">
        <f t="shared" si="19"/>
        <v/>
      </c>
      <c r="AI30" s="564" t="str">
        <f t="shared" si="20"/>
        <v/>
      </c>
      <c r="AJ30" s="565">
        <f t="shared" si="61"/>
        <v>0</v>
      </c>
      <c r="AK30" s="517">
        <f t="shared" si="62"/>
        <v>0</v>
      </c>
      <c r="AL30" s="518">
        <f t="shared" si="21"/>
        <v>0</v>
      </c>
      <c r="AM30" s="518">
        <f t="shared" si="22"/>
        <v>0</v>
      </c>
      <c r="AN30" s="518">
        <f t="shared" si="23"/>
        <v>0</v>
      </c>
      <c r="AO30" s="518">
        <f t="shared" si="24"/>
        <v>0</v>
      </c>
      <c r="AP30" s="518">
        <f t="shared" si="25"/>
        <v>0</v>
      </c>
      <c r="AQ30" s="518">
        <f t="shared" si="26"/>
        <v>0</v>
      </c>
      <c r="AR30" s="518">
        <f t="shared" si="27"/>
        <v>0</v>
      </c>
      <c r="AS30" s="518">
        <f t="shared" si="28"/>
        <v>0</v>
      </c>
      <c r="AT30" s="518">
        <f t="shared" si="29"/>
        <v>0</v>
      </c>
      <c r="AU30" s="518">
        <f t="shared" si="30"/>
        <v>0</v>
      </c>
      <c r="AV30" s="563">
        <f t="shared" si="31"/>
        <v>0</v>
      </c>
      <c r="AW30" s="519">
        <f t="shared" si="32"/>
        <v>0</v>
      </c>
      <c r="AX30" s="508">
        <f t="shared" si="33"/>
        <v>0</v>
      </c>
      <c r="AY30" s="518">
        <f t="shared" si="34"/>
        <v>0</v>
      </c>
      <c r="AZ30" s="518">
        <f t="shared" si="35"/>
        <v>0</v>
      </c>
      <c r="BA30" s="518">
        <f t="shared" si="36"/>
        <v>0</v>
      </c>
      <c r="BB30" s="518">
        <f t="shared" si="37"/>
        <v>0</v>
      </c>
      <c r="BC30" s="518">
        <f t="shared" si="38"/>
        <v>0</v>
      </c>
      <c r="BD30" s="518">
        <f t="shared" si="39"/>
        <v>0</v>
      </c>
      <c r="BE30" s="518">
        <f t="shared" si="40"/>
        <v>0</v>
      </c>
      <c r="BF30" s="518">
        <f t="shared" si="41"/>
        <v>0</v>
      </c>
      <c r="BG30" s="518">
        <f t="shared" si="42"/>
        <v>0</v>
      </c>
      <c r="BH30" s="520">
        <f t="shared" si="43"/>
        <v>0</v>
      </c>
      <c r="BI30" s="563">
        <f t="shared" si="44"/>
        <v>0</v>
      </c>
      <c r="BJ30" s="521">
        <f t="shared" si="45"/>
        <v>0</v>
      </c>
      <c r="BK30" s="522">
        <f t="shared" si="46"/>
        <v>0</v>
      </c>
      <c r="BL30" s="512">
        <f t="shared" si="47"/>
        <v>0</v>
      </c>
      <c r="BM30" s="518">
        <f t="shared" si="48"/>
        <v>0</v>
      </c>
      <c r="BN30" s="518">
        <f t="shared" si="49"/>
        <v>0</v>
      </c>
      <c r="BO30" s="518">
        <f t="shared" si="50"/>
        <v>0</v>
      </c>
      <c r="BP30" s="518">
        <f t="shared" si="51"/>
        <v>0</v>
      </c>
      <c r="BQ30" s="518">
        <f t="shared" si="52"/>
        <v>0</v>
      </c>
      <c r="BR30" s="518">
        <f t="shared" si="53"/>
        <v>0</v>
      </c>
      <c r="BS30" s="518">
        <f t="shared" si="54"/>
        <v>0</v>
      </c>
      <c r="BT30" s="518">
        <f t="shared" si="55"/>
        <v>0</v>
      </c>
      <c r="BU30" s="518">
        <f t="shared" si="56"/>
        <v>0</v>
      </c>
      <c r="BV30" s="520">
        <f t="shared" si="57"/>
        <v>0</v>
      </c>
      <c r="BW30" s="563">
        <f t="shared" si="58"/>
        <v>0</v>
      </c>
      <c r="BX30" s="521">
        <f t="shared" si="66"/>
        <v>0</v>
      </c>
      <c r="BY30" s="513">
        <f t="shared" si="63"/>
        <v>0</v>
      </c>
      <c r="BZ30" s="514">
        <f t="array" ref="BZ30">SUMPRODUCT(AX31:BJ31,TRANSPOSE(EXP(-(IF($C$9=1,k_MSW,k_Indu)))))+SUM(AK30:AW30)</f>
        <v>0</v>
      </c>
      <c r="CA30" s="515">
        <f t="array" ref="CA30">SUMPRODUCT(AX31:BJ31,TRANSPOSE(1-EXP(-(IF($C$9=1,k_MSW,k_Indu)))))</f>
        <v>0</v>
      </c>
      <c r="CB30" s="516">
        <f t="shared" si="59"/>
        <v>0</v>
      </c>
    </row>
    <row r="31" spans="1:80" s="315" customFormat="1" ht="17.25" x14ac:dyDescent="0.3">
      <c r="A31" s="313"/>
      <c r="B31" s="316">
        <f t="shared" si="64"/>
        <v>1998</v>
      </c>
      <c r="C31" s="883"/>
      <c r="D31" s="884"/>
      <c r="E31" s="885"/>
      <c r="F31" s="885"/>
      <c r="G31" s="885"/>
      <c r="H31" s="885"/>
      <c r="I31" s="885"/>
      <c r="J31" s="885"/>
      <c r="K31" s="885"/>
      <c r="L31" s="885"/>
      <c r="M31" s="885"/>
      <c r="N31" s="886"/>
      <c r="O31" s="886"/>
      <c r="P31" s="889"/>
      <c r="Q31" s="890"/>
      <c r="R31" s="814">
        <f t="shared" si="65"/>
        <v>0</v>
      </c>
      <c r="S31" s="815">
        <f t="shared" si="60"/>
        <v>0</v>
      </c>
      <c r="T31" s="816">
        <f t="shared" si="5"/>
        <v>0</v>
      </c>
      <c r="U31" s="817">
        <f t="shared" si="6"/>
        <v>0</v>
      </c>
      <c r="V31" s="566">
        <f t="shared" si="7"/>
        <v>0</v>
      </c>
      <c r="W31" s="562" t="str">
        <f t="shared" si="8"/>
        <v/>
      </c>
      <c r="X31" s="563" t="str">
        <f t="shared" si="9"/>
        <v/>
      </c>
      <c r="Y31" s="563" t="str">
        <f t="shared" si="10"/>
        <v/>
      </c>
      <c r="Z31" s="563" t="str">
        <f t="shared" si="11"/>
        <v/>
      </c>
      <c r="AA31" s="563" t="str">
        <f t="shared" si="12"/>
        <v/>
      </c>
      <c r="AB31" s="563" t="str">
        <f t="shared" si="13"/>
        <v/>
      </c>
      <c r="AC31" s="563" t="str">
        <f t="shared" si="14"/>
        <v/>
      </c>
      <c r="AD31" s="563" t="str">
        <f t="shared" si="15"/>
        <v/>
      </c>
      <c r="AE31" s="563" t="str">
        <f t="shared" si="16"/>
        <v/>
      </c>
      <c r="AF31" s="563" t="str">
        <f t="shared" si="17"/>
        <v/>
      </c>
      <c r="AG31" s="563" t="str">
        <f t="shared" si="18"/>
        <v/>
      </c>
      <c r="AH31" s="563" t="str">
        <f t="shared" si="19"/>
        <v/>
      </c>
      <c r="AI31" s="564" t="str">
        <f t="shared" si="20"/>
        <v/>
      </c>
      <c r="AJ31" s="565">
        <f t="shared" si="61"/>
        <v>0</v>
      </c>
      <c r="AK31" s="517">
        <f t="shared" si="62"/>
        <v>0</v>
      </c>
      <c r="AL31" s="518">
        <f t="shared" si="21"/>
        <v>0</v>
      </c>
      <c r="AM31" s="518">
        <f t="shared" si="22"/>
        <v>0</v>
      </c>
      <c r="AN31" s="518">
        <f t="shared" si="23"/>
        <v>0</v>
      </c>
      <c r="AO31" s="518">
        <f t="shared" si="24"/>
        <v>0</v>
      </c>
      <c r="AP31" s="518">
        <f t="shared" si="25"/>
        <v>0</v>
      </c>
      <c r="AQ31" s="518">
        <f t="shared" si="26"/>
        <v>0</v>
      </c>
      <c r="AR31" s="518">
        <f t="shared" si="27"/>
        <v>0</v>
      </c>
      <c r="AS31" s="518">
        <f t="shared" si="28"/>
        <v>0</v>
      </c>
      <c r="AT31" s="518">
        <f t="shared" si="29"/>
        <v>0</v>
      </c>
      <c r="AU31" s="518">
        <f t="shared" si="30"/>
        <v>0</v>
      </c>
      <c r="AV31" s="563">
        <f t="shared" si="31"/>
        <v>0</v>
      </c>
      <c r="AW31" s="519">
        <f t="shared" si="32"/>
        <v>0</v>
      </c>
      <c r="AX31" s="508">
        <f t="shared" si="33"/>
        <v>0</v>
      </c>
      <c r="AY31" s="518">
        <f t="shared" si="34"/>
        <v>0</v>
      </c>
      <c r="AZ31" s="518">
        <f t="shared" si="35"/>
        <v>0</v>
      </c>
      <c r="BA31" s="518">
        <f t="shared" si="36"/>
        <v>0</v>
      </c>
      <c r="BB31" s="518">
        <f t="shared" si="37"/>
        <v>0</v>
      </c>
      <c r="BC31" s="518">
        <f t="shared" si="38"/>
        <v>0</v>
      </c>
      <c r="BD31" s="518">
        <f t="shared" si="39"/>
        <v>0</v>
      </c>
      <c r="BE31" s="518">
        <f t="shared" si="40"/>
        <v>0</v>
      </c>
      <c r="BF31" s="518">
        <f t="shared" si="41"/>
        <v>0</v>
      </c>
      <c r="BG31" s="518">
        <f t="shared" si="42"/>
        <v>0</v>
      </c>
      <c r="BH31" s="520">
        <f t="shared" si="43"/>
        <v>0</v>
      </c>
      <c r="BI31" s="563">
        <f t="shared" si="44"/>
        <v>0</v>
      </c>
      <c r="BJ31" s="521">
        <f t="shared" si="45"/>
        <v>0</v>
      </c>
      <c r="BK31" s="522">
        <f t="shared" si="46"/>
        <v>0</v>
      </c>
      <c r="BL31" s="512">
        <f t="shared" si="47"/>
        <v>0</v>
      </c>
      <c r="BM31" s="518">
        <f t="shared" si="48"/>
        <v>0</v>
      </c>
      <c r="BN31" s="518">
        <f t="shared" si="49"/>
        <v>0</v>
      </c>
      <c r="BO31" s="518">
        <f t="shared" si="50"/>
        <v>0</v>
      </c>
      <c r="BP31" s="518">
        <f t="shared" si="51"/>
        <v>0</v>
      </c>
      <c r="BQ31" s="518">
        <f t="shared" si="52"/>
        <v>0</v>
      </c>
      <c r="BR31" s="518">
        <f t="shared" si="53"/>
        <v>0</v>
      </c>
      <c r="BS31" s="518">
        <f t="shared" si="54"/>
        <v>0</v>
      </c>
      <c r="BT31" s="518">
        <f t="shared" si="55"/>
        <v>0</v>
      </c>
      <c r="BU31" s="518">
        <f t="shared" si="56"/>
        <v>0</v>
      </c>
      <c r="BV31" s="520">
        <f t="shared" si="57"/>
        <v>0</v>
      </c>
      <c r="BW31" s="563">
        <f t="shared" si="58"/>
        <v>0</v>
      </c>
      <c r="BX31" s="521">
        <f t="shared" si="66"/>
        <v>0</v>
      </c>
      <c r="BY31" s="513">
        <f t="shared" si="63"/>
        <v>0</v>
      </c>
      <c r="BZ31" s="514">
        <f t="array" ref="BZ31">SUMPRODUCT(AX32:BJ32,TRANSPOSE(EXP(-(IF($C$9=1,k_MSW,k_Indu)))))+SUM(AK31:AW31)</f>
        <v>0</v>
      </c>
      <c r="CA31" s="515">
        <f t="array" ref="CA31">SUMPRODUCT(AX32:BJ32,TRANSPOSE(1-EXP(-(IF($C$9=1,k_MSW,k_Indu)))))</f>
        <v>0</v>
      </c>
      <c r="CB31" s="516">
        <f t="shared" si="59"/>
        <v>0</v>
      </c>
    </row>
    <row r="32" spans="1:80" s="315" customFormat="1" ht="17.25" x14ac:dyDescent="0.3">
      <c r="A32" s="313"/>
      <c r="B32" s="316">
        <f t="shared" si="64"/>
        <v>1997</v>
      </c>
      <c r="C32" s="883"/>
      <c r="D32" s="884"/>
      <c r="E32" s="885"/>
      <c r="F32" s="885"/>
      <c r="G32" s="885"/>
      <c r="H32" s="885"/>
      <c r="I32" s="885"/>
      <c r="J32" s="885"/>
      <c r="K32" s="885"/>
      <c r="L32" s="885"/>
      <c r="M32" s="885"/>
      <c r="N32" s="886"/>
      <c r="O32" s="886"/>
      <c r="P32" s="889"/>
      <c r="Q32" s="890"/>
      <c r="R32" s="814">
        <f t="shared" si="65"/>
        <v>0</v>
      </c>
      <c r="S32" s="815">
        <f t="shared" si="60"/>
        <v>0</v>
      </c>
      <c r="T32" s="816">
        <f t="shared" si="5"/>
        <v>0</v>
      </c>
      <c r="U32" s="817">
        <f t="shared" si="6"/>
        <v>0</v>
      </c>
      <c r="V32" s="566">
        <f t="shared" si="7"/>
        <v>0</v>
      </c>
      <c r="W32" s="562" t="str">
        <f t="shared" si="8"/>
        <v/>
      </c>
      <c r="X32" s="563" t="str">
        <f t="shared" si="9"/>
        <v/>
      </c>
      <c r="Y32" s="563" t="str">
        <f t="shared" si="10"/>
        <v/>
      </c>
      <c r="Z32" s="563" t="str">
        <f t="shared" si="11"/>
        <v/>
      </c>
      <c r="AA32" s="563" t="str">
        <f t="shared" si="12"/>
        <v/>
      </c>
      <c r="AB32" s="563" t="str">
        <f t="shared" si="13"/>
        <v/>
      </c>
      <c r="AC32" s="563" t="str">
        <f t="shared" si="14"/>
        <v/>
      </c>
      <c r="AD32" s="563" t="str">
        <f t="shared" si="15"/>
        <v/>
      </c>
      <c r="AE32" s="563" t="str">
        <f t="shared" si="16"/>
        <v/>
      </c>
      <c r="AF32" s="563" t="str">
        <f t="shared" si="17"/>
        <v/>
      </c>
      <c r="AG32" s="563" t="str">
        <f t="shared" si="18"/>
        <v/>
      </c>
      <c r="AH32" s="563" t="str">
        <f t="shared" si="19"/>
        <v/>
      </c>
      <c r="AI32" s="564" t="str">
        <f t="shared" si="20"/>
        <v/>
      </c>
      <c r="AJ32" s="565">
        <f t="shared" si="61"/>
        <v>0</v>
      </c>
      <c r="AK32" s="517">
        <f t="shared" si="62"/>
        <v>0</v>
      </c>
      <c r="AL32" s="518">
        <f t="shared" si="21"/>
        <v>0</v>
      </c>
      <c r="AM32" s="518">
        <f t="shared" si="22"/>
        <v>0</v>
      </c>
      <c r="AN32" s="518">
        <f t="shared" si="23"/>
        <v>0</v>
      </c>
      <c r="AO32" s="518">
        <f t="shared" si="24"/>
        <v>0</v>
      </c>
      <c r="AP32" s="518">
        <f t="shared" si="25"/>
        <v>0</v>
      </c>
      <c r="AQ32" s="518">
        <f t="shared" si="26"/>
        <v>0</v>
      </c>
      <c r="AR32" s="518">
        <f t="shared" si="27"/>
        <v>0</v>
      </c>
      <c r="AS32" s="518">
        <f t="shared" si="28"/>
        <v>0</v>
      </c>
      <c r="AT32" s="518">
        <f t="shared" si="29"/>
        <v>0</v>
      </c>
      <c r="AU32" s="518">
        <f t="shared" si="30"/>
        <v>0</v>
      </c>
      <c r="AV32" s="563">
        <f t="shared" si="31"/>
        <v>0</v>
      </c>
      <c r="AW32" s="519">
        <f t="shared" si="32"/>
        <v>0</v>
      </c>
      <c r="AX32" s="508">
        <f t="shared" si="33"/>
        <v>0</v>
      </c>
      <c r="AY32" s="518">
        <f t="shared" si="34"/>
        <v>0</v>
      </c>
      <c r="AZ32" s="518">
        <f t="shared" si="35"/>
        <v>0</v>
      </c>
      <c r="BA32" s="518">
        <f t="shared" si="36"/>
        <v>0</v>
      </c>
      <c r="BB32" s="518">
        <f t="shared" si="37"/>
        <v>0</v>
      </c>
      <c r="BC32" s="518">
        <f t="shared" si="38"/>
        <v>0</v>
      </c>
      <c r="BD32" s="518">
        <f t="shared" si="39"/>
        <v>0</v>
      </c>
      <c r="BE32" s="518">
        <f t="shared" si="40"/>
        <v>0</v>
      </c>
      <c r="BF32" s="518">
        <f t="shared" si="41"/>
        <v>0</v>
      </c>
      <c r="BG32" s="518">
        <f t="shared" si="42"/>
        <v>0</v>
      </c>
      <c r="BH32" s="520">
        <f t="shared" si="43"/>
        <v>0</v>
      </c>
      <c r="BI32" s="563">
        <f t="shared" si="44"/>
        <v>0</v>
      </c>
      <c r="BJ32" s="521">
        <f t="shared" si="45"/>
        <v>0</v>
      </c>
      <c r="BK32" s="522">
        <f t="shared" si="46"/>
        <v>0</v>
      </c>
      <c r="BL32" s="512">
        <f t="shared" si="47"/>
        <v>0</v>
      </c>
      <c r="BM32" s="518">
        <f t="shared" si="48"/>
        <v>0</v>
      </c>
      <c r="BN32" s="518">
        <f t="shared" si="49"/>
        <v>0</v>
      </c>
      <c r="BO32" s="518">
        <f t="shared" si="50"/>
        <v>0</v>
      </c>
      <c r="BP32" s="518">
        <f t="shared" si="51"/>
        <v>0</v>
      </c>
      <c r="BQ32" s="518">
        <f t="shared" si="52"/>
        <v>0</v>
      </c>
      <c r="BR32" s="518">
        <f t="shared" si="53"/>
        <v>0</v>
      </c>
      <c r="BS32" s="518">
        <f t="shared" si="54"/>
        <v>0</v>
      </c>
      <c r="BT32" s="518">
        <f t="shared" si="55"/>
        <v>0</v>
      </c>
      <c r="BU32" s="518">
        <f t="shared" si="56"/>
        <v>0</v>
      </c>
      <c r="BV32" s="520">
        <f t="shared" si="57"/>
        <v>0</v>
      </c>
      <c r="BW32" s="563">
        <f t="shared" si="58"/>
        <v>0</v>
      </c>
      <c r="BX32" s="521">
        <f t="shared" si="66"/>
        <v>0</v>
      </c>
      <c r="BY32" s="513">
        <f t="shared" si="63"/>
        <v>0</v>
      </c>
      <c r="BZ32" s="514">
        <f t="array" ref="BZ32">SUMPRODUCT(AX33:BJ33,TRANSPOSE(EXP(-(IF($C$9=1,k_MSW,k_Indu)))))+SUM(AK32:AW32)</f>
        <v>0</v>
      </c>
      <c r="CA32" s="515">
        <f t="array" ref="CA32">SUMPRODUCT(AX33:BJ33,TRANSPOSE(1-EXP(-(IF($C$9=1,k_MSW,k_Indu)))))</f>
        <v>0</v>
      </c>
      <c r="CB32" s="516">
        <f t="shared" si="59"/>
        <v>0</v>
      </c>
    </row>
    <row r="33" spans="1:80" s="315" customFormat="1" ht="17.25" x14ac:dyDescent="0.3">
      <c r="A33" s="313"/>
      <c r="B33" s="316">
        <f t="shared" si="64"/>
        <v>1996</v>
      </c>
      <c r="C33" s="883"/>
      <c r="D33" s="884"/>
      <c r="E33" s="885"/>
      <c r="F33" s="885"/>
      <c r="G33" s="885"/>
      <c r="H33" s="885"/>
      <c r="I33" s="885"/>
      <c r="J33" s="885"/>
      <c r="K33" s="885"/>
      <c r="L33" s="885"/>
      <c r="M33" s="885"/>
      <c r="N33" s="886"/>
      <c r="O33" s="886"/>
      <c r="P33" s="889"/>
      <c r="Q33" s="890"/>
      <c r="R33" s="814">
        <f t="shared" si="65"/>
        <v>0</v>
      </c>
      <c r="S33" s="815">
        <f t="shared" si="60"/>
        <v>0</v>
      </c>
      <c r="T33" s="816">
        <f t="shared" si="5"/>
        <v>0</v>
      </c>
      <c r="U33" s="817">
        <f t="shared" si="6"/>
        <v>0</v>
      </c>
      <c r="V33" s="566">
        <f t="shared" si="7"/>
        <v>0</v>
      </c>
      <c r="W33" s="562" t="str">
        <f t="shared" si="8"/>
        <v/>
      </c>
      <c r="X33" s="563" t="str">
        <f t="shared" si="9"/>
        <v/>
      </c>
      <c r="Y33" s="563" t="str">
        <f t="shared" si="10"/>
        <v/>
      </c>
      <c r="Z33" s="563" t="str">
        <f t="shared" si="11"/>
        <v/>
      </c>
      <c r="AA33" s="563" t="str">
        <f t="shared" si="12"/>
        <v/>
      </c>
      <c r="AB33" s="563" t="str">
        <f t="shared" si="13"/>
        <v/>
      </c>
      <c r="AC33" s="563" t="str">
        <f t="shared" si="14"/>
        <v/>
      </c>
      <c r="AD33" s="563" t="str">
        <f t="shared" si="15"/>
        <v/>
      </c>
      <c r="AE33" s="563" t="str">
        <f t="shared" si="16"/>
        <v/>
      </c>
      <c r="AF33" s="563" t="str">
        <f t="shared" si="17"/>
        <v/>
      </c>
      <c r="AG33" s="563" t="str">
        <f t="shared" si="18"/>
        <v/>
      </c>
      <c r="AH33" s="563" t="str">
        <f t="shared" si="19"/>
        <v/>
      </c>
      <c r="AI33" s="564" t="str">
        <f t="shared" si="20"/>
        <v/>
      </c>
      <c r="AJ33" s="565">
        <f t="shared" si="61"/>
        <v>0</v>
      </c>
      <c r="AK33" s="517">
        <f t="shared" si="62"/>
        <v>0</v>
      </c>
      <c r="AL33" s="518">
        <f t="shared" si="21"/>
        <v>0</v>
      </c>
      <c r="AM33" s="518">
        <f t="shared" si="22"/>
        <v>0</v>
      </c>
      <c r="AN33" s="518">
        <f t="shared" si="23"/>
        <v>0</v>
      </c>
      <c r="AO33" s="518">
        <f t="shared" si="24"/>
        <v>0</v>
      </c>
      <c r="AP33" s="518">
        <f t="shared" si="25"/>
        <v>0</v>
      </c>
      <c r="AQ33" s="518">
        <f t="shared" si="26"/>
        <v>0</v>
      </c>
      <c r="AR33" s="518">
        <f t="shared" si="27"/>
        <v>0</v>
      </c>
      <c r="AS33" s="518">
        <f t="shared" si="28"/>
        <v>0</v>
      </c>
      <c r="AT33" s="518">
        <f t="shared" si="29"/>
        <v>0</v>
      </c>
      <c r="AU33" s="518">
        <f t="shared" si="30"/>
        <v>0</v>
      </c>
      <c r="AV33" s="563">
        <f t="shared" si="31"/>
        <v>0</v>
      </c>
      <c r="AW33" s="519">
        <f t="shared" si="32"/>
        <v>0</v>
      </c>
      <c r="AX33" s="508">
        <f t="shared" si="33"/>
        <v>0</v>
      </c>
      <c r="AY33" s="518">
        <f t="shared" si="34"/>
        <v>0</v>
      </c>
      <c r="AZ33" s="518">
        <f t="shared" si="35"/>
        <v>0</v>
      </c>
      <c r="BA33" s="518">
        <f t="shared" si="36"/>
        <v>0</v>
      </c>
      <c r="BB33" s="518">
        <f t="shared" si="37"/>
        <v>0</v>
      </c>
      <c r="BC33" s="518">
        <f t="shared" si="38"/>
        <v>0</v>
      </c>
      <c r="BD33" s="518">
        <f t="shared" si="39"/>
        <v>0</v>
      </c>
      <c r="BE33" s="518">
        <f t="shared" si="40"/>
        <v>0</v>
      </c>
      <c r="BF33" s="518">
        <f t="shared" si="41"/>
        <v>0</v>
      </c>
      <c r="BG33" s="518">
        <f t="shared" si="42"/>
        <v>0</v>
      </c>
      <c r="BH33" s="520">
        <f t="shared" si="43"/>
        <v>0</v>
      </c>
      <c r="BI33" s="563">
        <f t="shared" si="44"/>
        <v>0</v>
      </c>
      <c r="BJ33" s="521">
        <f t="shared" si="45"/>
        <v>0</v>
      </c>
      <c r="BK33" s="522">
        <f t="shared" si="46"/>
        <v>0</v>
      </c>
      <c r="BL33" s="512">
        <f t="shared" si="47"/>
        <v>0</v>
      </c>
      <c r="BM33" s="518">
        <f t="shared" si="48"/>
        <v>0</v>
      </c>
      <c r="BN33" s="518">
        <f t="shared" si="49"/>
        <v>0</v>
      </c>
      <c r="BO33" s="518">
        <f t="shared" si="50"/>
        <v>0</v>
      </c>
      <c r="BP33" s="518">
        <f t="shared" si="51"/>
        <v>0</v>
      </c>
      <c r="BQ33" s="518">
        <f t="shared" si="52"/>
        <v>0</v>
      </c>
      <c r="BR33" s="518">
        <f t="shared" si="53"/>
        <v>0</v>
      </c>
      <c r="BS33" s="518">
        <f t="shared" si="54"/>
        <v>0</v>
      </c>
      <c r="BT33" s="518">
        <f t="shared" si="55"/>
        <v>0</v>
      </c>
      <c r="BU33" s="518">
        <f t="shared" si="56"/>
        <v>0</v>
      </c>
      <c r="BV33" s="520">
        <f t="shared" si="57"/>
        <v>0</v>
      </c>
      <c r="BW33" s="563">
        <f t="shared" si="58"/>
        <v>0</v>
      </c>
      <c r="BX33" s="521">
        <f t="shared" si="66"/>
        <v>0</v>
      </c>
      <c r="BY33" s="513">
        <f t="shared" si="63"/>
        <v>0</v>
      </c>
      <c r="BZ33" s="514">
        <f t="array" ref="BZ33">SUMPRODUCT(AX34:BJ34,TRANSPOSE(EXP(-(IF($C$9=1,k_MSW,k_Indu)))))+SUM(AK33:AW33)</f>
        <v>0</v>
      </c>
      <c r="CA33" s="515">
        <f t="array" ref="CA33">SUMPRODUCT(AX34:BJ34,TRANSPOSE(1-EXP(-(IF($C$9=1,k_MSW,k_Indu)))))</f>
        <v>0</v>
      </c>
      <c r="CB33" s="516">
        <f t="shared" si="59"/>
        <v>0</v>
      </c>
    </row>
    <row r="34" spans="1:80" s="315" customFormat="1" ht="17.25" x14ac:dyDescent="0.3">
      <c r="A34" s="313"/>
      <c r="B34" s="316">
        <f t="shared" si="64"/>
        <v>1995</v>
      </c>
      <c r="C34" s="883"/>
      <c r="D34" s="884"/>
      <c r="E34" s="885"/>
      <c r="F34" s="885"/>
      <c r="G34" s="885"/>
      <c r="H34" s="885"/>
      <c r="I34" s="885"/>
      <c r="J34" s="885"/>
      <c r="K34" s="885"/>
      <c r="L34" s="885"/>
      <c r="M34" s="885"/>
      <c r="N34" s="886"/>
      <c r="O34" s="886"/>
      <c r="P34" s="889"/>
      <c r="Q34" s="890"/>
      <c r="R34" s="814">
        <f t="shared" si="65"/>
        <v>0</v>
      </c>
      <c r="S34" s="815">
        <f t="shared" si="60"/>
        <v>0</v>
      </c>
      <c r="T34" s="816">
        <f t="shared" si="5"/>
        <v>0</v>
      </c>
      <c r="U34" s="817">
        <f t="shared" si="6"/>
        <v>0</v>
      </c>
      <c r="V34" s="566">
        <f t="shared" si="7"/>
        <v>0</v>
      </c>
      <c r="W34" s="562" t="str">
        <f t="shared" si="8"/>
        <v/>
      </c>
      <c r="X34" s="563" t="str">
        <f t="shared" si="9"/>
        <v/>
      </c>
      <c r="Y34" s="563" t="str">
        <f t="shared" si="10"/>
        <v/>
      </c>
      <c r="Z34" s="563" t="str">
        <f t="shared" si="11"/>
        <v/>
      </c>
      <c r="AA34" s="563" t="str">
        <f t="shared" si="12"/>
        <v/>
      </c>
      <c r="AB34" s="563" t="str">
        <f t="shared" si="13"/>
        <v/>
      </c>
      <c r="AC34" s="563" t="str">
        <f t="shared" si="14"/>
        <v/>
      </c>
      <c r="AD34" s="563" t="str">
        <f t="shared" si="15"/>
        <v/>
      </c>
      <c r="AE34" s="563" t="str">
        <f t="shared" si="16"/>
        <v/>
      </c>
      <c r="AF34" s="563" t="str">
        <f t="shared" si="17"/>
        <v/>
      </c>
      <c r="AG34" s="563" t="str">
        <f t="shared" si="18"/>
        <v/>
      </c>
      <c r="AH34" s="563" t="str">
        <f t="shared" si="19"/>
        <v/>
      </c>
      <c r="AI34" s="564" t="str">
        <f t="shared" si="20"/>
        <v/>
      </c>
      <c r="AJ34" s="565">
        <f t="shared" si="61"/>
        <v>0</v>
      </c>
      <c r="AK34" s="517">
        <f t="shared" si="62"/>
        <v>0</v>
      </c>
      <c r="AL34" s="518">
        <f t="shared" si="21"/>
        <v>0</v>
      </c>
      <c r="AM34" s="518">
        <f t="shared" si="22"/>
        <v>0</v>
      </c>
      <c r="AN34" s="518">
        <f t="shared" si="23"/>
        <v>0</v>
      </c>
      <c r="AO34" s="518">
        <f t="shared" si="24"/>
        <v>0</v>
      </c>
      <c r="AP34" s="518">
        <f t="shared" si="25"/>
        <v>0</v>
      </c>
      <c r="AQ34" s="518">
        <f t="shared" si="26"/>
        <v>0</v>
      </c>
      <c r="AR34" s="518">
        <f t="shared" si="27"/>
        <v>0</v>
      </c>
      <c r="AS34" s="518">
        <f t="shared" si="28"/>
        <v>0</v>
      </c>
      <c r="AT34" s="518">
        <f t="shared" si="29"/>
        <v>0</v>
      </c>
      <c r="AU34" s="518">
        <f t="shared" si="30"/>
        <v>0</v>
      </c>
      <c r="AV34" s="563">
        <f t="shared" si="31"/>
        <v>0</v>
      </c>
      <c r="AW34" s="519">
        <f t="shared" si="32"/>
        <v>0</v>
      </c>
      <c r="AX34" s="508">
        <f t="shared" si="33"/>
        <v>0</v>
      </c>
      <c r="AY34" s="518">
        <f t="shared" si="34"/>
        <v>0</v>
      </c>
      <c r="AZ34" s="518">
        <f t="shared" si="35"/>
        <v>0</v>
      </c>
      <c r="BA34" s="518">
        <f t="shared" si="36"/>
        <v>0</v>
      </c>
      <c r="BB34" s="518">
        <f t="shared" si="37"/>
        <v>0</v>
      </c>
      <c r="BC34" s="518">
        <f t="shared" si="38"/>
        <v>0</v>
      </c>
      <c r="BD34" s="518">
        <f t="shared" si="39"/>
        <v>0</v>
      </c>
      <c r="BE34" s="518">
        <f t="shared" si="40"/>
        <v>0</v>
      </c>
      <c r="BF34" s="518">
        <f t="shared" si="41"/>
        <v>0</v>
      </c>
      <c r="BG34" s="518">
        <f t="shared" si="42"/>
        <v>0</v>
      </c>
      <c r="BH34" s="520">
        <f t="shared" si="43"/>
        <v>0</v>
      </c>
      <c r="BI34" s="563">
        <f t="shared" si="44"/>
        <v>0</v>
      </c>
      <c r="BJ34" s="521">
        <f t="shared" si="45"/>
        <v>0</v>
      </c>
      <c r="BK34" s="522">
        <f t="shared" si="46"/>
        <v>0</v>
      </c>
      <c r="BL34" s="512">
        <f t="shared" si="47"/>
        <v>0</v>
      </c>
      <c r="BM34" s="518">
        <f t="shared" si="48"/>
        <v>0</v>
      </c>
      <c r="BN34" s="518">
        <f t="shared" si="49"/>
        <v>0</v>
      </c>
      <c r="BO34" s="518">
        <f t="shared" si="50"/>
        <v>0</v>
      </c>
      <c r="BP34" s="518">
        <f t="shared" si="51"/>
        <v>0</v>
      </c>
      <c r="BQ34" s="518">
        <f t="shared" si="52"/>
        <v>0</v>
      </c>
      <c r="BR34" s="518">
        <f t="shared" si="53"/>
        <v>0</v>
      </c>
      <c r="BS34" s="518">
        <f t="shared" si="54"/>
        <v>0</v>
      </c>
      <c r="BT34" s="518">
        <f t="shared" si="55"/>
        <v>0</v>
      </c>
      <c r="BU34" s="518">
        <f t="shared" si="56"/>
        <v>0</v>
      </c>
      <c r="BV34" s="520">
        <f t="shared" si="57"/>
        <v>0</v>
      </c>
      <c r="BW34" s="563">
        <f t="shared" si="58"/>
        <v>0</v>
      </c>
      <c r="BX34" s="521">
        <f t="shared" si="66"/>
        <v>0</v>
      </c>
      <c r="BY34" s="513">
        <f t="shared" si="63"/>
        <v>0</v>
      </c>
      <c r="BZ34" s="514">
        <f t="array" ref="BZ34">SUMPRODUCT(AX35:BJ35,TRANSPOSE(EXP(-(IF($C$9=1,k_MSW,k_Indu)))))+SUM(AK34:AW34)</f>
        <v>0</v>
      </c>
      <c r="CA34" s="515">
        <f t="array" ref="CA34">SUMPRODUCT(AX35:BJ35,TRANSPOSE(1-EXP(-(IF($C$9=1,k_MSW,k_Indu)))))</f>
        <v>0</v>
      </c>
      <c r="CB34" s="516">
        <f t="shared" si="59"/>
        <v>0</v>
      </c>
    </row>
    <row r="35" spans="1:80" s="315" customFormat="1" ht="17.25" x14ac:dyDescent="0.3">
      <c r="A35" s="313"/>
      <c r="B35" s="316">
        <f t="shared" si="64"/>
        <v>1994</v>
      </c>
      <c r="C35" s="883"/>
      <c r="D35" s="884"/>
      <c r="E35" s="885"/>
      <c r="F35" s="885"/>
      <c r="G35" s="885"/>
      <c r="H35" s="885"/>
      <c r="I35" s="885"/>
      <c r="J35" s="885"/>
      <c r="K35" s="885"/>
      <c r="L35" s="885"/>
      <c r="M35" s="885"/>
      <c r="N35" s="886"/>
      <c r="O35" s="886"/>
      <c r="P35" s="889"/>
      <c r="Q35" s="890"/>
      <c r="R35" s="814">
        <f t="shared" si="65"/>
        <v>0</v>
      </c>
      <c r="S35" s="815">
        <f t="shared" si="60"/>
        <v>0</v>
      </c>
      <c r="T35" s="816">
        <f t="shared" si="5"/>
        <v>0</v>
      </c>
      <c r="U35" s="817">
        <f t="shared" si="6"/>
        <v>0</v>
      </c>
      <c r="V35" s="566">
        <f t="shared" si="7"/>
        <v>0</v>
      </c>
      <c r="W35" s="562" t="str">
        <f t="shared" si="8"/>
        <v/>
      </c>
      <c r="X35" s="563" t="str">
        <f t="shared" si="9"/>
        <v/>
      </c>
      <c r="Y35" s="563" t="str">
        <f t="shared" si="10"/>
        <v/>
      </c>
      <c r="Z35" s="563" t="str">
        <f t="shared" si="11"/>
        <v/>
      </c>
      <c r="AA35" s="563" t="str">
        <f t="shared" si="12"/>
        <v/>
      </c>
      <c r="AB35" s="563" t="str">
        <f t="shared" si="13"/>
        <v/>
      </c>
      <c r="AC35" s="563" t="str">
        <f t="shared" si="14"/>
        <v/>
      </c>
      <c r="AD35" s="563" t="str">
        <f t="shared" si="15"/>
        <v/>
      </c>
      <c r="AE35" s="563" t="str">
        <f t="shared" si="16"/>
        <v/>
      </c>
      <c r="AF35" s="563" t="str">
        <f t="shared" si="17"/>
        <v/>
      </c>
      <c r="AG35" s="563" t="str">
        <f t="shared" si="18"/>
        <v/>
      </c>
      <c r="AH35" s="563" t="str">
        <f t="shared" si="19"/>
        <v/>
      </c>
      <c r="AI35" s="564" t="str">
        <f t="shared" si="20"/>
        <v/>
      </c>
      <c r="AJ35" s="565">
        <f t="shared" si="61"/>
        <v>0</v>
      </c>
      <c r="AK35" s="517">
        <f t="shared" si="62"/>
        <v>0</v>
      </c>
      <c r="AL35" s="518">
        <f t="shared" si="21"/>
        <v>0</v>
      </c>
      <c r="AM35" s="518">
        <f t="shared" si="22"/>
        <v>0</v>
      </c>
      <c r="AN35" s="518">
        <f t="shared" si="23"/>
        <v>0</v>
      </c>
      <c r="AO35" s="518">
        <f t="shared" si="24"/>
        <v>0</v>
      </c>
      <c r="AP35" s="518">
        <f t="shared" si="25"/>
        <v>0</v>
      </c>
      <c r="AQ35" s="518">
        <f t="shared" si="26"/>
        <v>0</v>
      </c>
      <c r="AR35" s="518">
        <f t="shared" si="27"/>
        <v>0</v>
      </c>
      <c r="AS35" s="518">
        <f t="shared" si="28"/>
        <v>0</v>
      </c>
      <c r="AT35" s="518">
        <f t="shared" si="29"/>
        <v>0</v>
      </c>
      <c r="AU35" s="518">
        <f t="shared" si="30"/>
        <v>0</v>
      </c>
      <c r="AV35" s="563">
        <f t="shared" si="31"/>
        <v>0</v>
      </c>
      <c r="AW35" s="519">
        <f t="shared" si="32"/>
        <v>0</v>
      </c>
      <c r="AX35" s="508">
        <f t="shared" si="33"/>
        <v>0</v>
      </c>
      <c r="AY35" s="518">
        <f t="shared" si="34"/>
        <v>0</v>
      </c>
      <c r="AZ35" s="518">
        <f t="shared" si="35"/>
        <v>0</v>
      </c>
      <c r="BA35" s="518">
        <f t="shared" si="36"/>
        <v>0</v>
      </c>
      <c r="BB35" s="518">
        <f t="shared" si="37"/>
        <v>0</v>
      </c>
      <c r="BC35" s="518">
        <f t="shared" si="38"/>
        <v>0</v>
      </c>
      <c r="BD35" s="518">
        <f t="shared" si="39"/>
        <v>0</v>
      </c>
      <c r="BE35" s="518">
        <f t="shared" si="40"/>
        <v>0</v>
      </c>
      <c r="BF35" s="518">
        <f t="shared" si="41"/>
        <v>0</v>
      </c>
      <c r="BG35" s="518">
        <f t="shared" si="42"/>
        <v>0</v>
      </c>
      <c r="BH35" s="520">
        <f t="shared" si="43"/>
        <v>0</v>
      </c>
      <c r="BI35" s="563">
        <f t="shared" si="44"/>
        <v>0</v>
      </c>
      <c r="BJ35" s="521">
        <f t="shared" si="45"/>
        <v>0</v>
      </c>
      <c r="BK35" s="522">
        <f t="shared" si="46"/>
        <v>0</v>
      </c>
      <c r="BL35" s="512">
        <f t="shared" si="47"/>
        <v>0</v>
      </c>
      <c r="BM35" s="518">
        <f t="shared" si="48"/>
        <v>0</v>
      </c>
      <c r="BN35" s="518">
        <f t="shared" si="49"/>
        <v>0</v>
      </c>
      <c r="BO35" s="518">
        <f t="shared" si="50"/>
        <v>0</v>
      </c>
      <c r="BP35" s="518">
        <f t="shared" si="51"/>
        <v>0</v>
      </c>
      <c r="BQ35" s="518">
        <f t="shared" si="52"/>
        <v>0</v>
      </c>
      <c r="BR35" s="518">
        <f t="shared" si="53"/>
        <v>0</v>
      </c>
      <c r="BS35" s="518">
        <f t="shared" si="54"/>
        <v>0</v>
      </c>
      <c r="BT35" s="518">
        <f t="shared" si="55"/>
        <v>0</v>
      </c>
      <c r="BU35" s="518">
        <f t="shared" si="56"/>
        <v>0</v>
      </c>
      <c r="BV35" s="520">
        <f t="shared" si="57"/>
        <v>0</v>
      </c>
      <c r="BW35" s="563">
        <f t="shared" si="58"/>
        <v>0</v>
      </c>
      <c r="BX35" s="521">
        <f t="shared" si="66"/>
        <v>0</v>
      </c>
      <c r="BY35" s="513">
        <f t="shared" si="63"/>
        <v>0</v>
      </c>
      <c r="BZ35" s="514">
        <f t="array" ref="BZ35">SUMPRODUCT(AX36:BJ36,TRANSPOSE(EXP(-(IF($C$9=1,k_MSW,k_Indu)))))+SUM(AK35:AW35)</f>
        <v>0</v>
      </c>
      <c r="CA35" s="515">
        <f t="array" ref="CA35">SUMPRODUCT(AX36:BJ36,TRANSPOSE(1-EXP(-(IF($C$9=1,k_MSW,k_Indu)))))</f>
        <v>0</v>
      </c>
      <c r="CB35" s="516">
        <f t="shared" si="59"/>
        <v>0</v>
      </c>
    </row>
    <row r="36" spans="1:80" s="315" customFormat="1" ht="17.25" x14ac:dyDescent="0.3">
      <c r="A36" s="313"/>
      <c r="B36" s="316">
        <f t="shared" si="64"/>
        <v>1993</v>
      </c>
      <c r="C36" s="883"/>
      <c r="D36" s="884"/>
      <c r="E36" s="885"/>
      <c r="F36" s="885"/>
      <c r="G36" s="885"/>
      <c r="H36" s="885"/>
      <c r="I36" s="885"/>
      <c r="J36" s="885"/>
      <c r="K36" s="885"/>
      <c r="L36" s="885"/>
      <c r="M36" s="885"/>
      <c r="N36" s="886"/>
      <c r="O36" s="886"/>
      <c r="P36" s="889"/>
      <c r="Q36" s="890"/>
      <c r="R36" s="814">
        <f t="shared" si="65"/>
        <v>0</v>
      </c>
      <c r="S36" s="815">
        <f t="shared" si="60"/>
        <v>0</v>
      </c>
      <c r="T36" s="816">
        <f t="shared" si="5"/>
        <v>0</v>
      </c>
      <c r="U36" s="817">
        <f t="shared" si="6"/>
        <v>0</v>
      </c>
      <c r="V36" s="566">
        <f t="shared" si="7"/>
        <v>0</v>
      </c>
      <c r="W36" s="562" t="str">
        <f t="shared" si="8"/>
        <v/>
      </c>
      <c r="X36" s="563" t="str">
        <f t="shared" si="9"/>
        <v/>
      </c>
      <c r="Y36" s="563" t="str">
        <f t="shared" si="10"/>
        <v/>
      </c>
      <c r="Z36" s="563" t="str">
        <f t="shared" si="11"/>
        <v/>
      </c>
      <c r="AA36" s="563" t="str">
        <f t="shared" si="12"/>
        <v/>
      </c>
      <c r="AB36" s="563" t="str">
        <f t="shared" si="13"/>
        <v/>
      </c>
      <c r="AC36" s="563" t="str">
        <f t="shared" si="14"/>
        <v/>
      </c>
      <c r="AD36" s="563" t="str">
        <f t="shared" si="15"/>
        <v/>
      </c>
      <c r="AE36" s="563" t="str">
        <f t="shared" si="16"/>
        <v/>
      </c>
      <c r="AF36" s="563" t="str">
        <f t="shared" si="17"/>
        <v/>
      </c>
      <c r="AG36" s="563" t="str">
        <f t="shared" si="18"/>
        <v/>
      </c>
      <c r="AH36" s="563" t="str">
        <f t="shared" si="19"/>
        <v/>
      </c>
      <c r="AI36" s="564" t="str">
        <f t="shared" si="20"/>
        <v/>
      </c>
      <c r="AJ36" s="565">
        <f t="shared" si="61"/>
        <v>0</v>
      </c>
      <c r="AK36" s="517">
        <f t="shared" si="62"/>
        <v>0</v>
      </c>
      <c r="AL36" s="518">
        <f t="shared" si="21"/>
        <v>0</v>
      </c>
      <c r="AM36" s="518">
        <f t="shared" si="22"/>
        <v>0</v>
      </c>
      <c r="AN36" s="518">
        <f t="shared" si="23"/>
        <v>0</v>
      </c>
      <c r="AO36" s="518">
        <f t="shared" si="24"/>
        <v>0</v>
      </c>
      <c r="AP36" s="518">
        <f t="shared" si="25"/>
        <v>0</v>
      </c>
      <c r="AQ36" s="518">
        <f t="shared" si="26"/>
        <v>0</v>
      </c>
      <c r="AR36" s="518">
        <f t="shared" si="27"/>
        <v>0</v>
      </c>
      <c r="AS36" s="518">
        <f t="shared" si="28"/>
        <v>0</v>
      </c>
      <c r="AT36" s="518">
        <f t="shared" si="29"/>
        <v>0</v>
      </c>
      <c r="AU36" s="518">
        <f t="shared" si="30"/>
        <v>0</v>
      </c>
      <c r="AV36" s="563">
        <f t="shared" si="31"/>
        <v>0</v>
      </c>
      <c r="AW36" s="519">
        <f t="shared" si="32"/>
        <v>0</v>
      </c>
      <c r="AX36" s="508">
        <f t="shared" si="33"/>
        <v>0</v>
      </c>
      <c r="AY36" s="518">
        <f t="shared" si="34"/>
        <v>0</v>
      </c>
      <c r="AZ36" s="518">
        <f t="shared" si="35"/>
        <v>0</v>
      </c>
      <c r="BA36" s="518">
        <f t="shared" si="36"/>
        <v>0</v>
      </c>
      <c r="BB36" s="518">
        <f t="shared" si="37"/>
        <v>0</v>
      </c>
      <c r="BC36" s="518">
        <f t="shared" si="38"/>
        <v>0</v>
      </c>
      <c r="BD36" s="518">
        <f t="shared" si="39"/>
        <v>0</v>
      </c>
      <c r="BE36" s="518">
        <f t="shared" si="40"/>
        <v>0</v>
      </c>
      <c r="BF36" s="518">
        <f t="shared" si="41"/>
        <v>0</v>
      </c>
      <c r="BG36" s="518">
        <f t="shared" si="42"/>
        <v>0</v>
      </c>
      <c r="BH36" s="520">
        <f t="shared" si="43"/>
        <v>0</v>
      </c>
      <c r="BI36" s="563">
        <f t="shared" si="44"/>
        <v>0</v>
      </c>
      <c r="BJ36" s="521">
        <f t="shared" si="45"/>
        <v>0</v>
      </c>
      <c r="BK36" s="522">
        <f t="shared" si="46"/>
        <v>0</v>
      </c>
      <c r="BL36" s="512">
        <f t="shared" si="47"/>
        <v>0</v>
      </c>
      <c r="BM36" s="518">
        <f t="shared" si="48"/>
        <v>0</v>
      </c>
      <c r="BN36" s="518">
        <f t="shared" si="49"/>
        <v>0</v>
      </c>
      <c r="BO36" s="518">
        <f t="shared" si="50"/>
        <v>0</v>
      </c>
      <c r="BP36" s="518">
        <f t="shared" si="51"/>
        <v>0</v>
      </c>
      <c r="BQ36" s="518">
        <f t="shared" si="52"/>
        <v>0</v>
      </c>
      <c r="BR36" s="518">
        <f t="shared" si="53"/>
        <v>0</v>
      </c>
      <c r="BS36" s="518">
        <f t="shared" si="54"/>
        <v>0</v>
      </c>
      <c r="BT36" s="518">
        <f t="shared" si="55"/>
        <v>0</v>
      </c>
      <c r="BU36" s="518">
        <f t="shared" si="56"/>
        <v>0</v>
      </c>
      <c r="BV36" s="520">
        <f t="shared" si="57"/>
        <v>0</v>
      </c>
      <c r="BW36" s="563">
        <f t="shared" si="58"/>
        <v>0</v>
      </c>
      <c r="BX36" s="521">
        <f t="shared" si="66"/>
        <v>0</v>
      </c>
      <c r="BY36" s="513">
        <f t="shared" si="63"/>
        <v>0</v>
      </c>
      <c r="BZ36" s="514">
        <f t="array" ref="BZ36">SUMPRODUCT(AX37:BJ37,TRANSPOSE(EXP(-(IF($C$9=1,k_MSW,k_Indu)))))+SUM(AK36:AW36)</f>
        <v>0</v>
      </c>
      <c r="CA36" s="515">
        <f t="array" ref="CA36">SUMPRODUCT(AX37:BJ37,TRANSPOSE(1-EXP(-(IF($C$9=1,k_MSW,k_Indu)))))</f>
        <v>0</v>
      </c>
      <c r="CB36" s="516">
        <f t="shared" si="59"/>
        <v>0</v>
      </c>
    </row>
    <row r="37" spans="1:80" s="315" customFormat="1" ht="17.25" x14ac:dyDescent="0.3">
      <c r="A37" s="313"/>
      <c r="B37" s="316">
        <f t="shared" si="64"/>
        <v>1992</v>
      </c>
      <c r="C37" s="883"/>
      <c r="D37" s="884"/>
      <c r="E37" s="885"/>
      <c r="F37" s="885"/>
      <c r="G37" s="885"/>
      <c r="H37" s="885"/>
      <c r="I37" s="885"/>
      <c r="J37" s="885"/>
      <c r="K37" s="885"/>
      <c r="L37" s="885"/>
      <c r="M37" s="885"/>
      <c r="N37" s="886"/>
      <c r="O37" s="886"/>
      <c r="P37" s="889"/>
      <c r="Q37" s="890"/>
      <c r="R37" s="814">
        <f t="shared" si="65"/>
        <v>0</v>
      </c>
      <c r="S37" s="815">
        <f t="shared" si="60"/>
        <v>0</v>
      </c>
      <c r="T37" s="816">
        <f t="shared" si="5"/>
        <v>0</v>
      </c>
      <c r="U37" s="817">
        <f t="shared" si="6"/>
        <v>0</v>
      </c>
      <c r="V37" s="566">
        <f t="shared" si="7"/>
        <v>0</v>
      </c>
      <c r="W37" s="562" t="str">
        <f t="shared" si="8"/>
        <v/>
      </c>
      <c r="X37" s="563" t="str">
        <f t="shared" si="9"/>
        <v/>
      </c>
      <c r="Y37" s="563" t="str">
        <f t="shared" si="10"/>
        <v/>
      </c>
      <c r="Z37" s="563" t="str">
        <f t="shared" si="11"/>
        <v/>
      </c>
      <c r="AA37" s="563" t="str">
        <f t="shared" si="12"/>
        <v/>
      </c>
      <c r="AB37" s="563" t="str">
        <f t="shared" si="13"/>
        <v/>
      </c>
      <c r="AC37" s="563" t="str">
        <f t="shared" si="14"/>
        <v/>
      </c>
      <c r="AD37" s="563" t="str">
        <f t="shared" si="15"/>
        <v/>
      </c>
      <c r="AE37" s="563" t="str">
        <f t="shared" si="16"/>
        <v/>
      </c>
      <c r="AF37" s="563" t="str">
        <f t="shared" si="17"/>
        <v/>
      </c>
      <c r="AG37" s="563" t="str">
        <f t="shared" si="18"/>
        <v/>
      </c>
      <c r="AH37" s="563" t="str">
        <f t="shared" si="19"/>
        <v/>
      </c>
      <c r="AI37" s="564" t="str">
        <f t="shared" si="20"/>
        <v/>
      </c>
      <c r="AJ37" s="565">
        <f t="shared" si="61"/>
        <v>0</v>
      </c>
      <c r="AK37" s="517">
        <f t="shared" si="62"/>
        <v>0</v>
      </c>
      <c r="AL37" s="518">
        <f t="shared" si="21"/>
        <v>0</v>
      </c>
      <c r="AM37" s="518">
        <f t="shared" si="22"/>
        <v>0</v>
      </c>
      <c r="AN37" s="518">
        <f t="shared" si="23"/>
        <v>0</v>
      </c>
      <c r="AO37" s="518">
        <f t="shared" si="24"/>
        <v>0</v>
      </c>
      <c r="AP37" s="518">
        <f t="shared" si="25"/>
        <v>0</v>
      </c>
      <c r="AQ37" s="518">
        <f t="shared" si="26"/>
        <v>0</v>
      </c>
      <c r="AR37" s="518">
        <f t="shared" si="27"/>
        <v>0</v>
      </c>
      <c r="AS37" s="518">
        <f t="shared" si="28"/>
        <v>0</v>
      </c>
      <c r="AT37" s="518">
        <f t="shared" si="29"/>
        <v>0</v>
      </c>
      <c r="AU37" s="518">
        <f t="shared" si="30"/>
        <v>0</v>
      </c>
      <c r="AV37" s="563">
        <f t="shared" si="31"/>
        <v>0</v>
      </c>
      <c r="AW37" s="519">
        <f t="shared" si="32"/>
        <v>0</v>
      </c>
      <c r="AX37" s="508">
        <f t="shared" si="33"/>
        <v>0</v>
      </c>
      <c r="AY37" s="518">
        <f t="shared" si="34"/>
        <v>0</v>
      </c>
      <c r="AZ37" s="518">
        <f t="shared" si="35"/>
        <v>0</v>
      </c>
      <c r="BA37" s="518">
        <f t="shared" si="36"/>
        <v>0</v>
      </c>
      <c r="BB37" s="518">
        <f t="shared" si="37"/>
        <v>0</v>
      </c>
      <c r="BC37" s="518">
        <f t="shared" si="38"/>
        <v>0</v>
      </c>
      <c r="BD37" s="518">
        <f t="shared" si="39"/>
        <v>0</v>
      </c>
      <c r="BE37" s="518">
        <f t="shared" si="40"/>
        <v>0</v>
      </c>
      <c r="BF37" s="518">
        <f t="shared" si="41"/>
        <v>0</v>
      </c>
      <c r="BG37" s="518">
        <f t="shared" si="42"/>
        <v>0</v>
      </c>
      <c r="BH37" s="520">
        <f t="shared" si="43"/>
        <v>0</v>
      </c>
      <c r="BI37" s="563">
        <f t="shared" si="44"/>
        <v>0</v>
      </c>
      <c r="BJ37" s="521">
        <f t="shared" si="45"/>
        <v>0</v>
      </c>
      <c r="BK37" s="522">
        <f t="shared" si="46"/>
        <v>0</v>
      </c>
      <c r="BL37" s="512">
        <f t="shared" si="47"/>
        <v>0</v>
      </c>
      <c r="BM37" s="518">
        <f t="shared" si="48"/>
        <v>0</v>
      </c>
      <c r="BN37" s="518">
        <f t="shared" si="49"/>
        <v>0</v>
      </c>
      <c r="BO37" s="518">
        <f t="shared" si="50"/>
        <v>0</v>
      </c>
      <c r="BP37" s="518">
        <f t="shared" si="51"/>
        <v>0</v>
      </c>
      <c r="BQ37" s="518">
        <f t="shared" si="52"/>
        <v>0</v>
      </c>
      <c r="BR37" s="518">
        <f t="shared" si="53"/>
        <v>0</v>
      </c>
      <c r="BS37" s="518">
        <f t="shared" si="54"/>
        <v>0</v>
      </c>
      <c r="BT37" s="518">
        <f t="shared" si="55"/>
        <v>0</v>
      </c>
      <c r="BU37" s="518">
        <f t="shared" si="56"/>
        <v>0</v>
      </c>
      <c r="BV37" s="520">
        <f t="shared" si="57"/>
        <v>0</v>
      </c>
      <c r="BW37" s="563">
        <f t="shared" si="58"/>
        <v>0</v>
      </c>
      <c r="BX37" s="521">
        <f t="shared" si="66"/>
        <v>0</v>
      </c>
      <c r="BY37" s="513">
        <f t="shared" si="63"/>
        <v>0</v>
      </c>
      <c r="BZ37" s="514">
        <f t="array" ref="BZ37">SUMPRODUCT(AX38:BJ38,TRANSPOSE(EXP(-(IF($C$9=1,k_MSW,k_Indu)))))+SUM(AK37:AW37)</f>
        <v>0</v>
      </c>
      <c r="CA37" s="515">
        <f t="array" ref="CA37">SUMPRODUCT(AX38:BJ38,TRANSPOSE(1-EXP(-(IF($C$9=1,k_MSW,k_Indu)))))</f>
        <v>0</v>
      </c>
      <c r="CB37" s="516">
        <f t="shared" si="59"/>
        <v>0</v>
      </c>
    </row>
    <row r="38" spans="1:80" s="315" customFormat="1" ht="17.25" x14ac:dyDescent="0.3">
      <c r="A38" s="313"/>
      <c r="B38" s="316">
        <f t="shared" si="64"/>
        <v>1991</v>
      </c>
      <c r="C38" s="883"/>
      <c r="D38" s="884"/>
      <c r="E38" s="885"/>
      <c r="F38" s="885"/>
      <c r="G38" s="885"/>
      <c r="H38" s="885"/>
      <c r="I38" s="885"/>
      <c r="J38" s="885"/>
      <c r="K38" s="885"/>
      <c r="L38" s="885"/>
      <c r="M38" s="885"/>
      <c r="N38" s="886"/>
      <c r="O38" s="886"/>
      <c r="P38" s="889"/>
      <c r="Q38" s="890"/>
      <c r="R38" s="814">
        <f t="shared" si="65"/>
        <v>0</v>
      </c>
      <c r="S38" s="815">
        <f t="shared" si="60"/>
        <v>0</v>
      </c>
      <c r="T38" s="816">
        <f t="shared" si="5"/>
        <v>0</v>
      </c>
      <c r="U38" s="817">
        <f t="shared" si="6"/>
        <v>0</v>
      </c>
      <c r="V38" s="566">
        <f t="shared" si="7"/>
        <v>0</v>
      </c>
      <c r="W38" s="562" t="str">
        <f t="shared" si="8"/>
        <v/>
      </c>
      <c r="X38" s="563" t="str">
        <f t="shared" si="9"/>
        <v/>
      </c>
      <c r="Y38" s="563" t="str">
        <f t="shared" si="10"/>
        <v/>
      </c>
      <c r="Z38" s="563" t="str">
        <f t="shared" si="11"/>
        <v/>
      </c>
      <c r="AA38" s="563" t="str">
        <f t="shared" si="12"/>
        <v/>
      </c>
      <c r="AB38" s="563" t="str">
        <f t="shared" si="13"/>
        <v/>
      </c>
      <c r="AC38" s="563" t="str">
        <f t="shared" si="14"/>
        <v/>
      </c>
      <c r="AD38" s="563" t="str">
        <f t="shared" si="15"/>
        <v/>
      </c>
      <c r="AE38" s="563" t="str">
        <f t="shared" si="16"/>
        <v/>
      </c>
      <c r="AF38" s="563" t="str">
        <f t="shared" si="17"/>
        <v/>
      </c>
      <c r="AG38" s="563" t="str">
        <f t="shared" si="18"/>
        <v/>
      </c>
      <c r="AH38" s="563" t="str">
        <f t="shared" si="19"/>
        <v/>
      </c>
      <c r="AI38" s="564" t="str">
        <f t="shared" si="20"/>
        <v/>
      </c>
      <c r="AJ38" s="565">
        <f t="shared" si="61"/>
        <v>0</v>
      </c>
      <c r="AK38" s="517">
        <f t="shared" si="62"/>
        <v>0</v>
      </c>
      <c r="AL38" s="518">
        <f t="shared" si="21"/>
        <v>0</v>
      </c>
      <c r="AM38" s="518">
        <f t="shared" si="22"/>
        <v>0</v>
      </c>
      <c r="AN38" s="518">
        <f t="shared" si="23"/>
        <v>0</v>
      </c>
      <c r="AO38" s="518">
        <f t="shared" si="24"/>
        <v>0</v>
      </c>
      <c r="AP38" s="518">
        <f t="shared" si="25"/>
        <v>0</v>
      </c>
      <c r="AQ38" s="518">
        <f t="shared" si="26"/>
        <v>0</v>
      </c>
      <c r="AR38" s="518">
        <f t="shared" si="27"/>
        <v>0</v>
      </c>
      <c r="AS38" s="518">
        <f t="shared" si="28"/>
        <v>0</v>
      </c>
      <c r="AT38" s="518">
        <f t="shared" si="29"/>
        <v>0</v>
      </c>
      <c r="AU38" s="518">
        <f t="shared" si="30"/>
        <v>0</v>
      </c>
      <c r="AV38" s="563">
        <f t="shared" si="31"/>
        <v>0</v>
      </c>
      <c r="AW38" s="519">
        <f t="shared" si="32"/>
        <v>0</v>
      </c>
      <c r="AX38" s="508">
        <f t="shared" si="33"/>
        <v>0</v>
      </c>
      <c r="AY38" s="518">
        <f t="shared" si="34"/>
        <v>0</v>
      </c>
      <c r="AZ38" s="518">
        <f t="shared" si="35"/>
        <v>0</v>
      </c>
      <c r="BA38" s="518">
        <f t="shared" si="36"/>
        <v>0</v>
      </c>
      <c r="BB38" s="518">
        <f t="shared" si="37"/>
        <v>0</v>
      </c>
      <c r="BC38" s="518">
        <f t="shared" si="38"/>
        <v>0</v>
      </c>
      <c r="BD38" s="518">
        <f t="shared" si="39"/>
        <v>0</v>
      </c>
      <c r="BE38" s="518">
        <f t="shared" si="40"/>
        <v>0</v>
      </c>
      <c r="BF38" s="518">
        <f t="shared" si="41"/>
        <v>0</v>
      </c>
      <c r="BG38" s="518">
        <f t="shared" si="42"/>
        <v>0</v>
      </c>
      <c r="BH38" s="520">
        <f t="shared" si="43"/>
        <v>0</v>
      </c>
      <c r="BI38" s="563">
        <f t="shared" si="44"/>
        <v>0</v>
      </c>
      <c r="BJ38" s="521">
        <f t="shared" si="45"/>
        <v>0</v>
      </c>
      <c r="BK38" s="522">
        <f t="shared" si="46"/>
        <v>0</v>
      </c>
      <c r="BL38" s="512">
        <f t="shared" si="47"/>
        <v>0</v>
      </c>
      <c r="BM38" s="518">
        <f t="shared" si="48"/>
        <v>0</v>
      </c>
      <c r="BN38" s="518">
        <f t="shared" si="49"/>
        <v>0</v>
      </c>
      <c r="BO38" s="518">
        <f t="shared" si="50"/>
        <v>0</v>
      </c>
      <c r="BP38" s="518">
        <f t="shared" si="51"/>
        <v>0</v>
      </c>
      <c r="BQ38" s="518">
        <f t="shared" si="52"/>
        <v>0</v>
      </c>
      <c r="BR38" s="518">
        <f t="shared" si="53"/>
        <v>0</v>
      </c>
      <c r="BS38" s="518">
        <f t="shared" si="54"/>
        <v>0</v>
      </c>
      <c r="BT38" s="518">
        <f t="shared" si="55"/>
        <v>0</v>
      </c>
      <c r="BU38" s="518">
        <f t="shared" si="56"/>
        <v>0</v>
      </c>
      <c r="BV38" s="520">
        <f t="shared" si="57"/>
        <v>0</v>
      </c>
      <c r="BW38" s="563">
        <f t="shared" si="58"/>
        <v>0</v>
      </c>
      <c r="BX38" s="521">
        <f t="shared" si="66"/>
        <v>0</v>
      </c>
      <c r="BY38" s="513">
        <f t="shared" si="63"/>
        <v>0</v>
      </c>
      <c r="BZ38" s="514">
        <f t="array" ref="BZ38">SUMPRODUCT(AX39:BJ39,TRANSPOSE(EXP(-(IF($C$9=1,k_MSW,k_Indu)))))+SUM(AK38:AW38)</f>
        <v>0</v>
      </c>
      <c r="CA38" s="515">
        <f t="array" ref="CA38">SUMPRODUCT(AX39:BJ39,TRANSPOSE(1-EXP(-(IF($C$9=1,k_MSW,k_Indu)))))</f>
        <v>0</v>
      </c>
      <c r="CB38" s="516">
        <f t="shared" si="59"/>
        <v>0</v>
      </c>
    </row>
    <row r="39" spans="1:80" s="315" customFormat="1" ht="17.25" x14ac:dyDescent="0.3">
      <c r="A39" s="313"/>
      <c r="B39" s="316">
        <f t="shared" si="64"/>
        <v>1990</v>
      </c>
      <c r="C39" s="883"/>
      <c r="D39" s="884"/>
      <c r="E39" s="885"/>
      <c r="F39" s="885"/>
      <c r="G39" s="885"/>
      <c r="H39" s="885"/>
      <c r="I39" s="885"/>
      <c r="J39" s="885"/>
      <c r="K39" s="885"/>
      <c r="L39" s="885"/>
      <c r="M39" s="885"/>
      <c r="N39" s="886"/>
      <c r="O39" s="886"/>
      <c r="P39" s="889"/>
      <c r="Q39" s="890"/>
      <c r="R39" s="814">
        <f t="shared" si="65"/>
        <v>0</v>
      </c>
      <c r="S39" s="815">
        <f t="shared" si="60"/>
        <v>0</v>
      </c>
      <c r="T39" s="816">
        <f t="shared" si="5"/>
        <v>0</v>
      </c>
      <c r="U39" s="817">
        <f t="shared" si="6"/>
        <v>0</v>
      </c>
      <c r="V39" s="566">
        <f t="shared" si="7"/>
        <v>0</v>
      </c>
      <c r="W39" s="562" t="str">
        <f t="shared" si="8"/>
        <v/>
      </c>
      <c r="X39" s="563" t="str">
        <f t="shared" si="9"/>
        <v/>
      </c>
      <c r="Y39" s="563" t="str">
        <f t="shared" si="10"/>
        <v/>
      </c>
      <c r="Z39" s="563" t="str">
        <f t="shared" si="11"/>
        <v/>
      </c>
      <c r="AA39" s="563" t="str">
        <f t="shared" si="12"/>
        <v/>
      </c>
      <c r="AB39" s="563" t="str">
        <f t="shared" si="13"/>
        <v/>
      </c>
      <c r="AC39" s="563" t="str">
        <f t="shared" si="14"/>
        <v/>
      </c>
      <c r="AD39" s="563" t="str">
        <f t="shared" si="15"/>
        <v/>
      </c>
      <c r="AE39" s="563" t="str">
        <f t="shared" si="16"/>
        <v/>
      </c>
      <c r="AF39" s="563" t="str">
        <f t="shared" si="17"/>
        <v/>
      </c>
      <c r="AG39" s="563" t="str">
        <f t="shared" si="18"/>
        <v/>
      </c>
      <c r="AH39" s="563" t="str">
        <f t="shared" si="19"/>
        <v/>
      </c>
      <c r="AI39" s="564" t="str">
        <f t="shared" si="20"/>
        <v/>
      </c>
      <c r="AJ39" s="565">
        <f t="shared" si="61"/>
        <v>0</v>
      </c>
      <c r="AK39" s="517">
        <f t="shared" si="62"/>
        <v>0</v>
      </c>
      <c r="AL39" s="518">
        <f t="shared" si="21"/>
        <v>0</v>
      </c>
      <c r="AM39" s="518">
        <f t="shared" si="22"/>
        <v>0</v>
      </c>
      <c r="AN39" s="518">
        <f t="shared" si="23"/>
        <v>0</v>
      </c>
      <c r="AO39" s="518">
        <f t="shared" si="24"/>
        <v>0</v>
      </c>
      <c r="AP39" s="518">
        <f t="shared" si="25"/>
        <v>0</v>
      </c>
      <c r="AQ39" s="518">
        <f t="shared" si="26"/>
        <v>0</v>
      </c>
      <c r="AR39" s="518">
        <f t="shared" si="27"/>
        <v>0</v>
      </c>
      <c r="AS39" s="518">
        <f t="shared" si="28"/>
        <v>0</v>
      </c>
      <c r="AT39" s="518">
        <f t="shared" si="29"/>
        <v>0</v>
      </c>
      <c r="AU39" s="518">
        <f t="shared" si="30"/>
        <v>0</v>
      </c>
      <c r="AV39" s="563">
        <f t="shared" si="31"/>
        <v>0</v>
      </c>
      <c r="AW39" s="519">
        <f t="shared" si="32"/>
        <v>0</v>
      </c>
      <c r="AX39" s="508">
        <f t="shared" si="33"/>
        <v>0</v>
      </c>
      <c r="AY39" s="518">
        <f t="shared" si="34"/>
        <v>0</v>
      </c>
      <c r="AZ39" s="518">
        <f t="shared" si="35"/>
        <v>0</v>
      </c>
      <c r="BA39" s="518">
        <f t="shared" si="36"/>
        <v>0</v>
      </c>
      <c r="BB39" s="518">
        <f t="shared" si="37"/>
        <v>0</v>
      </c>
      <c r="BC39" s="518">
        <f t="shared" si="38"/>
        <v>0</v>
      </c>
      <c r="BD39" s="518">
        <f t="shared" si="39"/>
        <v>0</v>
      </c>
      <c r="BE39" s="518">
        <f t="shared" si="40"/>
        <v>0</v>
      </c>
      <c r="BF39" s="518">
        <f t="shared" si="41"/>
        <v>0</v>
      </c>
      <c r="BG39" s="518">
        <f t="shared" si="42"/>
        <v>0</v>
      </c>
      <c r="BH39" s="520">
        <f t="shared" si="43"/>
        <v>0</v>
      </c>
      <c r="BI39" s="563">
        <f t="shared" si="44"/>
        <v>0</v>
      </c>
      <c r="BJ39" s="521">
        <f t="shared" si="45"/>
        <v>0</v>
      </c>
      <c r="BK39" s="522">
        <f t="shared" si="46"/>
        <v>0</v>
      </c>
      <c r="BL39" s="512">
        <f t="shared" si="47"/>
        <v>0</v>
      </c>
      <c r="BM39" s="518">
        <f t="shared" si="48"/>
        <v>0</v>
      </c>
      <c r="BN39" s="518">
        <f t="shared" si="49"/>
        <v>0</v>
      </c>
      <c r="BO39" s="518">
        <f t="shared" si="50"/>
        <v>0</v>
      </c>
      <c r="BP39" s="518">
        <f t="shared" si="51"/>
        <v>0</v>
      </c>
      <c r="BQ39" s="518">
        <f t="shared" si="52"/>
        <v>0</v>
      </c>
      <c r="BR39" s="518">
        <f t="shared" si="53"/>
        <v>0</v>
      </c>
      <c r="BS39" s="518">
        <f t="shared" si="54"/>
        <v>0</v>
      </c>
      <c r="BT39" s="518">
        <f t="shared" si="55"/>
        <v>0</v>
      </c>
      <c r="BU39" s="518">
        <f t="shared" si="56"/>
        <v>0</v>
      </c>
      <c r="BV39" s="520">
        <f t="shared" si="57"/>
        <v>0</v>
      </c>
      <c r="BW39" s="563">
        <f t="shared" si="58"/>
        <v>0</v>
      </c>
      <c r="BX39" s="521">
        <f t="shared" si="66"/>
        <v>0</v>
      </c>
      <c r="BY39" s="513">
        <f t="shared" si="63"/>
        <v>0</v>
      </c>
      <c r="BZ39" s="514">
        <f t="array" ref="BZ39">SUMPRODUCT(AX40:BJ40,TRANSPOSE(EXP(-(IF($C$9=1,k_MSW,k_Indu)))))+SUM(AK39:AW39)</f>
        <v>0</v>
      </c>
      <c r="CA39" s="515">
        <f t="array" ref="CA39">SUMPRODUCT(AX40:BJ40,TRANSPOSE(1-EXP(-(IF($C$9=1,k_MSW,k_Indu)))))</f>
        <v>0</v>
      </c>
      <c r="CB39" s="516">
        <f t="shared" si="59"/>
        <v>0</v>
      </c>
    </row>
    <row r="40" spans="1:80" s="315" customFormat="1" ht="17.25" x14ac:dyDescent="0.3">
      <c r="A40" s="313"/>
      <c r="B40" s="316">
        <f t="shared" si="64"/>
        <v>1989</v>
      </c>
      <c r="C40" s="883"/>
      <c r="D40" s="884"/>
      <c r="E40" s="885"/>
      <c r="F40" s="885"/>
      <c r="G40" s="885"/>
      <c r="H40" s="885"/>
      <c r="I40" s="885"/>
      <c r="J40" s="885"/>
      <c r="K40" s="885"/>
      <c r="L40" s="885"/>
      <c r="M40" s="885"/>
      <c r="N40" s="886"/>
      <c r="O40" s="886"/>
      <c r="P40" s="889"/>
      <c r="Q40" s="890"/>
      <c r="R40" s="814">
        <f t="shared" si="65"/>
        <v>0</v>
      </c>
      <c r="S40" s="815">
        <f t="shared" si="60"/>
        <v>0</v>
      </c>
      <c r="T40" s="816">
        <f t="shared" si="5"/>
        <v>0</v>
      </c>
      <c r="U40" s="817">
        <f t="shared" si="6"/>
        <v>0</v>
      </c>
      <c r="V40" s="566">
        <f t="shared" si="7"/>
        <v>0</v>
      </c>
      <c r="W40" s="562" t="str">
        <f t="shared" si="8"/>
        <v/>
      </c>
      <c r="X40" s="563" t="str">
        <f t="shared" si="9"/>
        <v/>
      </c>
      <c r="Y40" s="563" t="str">
        <f t="shared" si="10"/>
        <v/>
      </c>
      <c r="Z40" s="563" t="str">
        <f t="shared" si="11"/>
        <v/>
      </c>
      <c r="AA40" s="563" t="str">
        <f t="shared" si="12"/>
        <v/>
      </c>
      <c r="AB40" s="563" t="str">
        <f t="shared" si="13"/>
        <v/>
      </c>
      <c r="AC40" s="563" t="str">
        <f t="shared" si="14"/>
        <v/>
      </c>
      <c r="AD40" s="563" t="str">
        <f t="shared" si="15"/>
        <v/>
      </c>
      <c r="AE40" s="563" t="str">
        <f t="shared" si="16"/>
        <v/>
      </c>
      <c r="AF40" s="563" t="str">
        <f t="shared" si="17"/>
        <v/>
      </c>
      <c r="AG40" s="563" t="str">
        <f t="shared" si="18"/>
        <v/>
      </c>
      <c r="AH40" s="563" t="str">
        <f t="shared" si="19"/>
        <v/>
      </c>
      <c r="AI40" s="564" t="str">
        <f t="shared" si="20"/>
        <v/>
      </c>
      <c r="AJ40" s="565">
        <f t="shared" si="61"/>
        <v>0</v>
      </c>
      <c r="AK40" s="517">
        <f t="shared" si="62"/>
        <v>0</v>
      </c>
      <c r="AL40" s="518">
        <f t="shared" si="21"/>
        <v>0</v>
      </c>
      <c r="AM40" s="518">
        <f t="shared" si="22"/>
        <v>0</v>
      </c>
      <c r="AN40" s="518">
        <f t="shared" si="23"/>
        <v>0</v>
      </c>
      <c r="AO40" s="518">
        <f t="shared" si="24"/>
        <v>0</v>
      </c>
      <c r="AP40" s="518">
        <f t="shared" si="25"/>
        <v>0</v>
      </c>
      <c r="AQ40" s="518">
        <f t="shared" si="26"/>
        <v>0</v>
      </c>
      <c r="AR40" s="518">
        <f t="shared" si="27"/>
        <v>0</v>
      </c>
      <c r="AS40" s="518">
        <f t="shared" si="28"/>
        <v>0</v>
      </c>
      <c r="AT40" s="518">
        <f t="shared" si="29"/>
        <v>0</v>
      </c>
      <c r="AU40" s="518">
        <f t="shared" si="30"/>
        <v>0</v>
      </c>
      <c r="AV40" s="563">
        <f t="shared" si="31"/>
        <v>0</v>
      </c>
      <c r="AW40" s="519">
        <f t="shared" si="32"/>
        <v>0</v>
      </c>
      <c r="AX40" s="508">
        <f t="shared" si="33"/>
        <v>0</v>
      </c>
      <c r="AY40" s="518">
        <f t="shared" si="34"/>
        <v>0</v>
      </c>
      <c r="AZ40" s="518">
        <f t="shared" si="35"/>
        <v>0</v>
      </c>
      <c r="BA40" s="518">
        <f t="shared" si="36"/>
        <v>0</v>
      </c>
      <c r="BB40" s="518">
        <f t="shared" si="37"/>
        <v>0</v>
      </c>
      <c r="BC40" s="518">
        <f t="shared" si="38"/>
        <v>0</v>
      </c>
      <c r="BD40" s="518">
        <f t="shared" si="39"/>
        <v>0</v>
      </c>
      <c r="BE40" s="518">
        <f t="shared" si="40"/>
        <v>0</v>
      </c>
      <c r="BF40" s="518">
        <f t="shared" si="41"/>
        <v>0</v>
      </c>
      <c r="BG40" s="518">
        <f t="shared" si="42"/>
        <v>0</v>
      </c>
      <c r="BH40" s="520">
        <f t="shared" si="43"/>
        <v>0</v>
      </c>
      <c r="BI40" s="563">
        <f t="shared" si="44"/>
        <v>0</v>
      </c>
      <c r="BJ40" s="521">
        <f t="shared" si="45"/>
        <v>0</v>
      </c>
      <c r="BK40" s="522">
        <f t="shared" si="46"/>
        <v>0</v>
      </c>
      <c r="BL40" s="512">
        <f t="shared" si="47"/>
        <v>0</v>
      </c>
      <c r="BM40" s="518">
        <f t="shared" si="48"/>
        <v>0</v>
      </c>
      <c r="BN40" s="518">
        <f t="shared" si="49"/>
        <v>0</v>
      </c>
      <c r="BO40" s="518">
        <f t="shared" si="50"/>
        <v>0</v>
      </c>
      <c r="BP40" s="518">
        <f t="shared" si="51"/>
        <v>0</v>
      </c>
      <c r="BQ40" s="518">
        <f t="shared" si="52"/>
        <v>0</v>
      </c>
      <c r="BR40" s="518">
        <f t="shared" si="53"/>
        <v>0</v>
      </c>
      <c r="BS40" s="518">
        <f t="shared" si="54"/>
        <v>0</v>
      </c>
      <c r="BT40" s="518">
        <f t="shared" si="55"/>
        <v>0</v>
      </c>
      <c r="BU40" s="518">
        <f t="shared" si="56"/>
        <v>0</v>
      </c>
      <c r="BV40" s="520">
        <f t="shared" si="57"/>
        <v>0</v>
      </c>
      <c r="BW40" s="563">
        <f t="shared" si="58"/>
        <v>0</v>
      </c>
      <c r="BX40" s="521">
        <f t="shared" si="66"/>
        <v>0</v>
      </c>
      <c r="BY40" s="513">
        <f t="shared" si="63"/>
        <v>0</v>
      </c>
      <c r="BZ40" s="514">
        <f t="array" ref="BZ40">SUMPRODUCT(AX41:BJ41,TRANSPOSE(EXP(-(IF($C$9=1,k_MSW,k_Indu)))))+SUM(AK40:AW40)</f>
        <v>0</v>
      </c>
      <c r="CA40" s="515">
        <f t="array" ref="CA40">SUMPRODUCT(AX41:BJ41,TRANSPOSE(1-EXP(-(IF($C$9=1,k_MSW,k_Indu)))))</f>
        <v>0</v>
      </c>
      <c r="CB40" s="516">
        <f t="shared" si="59"/>
        <v>0</v>
      </c>
    </row>
    <row r="41" spans="1:80" s="315" customFormat="1" ht="17.25" x14ac:dyDescent="0.3">
      <c r="A41" s="313"/>
      <c r="B41" s="316">
        <f t="shared" si="64"/>
        <v>1988</v>
      </c>
      <c r="C41" s="883"/>
      <c r="D41" s="884"/>
      <c r="E41" s="885"/>
      <c r="F41" s="885"/>
      <c r="G41" s="885"/>
      <c r="H41" s="885"/>
      <c r="I41" s="885"/>
      <c r="J41" s="885"/>
      <c r="K41" s="885"/>
      <c r="L41" s="885"/>
      <c r="M41" s="885"/>
      <c r="N41" s="886"/>
      <c r="O41" s="886"/>
      <c r="P41" s="889"/>
      <c r="Q41" s="890"/>
      <c r="R41" s="814">
        <f t="shared" si="65"/>
        <v>0</v>
      </c>
      <c r="S41" s="815">
        <f t="shared" si="60"/>
        <v>0</v>
      </c>
      <c r="T41" s="816">
        <f t="shared" si="5"/>
        <v>0</v>
      </c>
      <c r="U41" s="817">
        <f t="shared" si="6"/>
        <v>0</v>
      </c>
      <c r="V41" s="566">
        <f t="shared" si="7"/>
        <v>0</v>
      </c>
      <c r="W41" s="562" t="str">
        <f t="shared" si="8"/>
        <v/>
      </c>
      <c r="X41" s="563" t="str">
        <f t="shared" si="9"/>
        <v/>
      </c>
      <c r="Y41" s="563" t="str">
        <f t="shared" si="10"/>
        <v/>
      </c>
      <c r="Z41" s="563" t="str">
        <f t="shared" si="11"/>
        <v/>
      </c>
      <c r="AA41" s="563" t="str">
        <f t="shared" si="12"/>
        <v/>
      </c>
      <c r="AB41" s="563" t="str">
        <f t="shared" si="13"/>
        <v/>
      </c>
      <c r="AC41" s="563" t="str">
        <f t="shared" si="14"/>
        <v/>
      </c>
      <c r="AD41" s="563" t="str">
        <f t="shared" si="15"/>
        <v/>
      </c>
      <c r="AE41" s="563" t="str">
        <f t="shared" si="16"/>
        <v/>
      </c>
      <c r="AF41" s="563" t="str">
        <f t="shared" si="17"/>
        <v/>
      </c>
      <c r="AG41" s="563" t="str">
        <f t="shared" si="18"/>
        <v/>
      </c>
      <c r="AH41" s="563" t="str">
        <f t="shared" si="19"/>
        <v/>
      </c>
      <c r="AI41" s="564" t="str">
        <f t="shared" si="20"/>
        <v/>
      </c>
      <c r="AJ41" s="565">
        <f t="shared" si="61"/>
        <v>0</v>
      </c>
      <c r="AK41" s="517">
        <f t="shared" si="62"/>
        <v>0</v>
      </c>
      <c r="AL41" s="518">
        <f t="shared" si="21"/>
        <v>0</v>
      </c>
      <c r="AM41" s="518">
        <f t="shared" si="22"/>
        <v>0</v>
      </c>
      <c r="AN41" s="518">
        <f t="shared" si="23"/>
        <v>0</v>
      </c>
      <c r="AO41" s="518">
        <f t="shared" si="24"/>
        <v>0</v>
      </c>
      <c r="AP41" s="518">
        <f t="shared" si="25"/>
        <v>0</v>
      </c>
      <c r="AQ41" s="518">
        <f t="shared" si="26"/>
        <v>0</v>
      </c>
      <c r="AR41" s="518">
        <f t="shared" si="27"/>
        <v>0</v>
      </c>
      <c r="AS41" s="518">
        <f t="shared" si="28"/>
        <v>0</v>
      </c>
      <c r="AT41" s="518">
        <f t="shared" si="29"/>
        <v>0</v>
      </c>
      <c r="AU41" s="518">
        <f t="shared" si="30"/>
        <v>0</v>
      </c>
      <c r="AV41" s="563">
        <f t="shared" si="31"/>
        <v>0</v>
      </c>
      <c r="AW41" s="519">
        <f t="shared" si="32"/>
        <v>0</v>
      </c>
      <c r="AX41" s="508">
        <f t="shared" si="33"/>
        <v>0</v>
      </c>
      <c r="AY41" s="518">
        <f t="shared" si="34"/>
        <v>0</v>
      </c>
      <c r="AZ41" s="518">
        <f t="shared" si="35"/>
        <v>0</v>
      </c>
      <c r="BA41" s="518">
        <f t="shared" si="36"/>
        <v>0</v>
      </c>
      <c r="BB41" s="518">
        <f t="shared" si="37"/>
        <v>0</v>
      </c>
      <c r="BC41" s="518">
        <f t="shared" si="38"/>
        <v>0</v>
      </c>
      <c r="BD41" s="518">
        <f t="shared" si="39"/>
        <v>0</v>
      </c>
      <c r="BE41" s="518">
        <f t="shared" si="40"/>
        <v>0</v>
      </c>
      <c r="BF41" s="518">
        <f t="shared" si="41"/>
        <v>0</v>
      </c>
      <c r="BG41" s="518">
        <f t="shared" si="42"/>
        <v>0</v>
      </c>
      <c r="BH41" s="520">
        <f t="shared" si="43"/>
        <v>0</v>
      </c>
      <c r="BI41" s="563">
        <f t="shared" si="44"/>
        <v>0</v>
      </c>
      <c r="BJ41" s="521">
        <f t="shared" si="45"/>
        <v>0</v>
      </c>
      <c r="BK41" s="522">
        <f t="shared" si="46"/>
        <v>0</v>
      </c>
      <c r="BL41" s="512">
        <f t="shared" si="47"/>
        <v>0</v>
      </c>
      <c r="BM41" s="518">
        <f t="shared" si="48"/>
        <v>0</v>
      </c>
      <c r="BN41" s="518">
        <f t="shared" si="49"/>
        <v>0</v>
      </c>
      <c r="BO41" s="518">
        <f t="shared" si="50"/>
        <v>0</v>
      </c>
      <c r="BP41" s="518">
        <f t="shared" si="51"/>
        <v>0</v>
      </c>
      <c r="BQ41" s="518">
        <f t="shared" si="52"/>
        <v>0</v>
      </c>
      <c r="BR41" s="518">
        <f t="shared" si="53"/>
        <v>0</v>
      </c>
      <c r="BS41" s="518">
        <f t="shared" si="54"/>
        <v>0</v>
      </c>
      <c r="BT41" s="518">
        <f t="shared" si="55"/>
        <v>0</v>
      </c>
      <c r="BU41" s="518">
        <f t="shared" si="56"/>
        <v>0</v>
      </c>
      <c r="BV41" s="520">
        <f t="shared" si="57"/>
        <v>0</v>
      </c>
      <c r="BW41" s="563">
        <f t="shared" si="58"/>
        <v>0</v>
      </c>
      <c r="BX41" s="521">
        <f t="shared" si="66"/>
        <v>0</v>
      </c>
      <c r="BY41" s="513">
        <f t="shared" si="63"/>
        <v>0</v>
      </c>
      <c r="BZ41" s="514">
        <f t="array" ref="BZ41">SUMPRODUCT(AX42:BJ42,TRANSPOSE(EXP(-(IF($C$9=1,k_MSW,k_Indu)))))+SUM(AK41:AW41)</f>
        <v>0</v>
      </c>
      <c r="CA41" s="515">
        <f t="array" ref="CA41">SUMPRODUCT(AX42:BJ42,TRANSPOSE(1-EXP(-(IF($C$9=1,k_MSW,k_Indu)))))</f>
        <v>0</v>
      </c>
      <c r="CB41" s="516">
        <f t="shared" si="59"/>
        <v>0</v>
      </c>
    </row>
    <row r="42" spans="1:80" s="315" customFormat="1" ht="17.25" x14ac:dyDescent="0.3">
      <c r="A42" s="313"/>
      <c r="B42" s="316">
        <f t="shared" si="64"/>
        <v>1987</v>
      </c>
      <c r="C42" s="883"/>
      <c r="D42" s="884"/>
      <c r="E42" s="885"/>
      <c r="F42" s="885"/>
      <c r="G42" s="885"/>
      <c r="H42" s="885"/>
      <c r="I42" s="885"/>
      <c r="J42" s="885"/>
      <c r="K42" s="885"/>
      <c r="L42" s="885"/>
      <c r="M42" s="885"/>
      <c r="N42" s="886"/>
      <c r="O42" s="886"/>
      <c r="P42" s="889"/>
      <c r="Q42" s="890"/>
      <c r="R42" s="814">
        <f t="shared" si="65"/>
        <v>0</v>
      </c>
      <c r="S42" s="815">
        <f t="shared" si="60"/>
        <v>0</v>
      </c>
      <c r="T42" s="816">
        <f t="shared" si="5"/>
        <v>0</v>
      </c>
      <c r="U42" s="817">
        <f t="shared" si="6"/>
        <v>0</v>
      </c>
      <c r="V42" s="566">
        <f t="shared" si="7"/>
        <v>0</v>
      </c>
      <c r="W42" s="562" t="str">
        <f t="shared" si="8"/>
        <v/>
      </c>
      <c r="X42" s="563" t="str">
        <f t="shared" si="9"/>
        <v/>
      </c>
      <c r="Y42" s="563" t="str">
        <f t="shared" si="10"/>
        <v/>
      </c>
      <c r="Z42" s="563" t="str">
        <f t="shared" si="11"/>
        <v/>
      </c>
      <c r="AA42" s="563" t="str">
        <f t="shared" si="12"/>
        <v/>
      </c>
      <c r="AB42" s="563" t="str">
        <f t="shared" si="13"/>
        <v/>
      </c>
      <c r="AC42" s="563" t="str">
        <f t="shared" si="14"/>
        <v/>
      </c>
      <c r="AD42" s="563" t="str">
        <f t="shared" si="15"/>
        <v/>
      </c>
      <c r="AE42" s="563" t="str">
        <f t="shared" si="16"/>
        <v/>
      </c>
      <c r="AF42" s="563" t="str">
        <f t="shared" si="17"/>
        <v/>
      </c>
      <c r="AG42" s="563" t="str">
        <f t="shared" si="18"/>
        <v/>
      </c>
      <c r="AH42" s="563" t="str">
        <f t="shared" si="19"/>
        <v/>
      </c>
      <c r="AI42" s="564" t="str">
        <f t="shared" si="20"/>
        <v/>
      </c>
      <c r="AJ42" s="565">
        <f t="shared" si="61"/>
        <v>0</v>
      </c>
      <c r="AK42" s="517">
        <f t="shared" si="62"/>
        <v>0</v>
      </c>
      <c r="AL42" s="518">
        <f t="shared" si="21"/>
        <v>0</v>
      </c>
      <c r="AM42" s="518">
        <f t="shared" si="22"/>
        <v>0</v>
      </c>
      <c r="AN42" s="518">
        <f t="shared" si="23"/>
        <v>0</v>
      </c>
      <c r="AO42" s="518">
        <f t="shared" si="24"/>
        <v>0</v>
      </c>
      <c r="AP42" s="518">
        <f t="shared" si="25"/>
        <v>0</v>
      </c>
      <c r="AQ42" s="518">
        <f t="shared" si="26"/>
        <v>0</v>
      </c>
      <c r="AR42" s="518">
        <f t="shared" si="27"/>
        <v>0</v>
      </c>
      <c r="AS42" s="518">
        <f t="shared" si="28"/>
        <v>0</v>
      </c>
      <c r="AT42" s="518">
        <f t="shared" si="29"/>
        <v>0</v>
      </c>
      <c r="AU42" s="518">
        <f t="shared" si="30"/>
        <v>0</v>
      </c>
      <c r="AV42" s="563">
        <f t="shared" si="31"/>
        <v>0</v>
      </c>
      <c r="AW42" s="519">
        <f t="shared" si="32"/>
        <v>0</v>
      </c>
      <c r="AX42" s="508">
        <f t="shared" si="33"/>
        <v>0</v>
      </c>
      <c r="AY42" s="518">
        <f t="shared" si="34"/>
        <v>0</v>
      </c>
      <c r="AZ42" s="518">
        <f t="shared" si="35"/>
        <v>0</v>
      </c>
      <c r="BA42" s="518">
        <f t="shared" si="36"/>
        <v>0</v>
      </c>
      <c r="BB42" s="518">
        <f t="shared" si="37"/>
        <v>0</v>
      </c>
      <c r="BC42" s="518">
        <f t="shared" si="38"/>
        <v>0</v>
      </c>
      <c r="BD42" s="518">
        <f t="shared" si="39"/>
        <v>0</v>
      </c>
      <c r="BE42" s="518">
        <f t="shared" si="40"/>
        <v>0</v>
      </c>
      <c r="BF42" s="518">
        <f t="shared" si="41"/>
        <v>0</v>
      </c>
      <c r="BG42" s="518">
        <f t="shared" si="42"/>
        <v>0</v>
      </c>
      <c r="BH42" s="520">
        <f t="shared" si="43"/>
        <v>0</v>
      </c>
      <c r="BI42" s="563">
        <f t="shared" si="44"/>
        <v>0</v>
      </c>
      <c r="BJ42" s="521">
        <f t="shared" si="45"/>
        <v>0</v>
      </c>
      <c r="BK42" s="522">
        <f t="shared" si="46"/>
        <v>0</v>
      </c>
      <c r="BL42" s="512">
        <f t="shared" si="47"/>
        <v>0</v>
      </c>
      <c r="BM42" s="518">
        <f t="shared" si="48"/>
        <v>0</v>
      </c>
      <c r="BN42" s="518">
        <f t="shared" si="49"/>
        <v>0</v>
      </c>
      <c r="BO42" s="518">
        <f t="shared" si="50"/>
        <v>0</v>
      </c>
      <c r="BP42" s="518">
        <f t="shared" si="51"/>
        <v>0</v>
      </c>
      <c r="BQ42" s="518">
        <f t="shared" si="52"/>
        <v>0</v>
      </c>
      <c r="BR42" s="518">
        <f t="shared" si="53"/>
        <v>0</v>
      </c>
      <c r="BS42" s="518">
        <f t="shared" si="54"/>
        <v>0</v>
      </c>
      <c r="BT42" s="518">
        <f t="shared" si="55"/>
        <v>0</v>
      </c>
      <c r="BU42" s="518">
        <f t="shared" si="56"/>
        <v>0</v>
      </c>
      <c r="BV42" s="520">
        <f t="shared" si="57"/>
        <v>0</v>
      </c>
      <c r="BW42" s="563">
        <f t="shared" si="58"/>
        <v>0</v>
      </c>
      <c r="BX42" s="521">
        <f t="shared" si="66"/>
        <v>0</v>
      </c>
      <c r="BY42" s="513">
        <f t="shared" si="63"/>
        <v>0</v>
      </c>
      <c r="BZ42" s="514">
        <f t="array" ref="BZ42">SUMPRODUCT(AX43:BJ43,TRANSPOSE(EXP(-(IF($C$9=1,k_MSW,k_Indu)))))+SUM(AK42:AW42)</f>
        <v>0</v>
      </c>
      <c r="CA42" s="515">
        <f t="array" ref="CA42">SUMPRODUCT(AX43:BJ43,TRANSPOSE(1-EXP(-(IF($C$9=1,k_MSW,k_Indu)))))</f>
        <v>0</v>
      </c>
      <c r="CB42" s="516">
        <f t="shared" si="59"/>
        <v>0</v>
      </c>
    </row>
    <row r="43" spans="1:80" s="315" customFormat="1" ht="17.25" x14ac:dyDescent="0.3">
      <c r="A43" s="313"/>
      <c r="B43" s="316">
        <f t="shared" si="64"/>
        <v>1986</v>
      </c>
      <c r="C43" s="883"/>
      <c r="D43" s="884"/>
      <c r="E43" s="885"/>
      <c r="F43" s="885"/>
      <c r="G43" s="885"/>
      <c r="H43" s="885"/>
      <c r="I43" s="885"/>
      <c r="J43" s="885"/>
      <c r="K43" s="885"/>
      <c r="L43" s="885"/>
      <c r="M43" s="885"/>
      <c r="N43" s="886"/>
      <c r="O43" s="886"/>
      <c r="P43" s="889"/>
      <c r="Q43" s="890"/>
      <c r="R43" s="814">
        <f t="shared" si="65"/>
        <v>0</v>
      </c>
      <c r="S43" s="815">
        <f t="shared" si="60"/>
        <v>0</v>
      </c>
      <c r="T43" s="816">
        <f t="shared" si="5"/>
        <v>0</v>
      </c>
      <c r="U43" s="817">
        <f t="shared" si="6"/>
        <v>0</v>
      </c>
      <c r="V43" s="566">
        <f t="shared" si="7"/>
        <v>0</v>
      </c>
      <c r="W43" s="562" t="str">
        <f t="shared" si="8"/>
        <v/>
      </c>
      <c r="X43" s="563" t="str">
        <f t="shared" si="9"/>
        <v/>
      </c>
      <c r="Y43" s="563" t="str">
        <f t="shared" si="10"/>
        <v/>
      </c>
      <c r="Z43" s="563" t="str">
        <f t="shared" si="11"/>
        <v/>
      </c>
      <c r="AA43" s="563" t="str">
        <f t="shared" si="12"/>
        <v/>
      </c>
      <c r="AB43" s="563" t="str">
        <f t="shared" si="13"/>
        <v/>
      </c>
      <c r="AC43" s="563" t="str">
        <f t="shared" si="14"/>
        <v/>
      </c>
      <c r="AD43" s="563" t="str">
        <f t="shared" si="15"/>
        <v/>
      </c>
      <c r="AE43" s="563" t="str">
        <f t="shared" si="16"/>
        <v/>
      </c>
      <c r="AF43" s="563" t="str">
        <f t="shared" si="17"/>
        <v/>
      </c>
      <c r="AG43" s="563" t="str">
        <f t="shared" si="18"/>
        <v/>
      </c>
      <c r="AH43" s="563" t="str">
        <f t="shared" si="19"/>
        <v/>
      </c>
      <c r="AI43" s="564" t="str">
        <f t="shared" si="20"/>
        <v/>
      </c>
      <c r="AJ43" s="565">
        <f t="shared" si="61"/>
        <v>0</v>
      </c>
      <c r="AK43" s="517">
        <f t="shared" si="62"/>
        <v>0</v>
      </c>
      <c r="AL43" s="518">
        <f t="shared" si="21"/>
        <v>0</v>
      </c>
      <c r="AM43" s="518">
        <f t="shared" si="22"/>
        <v>0</v>
      </c>
      <c r="AN43" s="518">
        <f t="shared" si="23"/>
        <v>0</v>
      </c>
      <c r="AO43" s="518">
        <f t="shared" si="24"/>
        <v>0</v>
      </c>
      <c r="AP43" s="518">
        <f t="shared" si="25"/>
        <v>0</v>
      </c>
      <c r="AQ43" s="518">
        <f t="shared" si="26"/>
        <v>0</v>
      </c>
      <c r="AR43" s="518">
        <f t="shared" si="27"/>
        <v>0</v>
      </c>
      <c r="AS43" s="518">
        <f t="shared" si="28"/>
        <v>0</v>
      </c>
      <c r="AT43" s="518">
        <f t="shared" si="29"/>
        <v>0</v>
      </c>
      <c r="AU43" s="518">
        <f t="shared" si="30"/>
        <v>0</v>
      </c>
      <c r="AV43" s="563">
        <f t="shared" si="31"/>
        <v>0</v>
      </c>
      <c r="AW43" s="519">
        <f t="shared" si="32"/>
        <v>0</v>
      </c>
      <c r="AX43" s="508">
        <f t="shared" si="33"/>
        <v>0</v>
      </c>
      <c r="AY43" s="518">
        <f t="shared" si="34"/>
        <v>0</v>
      </c>
      <c r="AZ43" s="518">
        <f t="shared" si="35"/>
        <v>0</v>
      </c>
      <c r="BA43" s="518">
        <f t="shared" si="36"/>
        <v>0</v>
      </c>
      <c r="BB43" s="518">
        <f t="shared" si="37"/>
        <v>0</v>
      </c>
      <c r="BC43" s="518">
        <f t="shared" si="38"/>
        <v>0</v>
      </c>
      <c r="BD43" s="518">
        <f t="shared" si="39"/>
        <v>0</v>
      </c>
      <c r="BE43" s="518">
        <f t="shared" si="40"/>
        <v>0</v>
      </c>
      <c r="BF43" s="518">
        <f t="shared" si="41"/>
        <v>0</v>
      </c>
      <c r="BG43" s="518">
        <f t="shared" si="42"/>
        <v>0</v>
      </c>
      <c r="BH43" s="520">
        <f t="shared" si="43"/>
        <v>0</v>
      </c>
      <c r="BI43" s="563">
        <f t="shared" si="44"/>
        <v>0</v>
      </c>
      <c r="BJ43" s="521">
        <f t="shared" si="45"/>
        <v>0</v>
      </c>
      <c r="BK43" s="522">
        <f t="shared" si="46"/>
        <v>0</v>
      </c>
      <c r="BL43" s="512">
        <f t="shared" si="47"/>
        <v>0</v>
      </c>
      <c r="BM43" s="518">
        <f t="shared" si="48"/>
        <v>0</v>
      </c>
      <c r="BN43" s="518">
        <f t="shared" si="49"/>
        <v>0</v>
      </c>
      <c r="BO43" s="518">
        <f t="shared" si="50"/>
        <v>0</v>
      </c>
      <c r="BP43" s="518">
        <f t="shared" si="51"/>
        <v>0</v>
      </c>
      <c r="BQ43" s="518">
        <f t="shared" si="52"/>
        <v>0</v>
      </c>
      <c r="BR43" s="518">
        <f t="shared" si="53"/>
        <v>0</v>
      </c>
      <c r="BS43" s="518">
        <f t="shared" si="54"/>
        <v>0</v>
      </c>
      <c r="BT43" s="518">
        <f t="shared" si="55"/>
        <v>0</v>
      </c>
      <c r="BU43" s="518">
        <f t="shared" si="56"/>
        <v>0</v>
      </c>
      <c r="BV43" s="520">
        <f t="shared" si="57"/>
        <v>0</v>
      </c>
      <c r="BW43" s="563">
        <f t="shared" si="58"/>
        <v>0</v>
      </c>
      <c r="BX43" s="521">
        <f t="shared" si="66"/>
        <v>0</v>
      </c>
      <c r="BY43" s="513">
        <f t="shared" si="63"/>
        <v>0</v>
      </c>
      <c r="BZ43" s="514">
        <f t="array" ref="BZ43">SUMPRODUCT(AX44:BJ44,TRANSPOSE(EXP(-(IF($C$9=1,k_MSW,k_Indu)))))+SUM(AK43:AW43)</f>
        <v>0</v>
      </c>
      <c r="CA43" s="515">
        <f t="array" ref="CA43">SUMPRODUCT(AX44:BJ44,TRANSPOSE(1-EXP(-(IF($C$9=1,k_MSW,k_Indu)))))</f>
        <v>0</v>
      </c>
      <c r="CB43" s="516">
        <f t="shared" si="59"/>
        <v>0</v>
      </c>
    </row>
    <row r="44" spans="1:80" s="315" customFormat="1" ht="17.25" x14ac:dyDescent="0.3">
      <c r="A44" s="313"/>
      <c r="B44" s="316">
        <f t="shared" si="64"/>
        <v>1985</v>
      </c>
      <c r="C44" s="883"/>
      <c r="D44" s="884"/>
      <c r="E44" s="885"/>
      <c r="F44" s="885"/>
      <c r="G44" s="885"/>
      <c r="H44" s="885"/>
      <c r="I44" s="885"/>
      <c r="J44" s="885"/>
      <c r="K44" s="885"/>
      <c r="L44" s="885"/>
      <c r="M44" s="885"/>
      <c r="N44" s="886"/>
      <c r="O44" s="886"/>
      <c r="P44" s="889"/>
      <c r="Q44" s="890"/>
      <c r="R44" s="814">
        <f t="shared" si="65"/>
        <v>0</v>
      </c>
      <c r="S44" s="815">
        <f t="shared" si="60"/>
        <v>0</v>
      </c>
      <c r="T44" s="816">
        <f t="shared" si="5"/>
        <v>0</v>
      </c>
      <c r="U44" s="817">
        <f t="shared" si="6"/>
        <v>0</v>
      </c>
      <c r="V44" s="566">
        <f t="shared" si="7"/>
        <v>0</v>
      </c>
      <c r="W44" s="562" t="str">
        <f t="shared" si="8"/>
        <v/>
      </c>
      <c r="X44" s="563" t="str">
        <f t="shared" si="9"/>
        <v/>
      </c>
      <c r="Y44" s="563" t="str">
        <f t="shared" si="10"/>
        <v/>
      </c>
      <c r="Z44" s="563" t="str">
        <f t="shared" si="11"/>
        <v/>
      </c>
      <c r="AA44" s="563" t="str">
        <f t="shared" si="12"/>
        <v/>
      </c>
      <c r="AB44" s="563" t="str">
        <f t="shared" si="13"/>
        <v/>
      </c>
      <c r="AC44" s="563" t="str">
        <f t="shared" si="14"/>
        <v/>
      </c>
      <c r="AD44" s="563" t="str">
        <f t="shared" si="15"/>
        <v/>
      </c>
      <c r="AE44" s="563" t="str">
        <f t="shared" si="16"/>
        <v/>
      </c>
      <c r="AF44" s="563" t="str">
        <f t="shared" si="17"/>
        <v/>
      </c>
      <c r="AG44" s="563" t="str">
        <f t="shared" si="18"/>
        <v/>
      </c>
      <c r="AH44" s="563" t="str">
        <f t="shared" si="19"/>
        <v/>
      </c>
      <c r="AI44" s="564" t="str">
        <f t="shared" si="20"/>
        <v/>
      </c>
      <c r="AJ44" s="565">
        <f t="shared" si="61"/>
        <v>0</v>
      </c>
      <c r="AK44" s="517">
        <f t="shared" si="62"/>
        <v>0</v>
      </c>
      <c r="AL44" s="518">
        <f t="shared" si="21"/>
        <v>0</v>
      </c>
      <c r="AM44" s="518">
        <f t="shared" si="22"/>
        <v>0</v>
      </c>
      <c r="AN44" s="518">
        <f t="shared" si="23"/>
        <v>0</v>
      </c>
      <c r="AO44" s="518">
        <f t="shared" si="24"/>
        <v>0</v>
      </c>
      <c r="AP44" s="518">
        <f t="shared" si="25"/>
        <v>0</v>
      </c>
      <c r="AQ44" s="518">
        <f t="shared" si="26"/>
        <v>0</v>
      </c>
      <c r="AR44" s="518">
        <f t="shared" si="27"/>
        <v>0</v>
      </c>
      <c r="AS44" s="518">
        <f t="shared" si="28"/>
        <v>0</v>
      </c>
      <c r="AT44" s="518">
        <f t="shared" si="29"/>
        <v>0</v>
      </c>
      <c r="AU44" s="518">
        <f t="shared" si="30"/>
        <v>0</v>
      </c>
      <c r="AV44" s="563">
        <f t="shared" si="31"/>
        <v>0</v>
      </c>
      <c r="AW44" s="519">
        <f t="shared" si="32"/>
        <v>0</v>
      </c>
      <c r="AX44" s="508">
        <f t="shared" si="33"/>
        <v>0</v>
      </c>
      <c r="AY44" s="518">
        <f t="shared" si="34"/>
        <v>0</v>
      </c>
      <c r="AZ44" s="518">
        <f t="shared" si="35"/>
        <v>0</v>
      </c>
      <c r="BA44" s="518">
        <f t="shared" si="36"/>
        <v>0</v>
      </c>
      <c r="BB44" s="518">
        <f t="shared" si="37"/>
        <v>0</v>
      </c>
      <c r="BC44" s="518">
        <f t="shared" si="38"/>
        <v>0</v>
      </c>
      <c r="BD44" s="518">
        <f t="shared" si="39"/>
        <v>0</v>
      </c>
      <c r="BE44" s="518">
        <f t="shared" si="40"/>
        <v>0</v>
      </c>
      <c r="BF44" s="518">
        <f t="shared" si="41"/>
        <v>0</v>
      </c>
      <c r="BG44" s="518">
        <f t="shared" si="42"/>
        <v>0</v>
      </c>
      <c r="BH44" s="520">
        <f t="shared" si="43"/>
        <v>0</v>
      </c>
      <c r="BI44" s="563">
        <f t="shared" si="44"/>
        <v>0</v>
      </c>
      <c r="BJ44" s="521">
        <f t="shared" si="45"/>
        <v>0</v>
      </c>
      <c r="BK44" s="522">
        <f t="shared" si="46"/>
        <v>0</v>
      </c>
      <c r="BL44" s="512">
        <f t="shared" si="47"/>
        <v>0</v>
      </c>
      <c r="BM44" s="518">
        <f t="shared" si="48"/>
        <v>0</v>
      </c>
      <c r="BN44" s="518">
        <f t="shared" si="49"/>
        <v>0</v>
      </c>
      <c r="BO44" s="518">
        <f t="shared" si="50"/>
        <v>0</v>
      </c>
      <c r="BP44" s="518">
        <f t="shared" si="51"/>
        <v>0</v>
      </c>
      <c r="BQ44" s="518">
        <f t="shared" si="52"/>
        <v>0</v>
      </c>
      <c r="BR44" s="518">
        <f t="shared" si="53"/>
        <v>0</v>
      </c>
      <c r="BS44" s="518">
        <f t="shared" si="54"/>
        <v>0</v>
      </c>
      <c r="BT44" s="518">
        <f t="shared" si="55"/>
        <v>0</v>
      </c>
      <c r="BU44" s="518">
        <f t="shared" si="56"/>
        <v>0</v>
      </c>
      <c r="BV44" s="520">
        <f t="shared" si="57"/>
        <v>0</v>
      </c>
      <c r="BW44" s="563">
        <f t="shared" si="58"/>
        <v>0</v>
      </c>
      <c r="BX44" s="521">
        <f t="shared" si="66"/>
        <v>0</v>
      </c>
      <c r="BY44" s="513">
        <f t="shared" si="63"/>
        <v>0</v>
      </c>
      <c r="BZ44" s="514">
        <f t="array" ref="BZ44">SUMPRODUCT(AX45:BJ45,TRANSPOSE(EXP(-(IF($C$9=1,k_MSW,k_Indu)))))+SUM(AK44:AW44)</f>
        <v>0</v>
      </c>
      <c r="CA44" s="515">
        <f t="array" ref="CA44">SUMPRODUCT(AX45:BJ45,TRANSPOSE(1-EXP(-(IF($C$9=1,k_MSW,k_Indu)))))</f>
        <v>0</v>
      </c>
      <c r="CB44" s="516">
        <f t="shared" si="59"/>
        <v>0</v>
      </c>
    </row>
    <row r="45" spans="1:80" s="315" customFormat="1" ht="17.25" x14ac:dyDescent="0.3">
      <c r="A45" s="313"/>
      <c r="B45" s="316">
        <f t="shared" si="64"/>
        <v>1984</v>
      </c>
      <c r="C45" s="883"/>
      <c r="D45" s="884"/>
      <c r="E45" s="885"/>
      <c r="F45" s="885"/>
      <c r="G45" s="885"/>
      <c r="H45" s="885"/>
      <c r="I45" s="885"/>
      <c r="J45" s="885"/>
      <c r="K45" s="885"/>
      <c r="L45" s="885"/>
      <c r="M45" s="885"/>
      <c r="N45" s="886"/>
      <c r="O45" s="886"/>
      <c r="P45" s="889"/>
      <c r="Q45" s="890"/>
      <c r="R45" s="814">
        <f t="shared" si="65"/>
        <v>0</v>
      </c>
      <c r="S45" s="815">
        <f t="shared" si="60"/>
        <v>0</v>
      </c>
      <c r="T45" s="816">
        <f t="shared" si="5"/>
        <v>0</v>
      </c>
      <c r="U45" s="817">
        <f t="shared" si="6"/>
        <v>0</v>
      </c>
      <c r="V45" s="566">
        <f t="shared" si="7"/>
        <v>0</v>
      </c>
      <c r="W45" s="562" t="str">
        <f t="shared" si="8"/>
        <v/>
      </c>
      <c r="X45" s="563" t="str">
        <f t="shared" si="9"/>
        <v/>
      </c>
      <c r="Y45" s="563" t="str">
        <f t="shared" si="10"/>
        <v/>
      </c>
      <c r="Z45" s="563" t="str">
        <f t="shared" si="11"/>
        <v/>
      </c>
      <c r="AA45" s="563" t="str">
        <f t="shared" si="12"/>
        <v/>
      </c>
      <c r="AB45" s="563" t="str">
        <f t="shared" si="13"/>
        <v/>
      </c>
      <c r="AC45" s="563" t="str">
        <f t="shared" si="14"/>
        <v/>
      </c>
      <c r="AD45" s="563" t="str">
        <f t="shared" si="15"/>
        <v/>
      </c>
      <c r="AE45" s="563" t="str">
        <f t="shared" si="16"/>
        <v/>
      </c>
      <c r="AF45" s="563" t="str">
        <f t="shared" si="17"/>
        <v/>
      </c>
      <c r="AG45" s="563" t="str">
        <f t="shared" si="18"/>
        <v/>
      </c>
      <c r="AH45" s="563" t="str">
        <f t="shared" si="19"/>
        <v/>
      </c>
      <c r="AI45" s="564" t="str">
        <f t="shared" si="20"/>
        <v/>
      </c>
      <c r="AJ45" s="565">
        <f t="shared" si="61"/>
        <v>0</v>
      </c>
      <c r="AK45" s="517">
        <f t="shared" si="62"/>
        <v>0</v>
      </c>
      <c r="AL45" s="518">
        <f t="shared" si="21"/>
        <v>0</v>
      </c>
      <c r="AM45" s="518">
        <f t="shared" si="22"/>
        <v>0</v>
      </c>
      <c r="AN45" s="518">
        <f t="shared" si="23"/>
        <v>0</v>
      </c>
      <c r="AO45" s="518">
        <f t="shared" si="24"/>
        <v>0</v>
      </c>
      <c r="AP45" s="518">
        <f t="shared" si="25"/>
        <v>0</v>
      </c>
      <c r="AQ45" s="518">
        <f t="shared" si="26"/>
        <v>0</v>
      </c>
      <c r="AR45" s="518">
        <f t="shared" si="27"/>
        <v>0</v>
      </c>
      <c r="AS45" s="518">
        <f t="shared" si="28"/>
        <v>0</v>
      </c>
      <c r="AT45" s="518">
        <f t="shared" si="29"/>
        <v>0</v>
      </c>
      <c r="AU45" s="518">
        <f t="shared" si="30"/>
        <v>0</v>
      </c>
      <c r="AV45" s="563">
        <f t="shared" si="31"/>
        <v>0</v>
      </c>
      <c r="AW45" s="519">
        <f t="shared" si="32"/>
        <v>0</v>
      </c>
      <c r="AX45" s="508">
        <f t="shared" si="33"/>
        <v>0</v>
      </c>
      <c r="AY45" s="518">
        <f t="shared" si="34"/>
        <v>0</v>
      </c>
      <c r="AZ45" s="518">
        <f t="shared" si="35"/>
        <v>0</v>
      </c>
      <c r="BA45" s="518">
        <f t="shared" si="36"/>
        <v>0</v>
      </c>
      <c r="BB45" s="518">
        <f t="shared" si="37"/>
        <v>0</v>
      </c>
      <c r="BC45" s="518">
        <f t="shared" si="38"/>
        <v>0</v>
      </c>
      <c r="BD45" s="518">
        <f t="shared" si="39"/>
        <v>0</v>
      </c>
      <c r="BE45" s="518">
        <f t="shared" si="40"/>
        <v>0</v>
      </c>
      <c r="BF45" s="518">
        <f t="shared" si="41"/>
        <v>0</v>
      </c>
      <c r="BG45" s="518">
        <f t="shared" si="42"/>
        <v>0</v>
      </c>
      <c r="BH45" s="520">
        <f t="shared" si="43"/>
        <v>0</v>
      </c>
      <c r="BI45" s="563">
        <f t="shared" si="44"/>
        <v>0</v>
      </c>
      <c r="BJ45" s="521">
        <f t="shared" si="45"/>
        <v>0</v>
      </c>
      <c r="BK45" s="522">
        <f t="shared" si="46"/>
        <v>0</v>
      </c>
      <c r="BL45" s="512">
        <f t="shared" si="47"/>
        <v>0</v>
      </c>
      <c r="BM45" s="518">
        <f t="shared" si="48"/>
        <v>0</v>
      </c>
      <c r="BN45" s="518">
        <f t="shared" si="49"/>
        <v>0</v>
      </c>
      <c r="BO45" s="518">
        <f t="shared" si="50"/>
        <v>0</v>
      </c>
      <c r="BP45" s="518">
        <f t="shared" si="51"/>
        <v>0</v>
      </c>
      <c r="BQ45" s="518">
        <f t="shared" si="52"/>
        <v>0</v>
      </c>
      <c r="BR45" s="518">
        <f t="shared" si="53"/>
        <v>0</v>
      </c>
      <c r="BS45" s="518">
        <f t="shared" si="54"/>
        <v>0</v>
      </c>
      <c r="BT45" s="518">
        <f t="shared" si="55"/>
        <v>0</v>
      </c>
      <c r="BU45" s="518">
        <f t="shared" si="56"/>
        <v>0</v>
      </c>
      <c r="BV45" s="520">
        <f t="shared" si="57"/>
        <v>0</v>
      </c>
      <c r="BW45" s="563">
        <f t="shared" si="58"/>
        <v>0</v>
      </c>
      <c r="BX45" s="521">
        <f t="shared" si="66"/>
        <v>0</v>
      </c>
      <c r="BY45" s="513">
        <f t="shared" si="63"/>
        <v>0</v>
      </c>
      <c r="BZ45" s="514">
        <f t="array" ref="BZ45">SUMPRODUCT(AX46:BJ46,TRANSPOSE(EXP(-(IF($C$9=1,k_MSW,k_Indu)))))+SUM(AK45:AW45)</f>
        <v>0</v>
      </c>
      <c r="CA45" s="515">
        <f t="array" ref="CA45">SUMPRODUCT(AX46:BJ46,TRANSPOSE(1-EXP(-(IF($C$9=1,k_MSW,k_Indu)))))</f>
        <v>0</v>
      </c>
      <c r="CB45" s="516">
        <f t="shared" si="59"/>
        <v>0</v>
      </c>
    </row>
    <row r="46" spans="1:80" s="315" customFormat="1" ht="17.25" x14ac:dyDescent="0.3">
      <c r="A46" s="313"/>
      <c r="B46" s="316">
        <f t="shared" si="64"/>
        <v>1983</v>
      </c>
      <c r="C46" s="883"/>
      <c r="D46" s="884"/>
      <c r="E46" s="885"/>
      <c r="F46" s="885"/>
      <c r="G46" s="885"/>
      <c r="H46" s="885"/>
      <c r="I46" s="885"/>
      <c r="J46" s="885"/>
      <c r="K46" s="885"/>
      <c r="L46" s="885"/>
      <c r="M46" s="885"/>
      <c r="N46" s="886"/>
      <c r="O46" s="886"/>
      <c r="P46" s="889"/>
      <c r="Q46" s="890"/>
      <c r="R46" s="814">
        <f t="shared" si="65"/>
        <v>0</v>
      </c>
      <c r="S46" s="815">
        <f t="shared" si="60"/>
        <v>0</v>
      </c>
      <c r="T46" s="816">
        <f t="shared" si="5"/>
        <v>0</v>
      </c>
      <c r="U46" s="817">
        <f t="shared" si="6"/>
        <v>0</v>
      </c>
      <c r="V46" s="566">
        <f t="shared" si="7"/>
        <v>0</v>
      </c>
      <c r="W46" s="562" t="str">
        <f t="shared" si="8"/>
        <v/>
      </c>
      <c r="X46" s="563" t="str">
        <f t="shared" si="9"/>
        <v/>
      </c>
      <c r="Y46" s="563" t="str">
        <f t="shared" si="10"/>
        <v/>
      </c>
      <c r="Z46" s="563" t="str">
        <f t="shared" si="11"/>
        <v/>
      </c>
      <c r="AA46" s="563" t="str">
        <f t="shared" si="12"/>
        <v/>
      </c>
      <c r="AB46" s="563" t="str">
        <f t="shared" si="13"/>
        <v/>
      </c>
      <c r="AC46" s="563" t="str">
        <f t="shared" si="14"/>
        <v/>
      </c>
      <c r="AD46" s="563" t="str">
        <f t="shared" si="15"/>
        <v/>
      </c>
      <c r="AE46" s="563" t="str">
        <f t="shared" si="16"/>
        <v/>
      </c>
      <c r="AF46" s="563" t="str">
        <f t="shared" si="17"/>
        <v/>
      </c>
      <c r="AG46" s="563" t="str">
        <f t="shared" si="18"/>
        <v/>
      </c>
      <c r="AH46" s="563" t="str">
        <f t="shared" si="19"/>
        <v/>
      </c>
      <c r="AI46" s="564" t="str">
        <f t="shared" si="20"/>
        <v/>
      </c>
      <c r="AJ46" s="565">
        <f t="shared" si="61"/>
        <v>0</v>
      </c>
      <c r="AK46" s="517">
        <f t="shared" si="62"/>
        <v>0</v>
      </c>
      <c r="AL46" s="518">
        <f t="shared" si="21"/>
        <v>0</v>
      </c>
      <c r="AM46" s="518">
        <f t="shared" si="22"/>
        <v>0</v>
      </c>
      <c r="AN46" s="518">
        <f t="shared" si="23"/>
        <v>0</v>
      </c>
      <c r="AO46" s="518">
        <f t="shared" si="24"/>
        <v>0</v>
      </c>
      <c r="AP46" s="518">
        <f t="shared" si="25"/>
        <v>0</v>
      </c>
      <c r="AQ46" s="518">
        <f t="shared" si="26"/>
        <v>0</v>
      </c>
      <c r="AR46" s="518">
        <f t="shared" si="27"/>
        <v>0</v>
      </c>
      <c r="AS46" s="518">
        <f t="shared" si="28"/>
        <v>0</v>
      </c>
      <c r="AT46" s="518">
        <f t="shared" si="29"/>
        <v>0</v>
      </c>
      <c r="AU46" s="518">
        <f t="shared" si="30"/>
        <v>0</v>
      </c>
      <c r="AV46" s="563">
        <f t="shared" si="31"/>
        <v>0</v>
      </c>
      <c r="AW46" s="519">
        <f t="shared" si="32"/>
        <v>0</v>
      </c>
      <c r="AX46" s="508">
        <f t="shared" ref="AX46:AX76" si="67">AK46+AX47*EXP(-(VLOOKUP(AX$15,IF($C$9=1,Param_MSW,Param_Indu),3,0)))</f>
        <v>0</v>
      </c>
      <c r="AY46" s="518">
        <f t="shared" ref="AY46:AY76" si="68">AL46+AY47*EXP(-(VLOOKUP(AY$15,IF($C$9=1,Param_MSW,Param_Indu),3,0)))</f>
        <v>0</v>
      </c>
      <c r="AZ46" s="518">
        <f t="shared" ref="AZ46:AZ76" si="69">AM46+AZ47*EXP(-(VLOOKUP(AZ$15,IF($C$9=1,Param_MSW,Param_Indu),3,0)))</f>
        <v>0</v>
      </c>
      <c r="BA46" s="518">
        <f t="shared" ref="BA46:BA76" si="70">AN46+BA47*EXP(-(VLOOKUP(BA$15,IF($C$9=1,Param_MSW,Param_Indu),3,0)))</f>
        <v>0</v>
      </c>
      <c r="BB46" s="518">
        <f t="shared" ref="BB46:BB76" si="71">AO46+BB47*EXP(-(VLOOKUP(BB$15,IF($C$9=1,Param_MSW,Param_Indu),3,0)))</f>
        <v>0</v>
      </c>
      <c r="BC46" s="518">
        <f t="shared" ref="BC46:BC76" si="72">AP46+BC47*EXP(-(VLOOKUP(BC$15,IF($C$9=1,Param_MSW,Param_Indu),3,0)))</f>
        <v>0</v>
      </c>
      <c r="BD46" s="518">
        <f t="shared" ref="BD46:BD76" si="73">AQ46+BD47*EXP(-(VLOOKUP(BD$15,IF($C$9=1,Param_MSW,Param_Indu),3,0)))</f>
        <v>0</v>
      </c>
      <c r="BE46" s="518">
        <f t="shared" ref="BE46:BE76" si="74">AR46+BE47*EXP(-(VLOOKUP(BE$15,IF($C$9=1,Param_MSW,Param_Indu),3,0)))</f>
        <v>0</v>
      </c>
      <c r="BF46" s="518">
        <f t="shared" ref="BF46:BF76" si="75">AS46+BF47*EXP(-(VLOOKUP(BF$15,IF($C$9=1,Param_MSW,Param_Indu),3,0)))</f>
        <v>0</v>
      </c>
      <c r="BG46" s="518">
        <f t="shared" ref="BG46:BG76" si="76">AT46+BG47*EXP(-(VLOOKUP(BG$15,IF($C$9=1,Param_MSW,Param_Indu),3,0)))</f>
        <v>0</v>
      </c>
      <c r="BH46" s="520">
        <f t="shared" ref="BH46:BH76" si="77">AU46+BH47*EXP(-(VLOOKUP(BH$15,IF($C$9=1,Param_MSW,Param_Indu),3,0)))</f>
        <v>0</v>
      </c>
      <c r="BI46" s="563">
        <f t="shared" ref="BI46:BI76" si="78">AV46+BI47*EXP(-(VLOOKUP(BI$15,IF($C$9=1,Param_MSW,Param_Indu),3,0)))</f>
        <v>0</v>
      </c>
      <c r="BJ46" s="521">
        <f t="shared" ref="BJ46:BJ76" si="79">AW46+BJ47*EXP(-(VLOOKUP(BJ$15,IF($C$9=1,Param_MSW,Param_Indu),3,0)))</f>
        <v>0</v>
      </c>
      <c r="BK46" s="524">
        <f t="shared" si="46"/>
        <v>0</v>
      </c>
      <c r="BL46" s="512">
        <f t="shared" ref="BL46:BL76" si="80">AX47*(1-EXP(-(VLOOKUP(BL$15,IF($C$9=1,Param_MSW,Param_Indu),3,0))))</f>
        <v>0</v>
      </c>
      <c r="BM46" s="518">
        <f t="shared" ref="BM46:BM76" si="81">AY47*(1-EXP(-(VLOOKUP(BM$15,IF($C$9=1,Param_MSW,Param_Indu),3,0))))</f>
        <v>0</v>
      </c>
      <c r="BN46" s="518">
        <f t="shared" ref="BN46:BN76" si="82">AZ47*(1-EXP(-(VLOOKUP(BN$15,IF($C$9=1,Param_MSW,Param_Indu),3,0))))</f>
        <v>0</v>
      </c>
      <c r="BO46" s="518">
        <f t="shared" ref="BO46:BO76" si="83">BA47*(1-EXP(-(VLOOKUP(BO$15,IF($C$9=1,Param_MSW,Param_Indu),3,0))))</f>
        <v>0</v>
      </c>
      <c r="BP46" s="518">
        <f t="shared" ref="BP46:BP76" si="84">BB47*(1-EXP(-(VLOOKUP(BP$15,IF($C$9=1,Param_MSW,Param_Indu),3,0))))</f>
        <v>0</v>
      </c>
      <c r="BQ46" s="518">
        <f t="shared" ref="BQ46:BQ76" si="85">BC47*(1-EXP(-(VLOOKUP(BQ$15,IF($C$9=1,Param_MSW,Param_Indu),3,0))))</f>
        <v>0</v>
      </c>
      <c r="BR46" s="518">
        <f t="shared" ref="BR46:BR76" si="86">BD47*(1-EXP(-(VLOOKUP(BR$15,IF($C$9=1,Param_MSW,Param_Indu),3,0))))</f>
        <v>0</v>
      </c>
      <c r="BS46" s="518">
        <f t="shared" ref="BS46:BS76" si="87">BE47*(1-EXP(-(VLOOKUP(BS$15,IF($C$9=1,Param_MSW,Param_Indu),3,0))))</f>
        <v>0</v>
      </c>
      <c r="BT46" s="518">
        <f t="shared" ref="BT46:BT76" si="88">BF47*(1-EXP(-(VLOOKUP(BT$15,IF($C$9=1,Param_MSW,Param_Indu),3,0))))</f>
        <v>0</v>
      </c>
      <c r="BU46" s="518">
        <f t="shared" ref="BU46:BU76" si="89">BG47*(1-EXP(-(VLOOKUP(BU$15,IF($C$9=1,Param_MSW,Param_Indu),3,0))))</f>
        <v>0</v>
      </c>
      <c r="BV46" s="520">
        <f t="shared" ref="BV46:BV76" si="90">BH47*(1-EXP(-(VLOOKUP(BV$15,IF($C$9=1,Param_MSW,Param_Indu),3,0))))</f>
        <v>0</v>
      </c>
      <c r="BW46" s="563">
        <f t="shared" ref="BW46:BW76" si="91">BI47*(1-EXP(-(VLOOKUP(BW$15,IF($C$9=1,Param_MSW,Param_Indu),3,0))))</f>
        <v>0</v>
      </c>
      <c r="BX46" s="521">
        <f t="shared" ref="BX46:BX76" si="92">BJ47*(1-EXP(-(VLOOKUP(BX$15,IF($C$9=1,Param_MSW,Param_Indu),3,0))))</f>
        <v>0</v>
      </c>
      <c r="BY46" s="513">
        <f t="shared" si="63"/>
        <v>0</v>
      </c>
      <c r="BZ46" s="514">
        <f t="array" ref="BZ46">SUMPRODUCT(AX47:BJ47,TRANSPOSE(EXP(-(IF($C$9=1,k_MSW,k_Indu)))))+SUM(AK46:AW46)</f>
        <v>0</v>
      </c>
      <c r="CA46" s="515">
        <f t="array" ref="CA46">SUMPRODUCT(AX47:BJ47,TRANSPOSE(1-EXP(-(IF($C$9=1,k_MSW,k_Indu)))))</f>
        <v>0</v>
      </c>
      <c r="CB46" s="516">
        <f t="shared" ref="CB46:CB76" si="93">BY46*F*16/12</f>
        <v>0</v>
      </c>
    </row>
    <row r="47" spans="1:80" s="315" customFormat="1" ht="17.25" x14ac:dyDescent="0.3">
      <c r="A47" s="313"/>
      <c r="B47" s="316">
        <f t="shared" si="64"/>
        <v>1982</v>
      </c>
      <c r="C47" s="883"/>
      <c r="D47" s="884"/>
      <c r="E47" s="885"/>
      <c r="F47" s="885"/>
      <c r="G47" s="885"/>
      <c r="H47" s="885"/>
      <c r="I47" s="885"/>
      <c r="J47" s="885"/>
      <c r="K47" s="885"/>
      <c r="L47" s="885"/>
      <c r="M47" s="885"/>
      <c r="N47" s="886"/>
      <c r="O47" s="886"/>
      <c r="P47" s="889"/>
      <c r="Q47" s="890"/>
      <c r="R47" s="814">
        <f t="shared" ref="R47:R66" si="94">CB47</f>
        <v>0</v>
      </c>
      <c r="S47" s="815">
        <f t="shared" ref="S47:S66" si="95">IF(R47*0.75&lt;Q47,Q47*(1/0.75),R47)</f>
        <v>0</v>
      </c>
      <c r="T47" s="816">
        <f t="shared" ref="T47:T66" si="96">(S47-Q47)*(1-OX)*10^3</f>
        <v>0</v>
      </c>
      <c r="U47" s="817">
        <f t="shared" ref="U47:U66" si="97">T47*GWP_CH4 * 10^-3</f>
        <v>0</v>
      </c>
      <c r="V47" s="566">
        <f t="shared" ref="V47:V66" si="98">IF(OR(B47&lt;$C$5,AND(B47&gt;$C$6,$C$6&lt;&gt;"")),0,SUM(D47:P47))</f>
        <v>0</v>
      </c>
      <c r="W47" s="562" t="str">
        <f t="shared" ref="W47:W66" si="99">IF(AND($V47&lt;&gt;"",$V47&lt;&gt;0),D47/$V47,"")</f>
        <v/>
      </c>
      <c r="X47" s="563" t="str">
        <f t="shared" ref="X47:X66" si="100">IF(AND($V47&lt;&gt;"",$V47&lt;&gt;0),E47/$V47,"")</f>
        <v/>
      </c>
      <c r="Y47" s="563" t="str">
        <f t="shared" ref="Y47:Y66" si="101">IF(AND($V47&lt;&gt;"",$V47&lt;&gt;0),F47/$V47,"")</f>
        <v/>
      </c>
      <c r="Z47" s="563" t="str">
        <f t="shared" ref="Z47:Z66" si="102">IF(AND($V47&lt;&gt;"",$V47&lt;&gt;0),G47/$V47,"")</f>
        <v/>
      </c>
      <c r="AA47" s="563" t="str">
        <f t="shared" ref="AA47:AA66" si="103">IF(AND($V47&lt;&gt;"",$V47&lt;&gt;0),H47/$V47,"")</f>
        <v/>
      </c>
      <c r="AB47" s="563" t="str">
        <f t="shared" ref="AB47:AB66" si="104">IF(AND($V47&lt;&gt;"",$V47&lt;&gt;0),I47/$V47,"")</f>
        <v/>
      </c>
      <c r="AC47" s="563" t="str">
        <f t="shared" ref="AC47:AC66" si="105">IF(AND($V47&lt;&gt;"",$V47&lt;&gt;0),J47/$V47,"")</f>
        <v/>
      </c>
      <c r="AD47" s="563" t="str">
        <f t="shared" ref="AD47:AD66" si="106">IF(AND($V47&lt;&gt;"",$V47&lt;&gt;0),K47/$V47,"")</f>
        <v/>
      </c>
      <c r="AE47" s="563" t="str">
        <f t="shared" ref="AE47:AE66" si="107">IF(AND($V47&lt;&gt;"",$V47&lt;&gt;0),L47/$V47,"")</f>
        <v/>
      </c>
      <c r="AF47" s="563" t="str">
        <f t="shared" ref="AF47:AF66" si="108">IF(AND($V47&lt;&gt;"",$V47&lt;&gt;0),M47/$V47,"")</f>
        <v/>
      </c>
      <c r="AG47" s="563" t="str">
        <f t="shared" ref="AG47:AG66" si="109">IF(AND($V47&lt;&gt;"",$V47&lt;&gt;0),N47/$V47,"")</f>
        <v/>
      </c>
      <c r="AH47" s="563" t="str">
        <f t="shared" ref="AH47:AH66" si="110">IF(AND($V47&lt;&gt;"",$V47&lt;&gt;0),O47/$V47,"")</f>
        <v/>
      </c>
      <c r="AI47" s="564" t="str">
        <f t="shared" ref="AI47:AI66" si="111">IF(AND($V47&lt;&gt;"",$V47&lt;&gt;0),P47/$V47,"")</f>
        <v/>
      </c>
      <c r="AJ47" s="565">
        <f t="shared" ref="AJ47:AJ66" si="112">SUM(W47:AI47)</f>
        <v>0</v>
      </c>
      <c r="AK47" s="517">
        <f t="shared" ref="AK47:AK66" si="113">IF($V47&lt;&gt;0,D47*VLOOKUP(AK$15,IF($C$9=1,Param_MSW,Param_Indu),2,0)*DOCf*MCF,0)</f>
        <v>0</v>
      </c>
      <c r="AL47" s="518">
        <f t="shared" ref="AL47:AL66" si="114">IF($V47&lt;&gt;0,E47*VLOOKUP(AL$15,IF($C$9=1,Param_MSW,Param_Indu),2,0)*DOCf*MCF,0)</f>
        <v>0</v>
      </c>
      <c r="AM47" s="518">
        <f t="shared" ref="AM47:AM66" si="115">IF($V47&lt;&gt;0,F47*VLOOKUP(AM$15,IF($C$9=1,Param_MSW,Param_Indu),2,0)*DOCf*MCF,0)</f>
        <v>0</v>
      </c>
      <c r="AN47" s="518">
        <f t="shared" ref="AN47:AN66" si="116">IF($V47&lt;&gt;0,G47*VLOOKUP(AN$15,IF($C$9=1,Param_MSW,Param_Indu),2,0)*DOCf*MCF,0)</f>
        <v>0</v>
      </c>
      <c r="AO47" s="518">
        <f t="shared" ref="AO47:AO66" si="117">IF($V47&lt;&gt;0,H47*VLOOKUP(AO$15,IF($C$9=1,Param_MSW,Param_Indu),2,0)*DOCf*MCF,0)</f>
        <v>0</v>
      </c>
      <c r="AP47" s="518">
        <f t="shared" ref="AP47:AP66" si="118">IF($V47&lt;&gt;0,I47*VLOOKUP(AP$15,IF($C$9=1,Param_MSW,Param_Indu),2,0)*DOCf*MCF,0)</f>
        <v>0</v>
      </c>
      <c r="AQ47" s="518">
        <f t="shared" ref="AQ47:AQ66" si="119">IF($V47&lt;&gt;0,J47*VLOOKUP(AQ$15,IF($C$9=1,Param_MSW,Param_Indu),2,0)*DOCf*MCF,0)</f>
        <v>0</v>
      </c>
      <c r="AR47" s="518">
        <f t="shared" ref="AR47:AR66" si="120">IF($V47&lt;&gt;0,K47*VLOOKUP(AR$15,IF($C$9=1,Param_MSW,Param_Indu),2,0)*DOCf*MCF,0)</f>
        <v>0</v>
      </c>
      <c r="AS47" s="518">
        <f t="shared" ref="AS47:AS66" si="121">IF($V47&lt;&gt;0,L47*VLOOKUP(AS$15,IF($C$9=1,Param_MSW,Param_Indu),2,0)*DOCf*MCF,0)</f>
        <v>0</v>
      </c>
      <c r="AT47" s="518">
        <f t="shared" ref="AT47:AT66" si="122">IF($V47&lt;&gt;0,M47*VLOOKUP(AT$15,IF($C$9=1,Param_MSW,Param_Indu),2,0)*DOCf*MCF,0)</f>
        <v>0</v>
      </c>
      <c r="AU47" s="518">
        <f t="shared" ref="AU47:AU66" si="123">IF($V47&lt;&gt;0,N47*VLOOKUP(AU$15,IF($C$9=1,Param_MSW,Param_Indu),2,0)*DOCf*MCF,0)</f>
        <v>0</v>
      </c>
      <c r="AV47" s="563">
        <f t="shared" ref="AV47:AV66" si="124">IF($V47&lt;&gt;0,O47*VLOOKUP(AV$15,IF($C$9=1,Param_MSW,Param_Indu),2,0)*DOCf*MCF,0)</f>
        <v>0</v>
      </c>
      <c r="AW47" s="519">
        <f t="shared" ref="AW47:AW66" si="125">IF($V47&lt;&gt;0,P47*VLOOKUP(AW$15,IF($C$9=1,Param_MSW,Param_Indu),2,0)*DOCf*MCF,0)</f>
        <v>0</v>
      </c>
      <c r="AX47" s="508">
        <f t="shared" si="67"/>
        <v>0</v>
      </c>
      <c r="AY47" s="518">
        <f t="shared" si="68"/>
        <v>0</v>
      </c>
      <c r="AZ47" s="518">
        <f t="shared" si="69"/>
        <v>0</v>
      </c>
      <c r="BA47" s="518">
        <f t="shared" si="70"/>
        <v>0</v>
      </c>
      <c r="BB47" s="518">
        <f t="shared" si="71"/>
        <v>0</v>
      </c>
      <c r="BC47" s="518">
        <f t="shared" si="72"/>
        <v>0</v>
      </c>
      <c r="BD47" s="518">
        <f t="shared" si="73"/>
        <v>0</v>
      </c>
      <c r="BE47" s="518">
        <f t="shared" si="74"/>
        <v>0</v>
      </c>
      <c r="BF47" s="518">
        <f t="shared" si="75"/>
        <v>0</v>
      </c>
      <c r="BG47" s="518">
        <f t="shared" si="76"/>
        <v>0</v>
      </c>
      <c r="BH47" s="520">
        <f t="shared" si="77"/>
        <v>0</v>
      </c>
      <c r="BI47" s="563">
        <f t="shared" si="78"/>
        <v>0</v>
      </c>
      <c r="BJ47" s="521">
        <f t="shared" si="79"/>
        <v>0</v>
      </c>
      <c r="BK47" s="524">
        <f t="shared" ref="BK47:BK66" si="126">SUM(AX47:BJ47)</f>
        <v>0</v>
      </c>
      <c r="BL47" s="512">
        <f t="shared" si="80"/>
        <v>0</v>
      </c>
      <c r="BM47" s="518">
        <f t="shared" si="81"/>
        <v>0</v>
      </c>
      <c r="BN47" s="518">
        <f t="shared" si="82"/>
        <v>0</v>
      </c>
      <c r="BO47" s="518">
        <f t="shared" si="83"/>
        <v>0</v>
      </c>
      <c r="BP47" s="518">
        <f t="shared" si="84"/>
        <v>0</v>
      </c>
      <c r="BQ47" s="518">
        <f t="shared" si="85"/>
        <v>0</v>
      </c>
      <c r="BR47" s="518">
        <f t="shared" si="86"/>
        <v>0</v>
      </c>
      <c r="BS47" s="518">
        <f t="shared" si="87"/>
        <v>0</v>
      </c>
      <c r="BT47" s="518">
        <f t="shared" si="88"/>
        <v>0</v>
      </c>
      <c r="BU47" s="518">
        <f t="shared" si="89"/>
        <v>0</v>
      </c>
      <c r="BV47" s="520">
        <f t="shared" si="90"/>
        <v>0</v>
      </c>
      <c r="BW47" s="563">
        <f t="shared" si="91"/>
        <v>0</v>
      </c>
      <c r="BX47" s="521">
        <f t="shared" si="92"/>
        <v>0</v>
      </c>
      <c r="BY47" s="513">
        <f t="shared" ref="BY47:BY66" si="127">SUM(BL47:BX47)</f>
        <v>0</v>
      </c>
      <c r="BZ47" s="514">
        <f t="array" ref="BZ47">SUMPRODUCT(AX48:BJ48,TRANSPOSE(EXP(-(IF($C$9=1,k_MSW,k_Indu)))))+SUM(AK47:AW47)</f>
        <v>0</v>
      </c>
      <c r="CA47" s="515">
        <f t="array" ref="CA47">SUMPRODUCT(AX48:BJ48,TRANSPOSE(1-EXP(-(IF($C$9=1,k_MSW,k_Indu)))))</f>
        <v>0</v>
      </c>
      <c r="CB47" s="516">
        <f t="shared" si="93"/>
        <v>0</v>
      </c>
    </row>
    <row r="48" spans="1:80" s="315" customFormat="1" ht="17.25" x14ac:dyDescent="0.3">
      <c r="A48" s="313"/>
      <c r="B48" s="316">
        <f t="shared" si="64"/>
        <v>1981</v>
      </c>
      <c r="C48" s="883"/>
      <c r="D48" s="884"/>
      <c r="E48" s="885"/>
      <c r="F48" s="885"/>
      <c r="G48" s="885"/>
      <c r="H48" s="885"/>
      <c r="I48" s="885"/>
      <c r="J48" s="885"/>
      <c r="K48" s="885"/>
      <c r="L48" s="885"/>
      <c r="M48" s="885"/>
      <c r="N48" s="886"/>
      <c r="O48" s="886"/>
      <c r="P48" s="889"/>
      <c r="Q48" s="890"/>
      <c r="R48" s="814">
        <f t="shared" si="94"/>
        <v>0</v>
      </c>
      <c r="S48" s="815">
        <f t="shared" si="95"/>
        <v>0</v>
      </c>
      <c r="T48" s="816">
        <f t="shared" si="96"/>
        <v>0</v>
      </c>
      <c r="U48" s="817">
        <f t="shared" si="97"/>
        <v>0</v>
      </c>
      <c r="V48" s="566">
        <f t="shared" si="98"/>
        <v>0</v>
      </c>
      <c r="W48" s="562" t="str">
        <f t="shared" si="99"/>
        <v/>
      </c>
      <c r="X48" s="563" t="str">
        <f t="shared" si="100"/>
        <v/>
      </c>
      <c r="Y48" s="563" t="str">
        <f t="shared" si="101"/>
        <v/>
      </c>
      <c r="Z48" s="563" t="str">
        <f t="shared" si="102"/>
        <v/>
      </c>
      <c r="AA48" s="563" t="str">
        <f t="shared" si="103"/>
        <v/>
      </c>
      <c r="AB48" s="563" t="str">
        <f t="shared" si="104"/>
        <v/>
      </c>
      <c r="AC48" s="563" t="str">
        <f t="shared" si="105"/>
        <v/>
      </c>
      <c r="AD48" s="563" t="str">
        <f t="shared" si="106"/>
        <v/>
      </c>
      <c r="AE48" s="563" t="str">
        <f t="shared" si="107"/>
        <v/>
      </c>
      <c r="AF48" s="563" t="str">
        <f t="shared" si="108"/>
        <v/>
      </c>
      <c r="AG48" s="563" t="str">
        <f t="shared" si="109"/>
        <v/>
      </c>
      <c r="AH48" s="563" t="str">
        <f t="shared" si="110"/>
        <v/>
      </c>
      <c r="AI48" s="564" t="str">
        <f t="shared" si="111"/>
        <v/>
      </c>
      <c r="AJ48" s="565">
        <f t="shared" si="112"/>
        <v>0</v>
      </c>
      <c r="AK48" s="517">
        <f t="shared" si="113"/>
        <v>0</v>
      </c>
      <c r="AL48" s="518">
        <f t="shared" si="114"/>
        <v>0</v>
      </c>
      <c r="AM48" s="518">
        <f t="shared" si="115"/>
        <v>0</v>
      </c>
      <c r="AN48" s="518">
        <f t="shared" si="116"/>
        <v>0</v>
      </c>
      <c r="AO48" s="518">
        <f t="shared" si="117"/>
        <v>0</v>
      </c>
      <c r="AP48" s="518">
        <f t="shared" si="118"/>
        <v>0</v>
      </c>
      <c r="AQ48" s="518">
        <f t="shared" si="119"/>
        <v>0</v>
      </c>
      <c r="AR48" s="518">
        <f t="shared" si="120"/>
        <v>0</v>
      </c>
      <c r="AS48" s="518">
        <f t="shared" si="121"/>
        <v>0</v>
      </c>
      <c r="AT48" s="518">
        <f t="shared" si="122"/>
        <v>0</v>
      </c>
      <c r="AU48" s="518">
        <f t="shared" si="123"/>
        <v>0</v>
      </c>
      <c r="AV48" s="563">
        <f t="shared" si="124"/>
        <v>0</v>
      </c>
      <c r="AW48" s="519">
        <f t="shared" si="125"/>
        <v>0</v>
      </c>
      <c r="AX48" s="508">
        <f t="shared" si="67"/>
        <v>0</v>
      </c>
      <c r="AY48" s="518">
        <f t="shared" si="68"/>
        <v>0</v>
      </c>
      <c r="AZ48" s="518">
        <f t="shared" si="69"/>
        <v>0</v>
      </c>
      <c r="BA48" s="518">
        <f t="shared" si="70"/>
        <v>0</v>
      </c>
      <c r="BB48" s="518">
        <f t="shared" si="71"/>
        <v>0</v>
      </c>
      <c r="BC48" s="518">
        <f t="shared" si="72"/>
        <v>0</v>
      </c>
      <c r="BD48" s="518">
        <f t="shared" si="73"/>
        <v>0</v>
      </c>
      <c r="BE48" s="518">
        <f t="shared" si="74"/>
        <v>0</v>
      </c>
      <c r="BF48" s="518">
        <f t="shared" si="75"/>
        <v>0</v>
      </c>
      <c r="BG48" s="518">
        <f t="shared" si="76"/>
        <v>0</v>
      </c>
      <c r="BH48" s="520">
        <f t="shared" si="77"/>
        <v>0</v>
      </c>
      <c r="BI48" s="563">
        <f t="shared" si="78"/>
        <v>0</v>
      </c>
      <c r="BJ48" s="521">
        <f t="shared" si="79"/>
        <v>0</v>
      </c>
      <c r="BK48" s="524">
        <f t="shared" si="126"/>
        <v>0</v>
      </c>
      <c r="BL48" s="512">
        <f t="shared" si="80"/>
        <v>0</v>
      </c>
      <c r="BM48" s="518">
        <f t="shared" si="81"/>
        <v>0</v>
      </c>
      <c r="BN48" s="518">
        <f t="shared" si="82"/>
        <v>0</v>
      </c>
      <c r="BO48" s="518">
        <f t="shared" si="83"/>
        <v>0</v>
      </c>
      <c r="BP48" s="518">
        <f t="shared" si="84"/>
        <v>0</v>
      </c>
      <c r="BQ48" s="518">
        <f t="shared" si="85"/>
        <v>0</v>
      </c>
      <c r="BR48" s="518">
        <f t="shared" si="86"/>
        <v>0</v>
      </c>
      <c r="BS48" s="518">
        <f t="shared" si="87"/>
        <v>0</v>
      </c>
      <c r="BT48" s="518">
        <f t="shared" si="88"/>
        <v>0</v>
      </c>
      <c r="BU48" s="518">
        <f t="shared" si="89"/>
        <v>0</v>
      </c>
      <c r="BV48" s="520">
        <f t="shared" si="90"/>
        <v>0</v>
      </c>
      <c r="BW48" s="563">
        <f t="shared" si="91"/>
        <v>0</v>
      </c>
      <c r="BX48" s="521">
        <f t="shared" si="92"/>
        <v>0</v>
      </c>
      <c r="BY48" s="513">
        <f t="shared" si="127"/>
        <v>0</v>
      </c>
      <c r="BZ48" s="514">
        <f t="array" ref="BZ48">SUMPRODUCT(AX49:BJ49,TRANSPOSE(EXP(-(IF($C$9=1,k_MSW,k_Indu)))))+SUM(AK48:AW48)</f>
        <v>0</v>
      </c>
      <c r="CA48" s="515">
        <f t="array" ref="CA48">SUMPRODUCT(AX49:BJ49,TRANSPOSE(1-EXP(-(IF($C$9=1,k_MSW,k_Indu)))))</f>
        <v>0</v>
      </c>
      <c r="CB48" s="516">
        <f t="shared" si="93"/>
        <v>0</v>
      </c>
    </row>
    <row r="49" spans="1:80" s="315" customFormat="1" ht="17.25" x14ac:dyDescent="0.3">
      <c r="A49" s="313"/>
      <c r="B49" s="316">
        <f t="shared" si="64"/>
        <v>1980</v>
      </c>
      <c r="C49" s="883"/>
      <c r="D49" s="884"/>
      <c r="E49" s="885"/>
      <c r="F49" s="885"/>
      <c r="G49" s="885"/>
      <c r="H49" s="885"/>
      <c r="I49" s="885"/>
      <c r="J49" s="885"/>
      <c r="K49" s="885"/>
      <c r="L49" s="885"/>
      <c r="M49" s="885"/>
      <c r="N49" s="886"/>
      <c r="O49" s="886"/>
      <c r="P49" s="889"/>
      <c r="Q49" s="890"/>
      <c r="R49" s="814">
        <f t="shared" si="94"/>
        <v>0</v>
      </c>
      <c r="S49" s="815">
        <f t="shared" si="95"/>
        <v>0</v>
      </c>
      <c r="T49" s="816">
        <f t="shared" si="96"/>
        <v>0</v>
      </c>
      <c r="U49" s="817">
        <f t="shared" si="97"/>
        <v>0</v>
      </c>
      <c r="V49" s="566">
        <f t="shared" si="98"/>
        <v>0</v>
      </c>
      <c r="W49" s="562" t="str">
        <f t="shared" si="99"/>
        <v/>
      </c>
      <c r="X49" s="563" t="str">
        <f t="shared" si="100"/>
        <v/>
      </c>
      <c r="Y49" s="563" t="str">
        <f t="shared" si="101"/>
        <v/>
      </c>
      <c r="Z49" s="563" t="str">
        <f t="shared" si="102"/>
        <v/>
      </c>
      <c r="AA49" s="563" t="str">
        <f t="shared" si="103"/>
        <v/>
      </c>
      <c r="AB49" s="563" t="str">
        <f t="shared" si="104"/>
        <v/>
      </c>
      <c r="AC49" s="563" t="str">
        <f t="shared" si="105"/>
        <v/>
      </c>
      <c r="AD49" s="563" t="str">
        <f t="shared" si="106"/>
        <v/>
      </c>
      <c r="AE49" s="563" t="str">
        <f t="shared" si="107"/>
        <v/>
      </c>
      <c r="AF49" s="563" t="str">
        <f t="shared" si="108"/>
        <v/>
      </c>
      <c r="AG49" s="563" t="str">
        <f t="shared" si="109"/>
        <v/>
      </c>
      <c r="AH49" s="563" t="str">
        <f t="shared" si="110"/>
        <v/>
      </c>
      <c r="AI49" s="564" t="str">
        <f t="shared" si="111"/>
        <v/>
      </c>
      <c r="AJ49" s="565">
        <f t="shared" si="112"/>
        <v>0</v>
      </c>
      <c r="AK49" s="517">
        <f t="shared" si="113"/>
        <v>0</v>
      </c>
      <c r="AL49" s="518">
        <f t="shared" si="114"/>
        <v>0</v>
      </c>
      <c r="AM49" s="518">
        <f t="shared" si="115"/>
        <v>0</v>
      </c>
      <c r="AN49" s="518">
        <f t="shared" si="116"/>
        <v>0</v>
      </c>
      <c r="AO49" s="518">
        <f t="shared" si="117"/>
        <v>0</v>
      </c>
      <c r="AP49" s="518">
        <f t="shared" si="118"/>
        <v>0</v>
      </c>
      <c r="AQ49" s="518">
        <f t="shared" si="119"/>
        <v>0</v>
      </c>
      <c r="AR49" s="518">
        <f t="shared" si="120"/>
        <v>0</v>
      </c>
      <c r="AS49" s="518">
        <f t="shared" si="121"/>
        <v>0</v>
      </c>
      <c r="AT49" s="518">
        <f t="shared" si="122"/>
        <v>0</v>
      </c>
      <c r="AU49" s="518">
        <f t="shared" si="123"/>
        <v>0</v>
      </c>
      <c r="AV49" s="563">
        <f t="shared" si="124"/>
        <v>0</v>
      </c>
      <c r="AW49" s="519">
        <f t="shared" si="125"/>
        <v>0</v>
      </c>
      <c r="AX49" s="508">
        <f t="shared" si="67"/>
        <v>0</v>
      </c>
      <c r="AY49" s="518">
        <f t="shared" si="68"/>
        <v>0</v>
      </c>
      <c r="AZ49" s="518">
        <f t="shared" si="69"/>
        <v>0</v>
      </c>
      <c r="BA49" s="518">
        <f t="shared" si="70"/>
        <v>0</v>
      </c>
      <c r="BB49" s="518">
        <f t="shared" si="71"/>
        <v>0</v>
      </c>
      <c r="BC49" s="518">
        <f t="shared" si="72"/>
        <v>0</v>
      </c>
      <c r="BD49" s="518">
        <f t="shared" si="73"/>
        <v>0</v>
      </c>
      <c r="BE49" s="518">
        <f t="shared" si="74"/>
        <v>0</v>
      </c>
      <c r="BF49" s="518">
        <f t="shared" si="75"/>
        <v>0</v>
      </c>
      <c r="BG49" s="518">
        <f t="shared" si="76"/>
        <v>0</v>
      </c>
      <c r="BH49" s="520">
        <f t="shared" si="77"/>
        <v>0</v>
      </c>
      <c r="BI49" s="563">
        <f t="shared" si="78"/>
        <v>0</v>
      </c>
      <c r="BJ49" s="521">
        <f t="shared" si="79"/>
        <v>0</v>
      </c>
      <c r="BK49" s="524">
        <f t="shared" si="126"/>
        <v>0</v>
      </c>
      <c r="BL49" s="512">
        <f t="shared" si="80"/>
        <v>0</v>
      </c>
      <c r="BM49" s="518">
        <f t="shared" si="81"/>
        <v>0</v>
      </c>
      <c r="BN49" s="518">
        <f t="shared" si="82"/>
        <v>0</v>
      </c>
      <c r="BO49" s="518">
        <f t="shared" si="83"/>
        <v>0</v>
      </c>
      <c r="BP49" s="518">
        <f t="shared" si="84"/>
        <v>0</v>
      </c>
      <c r="BQ49" s="518">
        <f t="shared" si="85"/>
        <v>0</v>
      </c>
      <c r="BR49" s="518">
        <f t="shared" si="86"/>
        <v>0</v>
      </c>
      <c r="BS49" s="518">
        <f t="shared" si="87"/>
        <v>0</v>
      </c>
      <c r="BT49" s="518">
        <f t="shared" si="88"/>
        <v>0</v>
      </c>
      <c r="BU49" s="518">
        <f t="shared" si="89"/>
        <v>0</v>
      </c>
      <c r="BV49" s="520">
        <f t="shared" si="90"/>
        <v>0</v>
      </c>
      <c r="BW49" s="563">
        <f t="shared" si="91"/>
        <v>0</v>
      </c>
      <c r="BX49" s="521">
        <f t="shared" si="92"/>
        <v>0</v>
      </c>
      <c r="BY49" s="513">
        <f t="shared" si="127"/>
        <v>0</v>
      </c>
      <c r="BZ49" s="514">
        <f t="array" ref="BZ49">SUMPRODUCT(AX50:BJ50,TRANSPOSE(EXP(-(IF($C$9=1,k_MSW,k_Indu)))))+SUM(AK49:AW49)</f>
        <v>0</v>
      </c>
      <c r="CA49" s="515">
        <f t="array" ref="CA49">SUMPRODUCT(AX50:BJ50,TRANSPOSE(1-EXP(-(IF($C$9=1,k_MSW,k_Indu)))))</f>
        <v>0</v>
      </c>
      <c r="CB49" s="516">
        <f t="shared" si="93"/>
        <v>0</v>
      </c>
    </row>
    <row r="50" spans="1:80" s="315" customFormat="1" ht="17.25" x14ac:dyDescent="0.3">
      <c r="A50" s="313"/>
      <c r="B50" s="316">
        <f t="shared" si="64"/>
        <v>1979</v>
      </c>
      <c r="C50" s="883"/>
      <c r="D50" s="884"/>
      <c r="E50" s="885"/>
      <c r="F50" s="885"/>
      <c r="G50" s="885"/>
      <c r="H50" s="885"/>
      <c r="I50" s="885"/>
      <c r="J50" s="885"/>
      <c r="K50" s="885"/>
      <c r="L50" s="885"/>
      <c r="M50" s="885"/>
      <c r="N50" s="886"/>
      <c r="O50" s="886"/>
      <c r="P50" s="889"/>
      <c r="Q50" s="890"/>
      <c r="R50" s="814">
        <f t="shared" si="94"/>
        <v>0</v>
      </c>
      <c r="S50" s="815">
        <f t="shared" si="95"/>
        <v>0</v>
      </c>
      <c r="T50" s="816">
        <f t="shared" si="96"/>
        <v>0</v>
      </c>
      <c r="U50" s="817">
        <f t="shared" si="97"/>
        <v>0</v>
      </c>
      <c r="V50" s="566">
        <f t="shared" si="98"/>
        <v>0</v>
      </c>
      <c r="W50" s="562" t="str">
        <f t="shared" si="99"/>
        <v/>
      </c>
      <c r="X50" s="563" t="str">
        <f t="shared" si="100"/>
        <v/>
      </c>
      <c r="Y50" s="563" t="str">
        <f t="shared" si="101"/>
        <v/>
      </c>
      <c r="Z50" s="563" t="str">
        <f t="shared" si="102"/>
        <v/>
      </c>
      <c r="AA50" s="563" t="str">
        <f t="shared" si="103"/>
        <v/>
      </c>
      <c r="AB50" s="563" t="str">
        <f t="shared" si="104"/>
        <v/>
      </c>
      <c r="AC50" s="563" t="str">
        <f t="shared" si="105"/>
        <v/>
      </c>
      <c r="AD50" s="563" t="str">
        <f t="shared" si="106"/>
        <v/>
      </c>
      <c r="AE50" s="563" t="str">
        <f t="shared" si="107"/>
        <v/>
      </c>
      <c r="AF50" s="563" t="str">
        <f t="shared" si="108"/>
        <v/>
      </c>
      <c r="AG50" s="563" t="str">
        <f t="shared" si="109"/>
        <v/>
      </c>
      <c r="AH50" s="563" t="str">
        <f t="shared" si="110"/>
        <v/>
      </c>
      <c r="AI50" s="564" t="str">
        <f t="shared" si="111"/>
        <v/>
      </c>
      <c r="AJ50" s="565">
        <f t="shared" si="112"/>
        <v>0</v>
      </c>
      <c r="AK50" s="517">
        <f t="shared" si="113"/>
        <v>0</v>
      </c>
      <c r="AL50" s="518">
        <f t="shared" si="114"/>
        <v>0</v>
      </c>
      <c r="AM50" s="518">
        <f t="shared" si="115"/>
        <v>0</v>
      </c>
      <c r="AN50" s="518">
        <f t="shared" si="116"/>
        <v>0</v>
      </c>
      <c r="AO50" s="518">
        <f t="shared" si="117"/>
        <v>0</v>
      </c>
      <c r="AP50" s="518">
        <f t="shared" si="118"/>
        <v>0</v>
      </c>
      <c r="AQ50" s="518">
        <f t="shared" si="119"/>
        <v>0</v>
      </c>
      <c r="AR50" s="518">
        <f t="shared" si="120"/>
        <v>0</v>
      </c>
      <c r="AS50" s="518">
        <f t="shared" si="121"/>
        <v>0</v>
      </c>
      <c r="AT50" s="518">
        <f t="shared" si="122"/>
        <v>0</v>
      </c>
      <c r="AU50" s="518">
        <f t="shared" si="123"/>
        <v>0</v>
      </c>
      <c r="AV50" s="563">
        <f t="shared" si="124"/>
        <v>0</v>
      </c>
      <c r="AW50" s="519">
        <f t="shared" si="125"/>
        <v>0</v>
      </c>
      <c r="AX50" s="508">
        <f t="shared" si="67"/>
        <v>0</v>
      </c>
      <c r="AY50" s="518">
        <f t="shared" si="68"/>
        <v>0</v>
      </c>
      <c r="AZ50" s="518">
        <f t="shared" si="69"/>
        <v>0</v>
      </c>
      <c r="BA50" s="518">
        <f t="shared" si="70"/>
        <v>0</v>
      </c>
      <c r="BB50" s="518">
        <f t="shared" si="71"/>
        <v>0</v>
      </c>
      <c r="BC50" s="518">
        <f t="shared" si="72"/>
        <v>0</v>
      </c>
      <c r="BD50" s="518">
        <f t="shared" si="73"/>
        <v>0</v>
      </c>
      <c r="BE50" s="518">
        <f t="shared" si="74"/>
        <v>0</v>
      </c>
      <c r="BF50" s="518">
        <f t="shared" si="75"/>
        <v>0</v>
      </c>
      <c r="BG50" s="518">
        <f t="shared" si="76"/>
        <v>0</v>
      </c>
      <c r="BH50" s="520">
        <f t="shared" si="77"/>
        <v>0</v>
      </c>
      <c r="BI50" s="563">
        <f t="shared" si="78"/>
        <v>0</v>
      </c>
      <c r="BJ50" s="521">
        <f t="shared" si="79"/>
        <v>0</v>
      </c>
      <c r="BK50" s="524">
        <f t="shared" si="126"/>
        <v>0</v>
      </c>
      <c r="BL50" s="512">
        <f t="shared" si="80"/>
        <v>0</v>
      </c>
      <c r="BM50" s="518">
        <f t="shared" si="81"/>
        <v>0</v>
      </c>
      <c r="BN50" s="518">
        <f t="shared" si="82"/>
        <v>0</v>
      </c>
      <c r="BO50" s="518">
        <f t="shared" si="83"/>
        <v>0</v>
      </c>
      <c r="BP50" s="518">
        <f t="shared" si="84"/>
        <v>0</v>
      </c>
      <c r="BQ50" s="518">
        <f t="shared" si="85"/>
        <v>0</v>
      </c>
      <c r="BR50" s="518">
        <f t="shared" si="86"/>
        <v>0</v>
      </c>
      <c r="BS50" s="518">
        <f t="shared" si="87"/>
        <v>0</v>
      </c>
      <c r="BT50" s="518">
        <f t="shared" si="88"/>
        <v>0</v>
      </c>
      <c r="BU50" s="518">
        <f t="shared" si="89"/>
        <v>0</v>
      </c>
      <c r="BV50" s="520">
        <f t="shared" si="90"/>
        <v>0</v>
      </c>
      <c r="BW50" s="563">
        <f t="shared" si="91"/>
        <v>0</v>
      </c>
      <c r="BX50" s="521">
        <f t="shared" si="92"/>
        <v>0</v>
      </c>
      <c r="BY50" s="513">
        <f t="shared" si="127"/>
        <v>0</v>
      </c>
      <c r="BZ50" s="514">
        <f t="array" ref="BZ50">SUMPRODUCT(AX51:BJ51,TRANSPOSE(EXP(-(IF($C$9=1,k_MSW,k_Indu)))))+SUM(AK50:AW50)</f>
        <v>0</v>
      </c>
      <c r="CA50" s="515">
        <f t="array" ref="CA50">SUMPRODUCT(AX51:BJ51,TRANSPOSE(1-EXP(-(IF($C$9=1,k_MSW,k_Indu)))))</f>
        <v>0</v>
      </c>
      <c r="CB50" s="516">
        <f t="shared" si="93"/>
        <v>0</v>
      </c>
    </row>
    <row r="51" spans="1:80" s="315" customFormat="1" ht="17.25" x14ac:dyDescent="0.3">
      <c r="A51" s="313"/>
      <c r="B51" s="316">
        <f t="shared" si="64"/>
        <v>1978</v>
      </c>
      <c r="C51" s="883"/>
      <c r="D51" s="884"/>
      <c r="E51" s="885"/>
      <c r="F51" s="885"/>
      <c r="G51" s="885"/>
      <c r="H51" s="885"/>
      <c r="I51" s="885"/>
      <c r="J51" s="885"/>
      <c r="K51" s="885"/>
      <c r="L51" s="885"/>
      <c r="M51" s="885"/>
      <c r="N51" s="886"/>
      <c r="O51" s="886"/>
      <c r="P51" s="889"/>
      <c r="Q51" s="890"/>
      <c r="R51" s="814">
        <f t="shared" si="94"/>
        <v>0</v>
      </c>
      <c r="S51" s="815">
        <f t="shared" si="95"/>
        <v>0</v>
      </c>
      <c r="T51" s="816">
        <f t="shared" si="96"/>
        <v>0</v>
      </c>
      <c r="U51" s="817">
        <f t="shared" si="97"/>
        <v>0</v>
      </c>
      <c r="V51" s="566">
        <f t="shared" si="98"/>
        <v>0</v>
      </c>
      <c r="W51" s="562" t="str">
        <f t="shared" si="99"/>
        <v/>
      </c>
      <c r="X51" s="563" t="str">
        <f t="shared" si="100"/>
        <v/>
      </c>
      <c r="Y51" s="563" t="str">
        <f t="shared" si="101"/>
        <v/>
      </c>
      <c r="Z51" s="563" t="str">
        <f t="shared" si="102"/>
        <v/>
      </c>
      <c r="AA51" s="563" t="str">
        <f t="shared" si="103"/>
        <v/>
      </c>
      <c r="AB51" s="563" t="str">
        <f t="shared" si="104"/>
        <v/>
      </c>
      <c r="AC51" s="563" t="str">
        <f t="shared" si="105"/>
        <v/>
      </c>
      <c r="AD51" s="563" t="str">
        <f t="shared" si="106"/>
        <v/>
      </c>
      <c r="AE51" s="563" t="str">
        <f t="shared" si="107"/>
        <v/>
      </c>
      <c r="AF51" s="563" t="str">
        <f t="shared" si="108"/>
        <v/>
      </c>
      <c r="AG51" s="563" t="str">
        <f t="shared" si="109"/>
        <v/>
      </c>
      <c r="AH51" s="563" t="str">
        <f t="shared" si="110"/>
        <v/>
      </c>
      <c r="AI51" s="564" t="str">
        <f t="shared" si="111"/>
        <v/>
      </c>
      <c r="AJ51" s="565">
        <f t="shared" si="112"/>
        <v>0</v>
      </c>
      <c r="AK51" s="517">
        <f t="shared" si="113"/>
        <v>0</v>
      </c>
      <c r="AL51" s="518">
        <f t="shared" si="114"/>
        <v>0</v>
      </c>
      <c r="AM51" s="518">
        <f t="shared" si="115"/>
        <v>0</v>
      </c>
      <c r="AN51" s="518">
        <f t="shared" si="116"/>
        <v>0</v>
      </c>
      <c r="AO51" s="518">
        <f t="shared" si="117"/>
        <v>0</v>
      </c>
      <c r="AP51" s="518">
        <f t="shared" si="118"/>
        <v>0</v>
      </c>
      <c r="AQ51" s="518">
        <f t="shared" si="119"/>
        <v>0</v>
      </c>
      <c r="AR51" s="518">
        <f t="shared" si="120"/>
        <v>0</v>
      </c>
      <c r="AS51" s="518">
        <f t="shared" si="121"/>
        <v>0</v>
      </c>
      <c r="AT51" s="518">
        <f t="shared" si="122"/>
        <v>0</v>
      </c>
      <c r="AU51" s="518">
        <f t="shared" si="123"/>
        <v>0</v>
      </c>
      <c r="AV51" s="563">
        <f t="shared" si="124"/>
        <v>0</v>
      </c>
      <c r="AW51" s="519">
        <f t="shared" si="125"/>
        <v>0</v>
      </c>
      <c r="AX51" s="508">
        <f t="shared" si="67"/>
        <v>0</v>
      </c>
      <c r="AY51" s="518">
        <f t="shared" si="68"/>
        <v>0</v>
      </c>
      <c r="AZ51" s="518">
        <f t="shared" si="69"/>
        <v>0</v>
      </c>
      <c r="BA51" s="518">
        <f t="shared" si="70"/>
        <v>0</v>
      </c>
      <c r="BB51" s="518">
        <f t="shared" si="71"/>
        <v>0</v>
      </c>
      <c r="BC51" s="518">
        <f t="shared" si="72"/>
        <v>0</v>
      </c>
      <c r="BD51" s="518">
        <f t="shared" si="73"/>
        <v>0</v>
      </c>
      <c r="BE51" s="518">
        <f t="shared" si="74"/>
        <v>0</v>
      </c>
      <c r="BF51" s="518">
        <f t="shared" si="75"/>
        <v>0</v>
      </c>
      <c r="BG51" s="518">
        <f t="shared" si="76"/>
        <v>0</v>
      </c>
      <c r="BH51" s="520">
        <f t="shared" si="77"/>
        <v>0</v>
      </c>
      <c r="BI51" s="563">
        <f t="shared" si="78"/>
        <v>0</v>
      </c>
      <c r="BJ51" s="521">
        <f t="shared" si="79"/>
        <v>0</v>
      </c>
      <c r="BK51" s="524">
        <f t="shared" si="126"/>
        <v>0</v>
      </c>
      <c r="BL51" s="512">
        <f t="shared" si="80"/>
        <v>0</v>
      </c>
      <c r="BM51" s="518">
        <f t="shared" si="81"/>
        <v>0</v>
      </c>
      <c r="BN51" s="518">
        <f t="shared" si="82"/>
        <v>0</v>
      </c>
      <c r="BO51" s="518">
        <f t="shared" si="83"/>
        <v>0</v>
      </c>
      <c r="BP51" s="518">
        <f t="shared" si="84"/>
        <v>0</v>
      </c>
      <c r="BQ51" s="518">
        <f t="shared" si="85"/>
        <v>0</v>
      </c>
      <c r="BR51" s="518">
        <f t="shared" si="86"/>
        <v>0</v>
      </c>
      <c r="BS51" s="518">
        <f t="shared" si="87"/>
        <v>0</v>
      </c>
      <c r="BT51" s="518">
        <f t="shared" si="88"/>
        <v>0</v>
      </c>
      <c r="BU51" s="518">
        <f t="shared" si="89"/>
        <v>0</v>
      </c>
      <c r="BV51" s="520">
        <f t="shared" si="90"/>
        <v>0</v>
      </c>
      <c r="BW51" s="563">
        <f t="shared" si="91"/>
        <v>0</v>
      </c>
      <c r="BX51" s="521">
        <f t="shared" si="92"/>
        <v>0</v>
      </c>
      <c r="BY51" s="513">
        <f t="shared" si="127"/>
        <v>0</v>
      </c>
      <c r="BZ51" s="514">
        <f t="array" ref="BZ51">SUMPRODUCT(AX52:BJ52,TRANSPOSE(EXP(-(IF($C$9=1,k_MSW,k_Indu)))))+SUM(AK51:AW51)</f>
        <v>0</v>
      </c>
      <c r="CA51" s="515">
        <f t="array" ref="CA51">SUMPRODUCT(AX52:BJ52,TRANSPOSE(1-EXP(-(IF($C$9=1,k_MSW,k_Indu)))))</f>
        <v>0</v>
      </c>
      <c r="CB51" s="516">
        <f t="shared" si="93"/>
        <v>0</v>
      </c>
    </row>
    <row r="52" spans="1:80" s="315" customFormat="1" ht="17.25" x14ac:dyDescent="0.3">
      <c r="A52" s="313"/>
      <c r="B52" s="316">
        <f t="shared" si="64"/>
        <v>1977</v>
      </c>
      <c r="C52" s="883"/>
      <c r="D52" s="884"/>
      <c r="E52" s="885"/>
      <c r="F52" s="885"/>
      <c r="G52" s="885"/>
      <c r="H52" s="885"/>
      <c r="I52" s="885"/>
      <c r="J52" s="885"/>
      <c r="K52" s="885"/>
      <c r="L52" s="885"/>
      <c r="M52" s="885"/>
      <c r="N52" s="886"/>
      <c r="O52" s="886"/>
      <c r="P52" s="889"/>
      <c r="Q52" s="890"/>
      <c r="R52" s="814">
        <f t="shared" si="94"/>
        <v>0</v>
      </c>
      <c r="S52" s="815">
        <f t="shared" si="95"/>
        <v>0</v>
      </c>
      <c r="T52" s="816">
        <f t="shared" si="96"/>
        <v>0</v>
      </c>
      <c r="U52" s="817">
        <f t="shared" si="97"/>
        <v>0</v>
      </c>
      <c r="V52" s="566">
        <f t="shared" si="98"/>
        <v>0</v>
      </c>
      <c r="W52" s="562" t="str">
        <f t="shared" si="99"/>
        <v/>
      </c>
      <c r="X52" s="563" t="str">
        <f t="shared" si="100"/>
        <v/>
      </c>
      <c r="Y52" s="563" t="str">
        <f t="shared" si="101"/>
        <v/>
      </c>
      <c r="Z52" s="563" t="str">
        <f t="shared" si="102"/>
        <v/>
      </c>
      <c r="AA52" s="563" t="str">
        <f t="shared" si="103"/>
        <v/>
      </c>
      <c r="AB52" s="563" t="str">
        <f t="shared" si="104"/>
        <v/>
      </c>
      <c r="AC52" s="563" t="str">
        <f t="shared" si="105"/>
        <v/>
      </c>
      <c r="AD52" s="563" t="str">
        <f t="shared" si="106"/>
        <v/>
      </c>
      <c r="AE52" s="563" t="str">
        <f t="shared" si="107"/>
        <v/>
      </c>
      <c r="AF52" s="563" t="str">
        <f t="shared" si="108"/>
        <v/>
      </c>
      <c r="AG52" s="563" t="str">
        <f t="shared" si="109"/>
        <v/>
      </c>
      <c r="AH52" s="563" t="str">
        <f t="shared" si="110"/>
        <v/>
      </c>
      <c r="AI52" s="564" t="str">
        <f t="shared" si="111"/>
        <v/>
      </c>
      <c r="AJ52" s="565">
        <f t="shared" si="112"/>
        <v>0</v>
      </c>
      <c r="AK52" s="517">
        <f t="shared" si="113"/>
        <v>0</v>
      </c>
      <c r="AL52" s="518">
        <f t="shared" si="114"/>
        <v>0</v>
      </c>
      <c r="AM52" s="518">
        <f t="shared" si="115"/>
        <v>0</v>
      </c>
      <c r="AN52" s="518">
        <f t="shared" si="116"/>
        <v>0</v>
      </c>
      <c r="AO52" s="518">
        <f t="shared" si="117"/>
        <v>0</v>
      </c>
      <c r="AP52" s="518">
        <f t="shared" si="118"/>
        <v>0</v>
      </c>
      <c r="AQ52" s="518">
        <f t="shared" si="119"/>
        <v>0</v>
      </c>
      <c r="AR52" s="518">
        <f t="shared" si="120"/>
        <v>0</v>
      </c>
      <c r="AS52" s="518">
        <f t="shared" si="121"/>
        <v>0</v>
      </c>
      <c r="AT52" s="518">
        <f t="shared" si="122"/>
        <v>0</v>
      </c>
      <c r="AU52" s="518">
        <f t="shared" si="123"/>
        <v>0</v>
      </c>
      <c r="AV52" s="563">
        <f t="shared" si="124"/>
        <v>0</v>
      </c>
      <c r="AW52" s="519">
        <f t="shared" si="125"/>
        <v>0</v>
      </c>
      <c r="AX52" s="508">
        <f t="shared" si="67"/>
        <v>0</v>
      </c>
      <c r="AY52" s="518">
        <f t="shared" si="68"/>
        <v>0</v>
      </c>
      <c r="AZ52" s="518">
        <f t="shared" si="69"/>
        <v>0</v>
      </c>
      <c r="BA52" s="518">
        <f t="shared" si="70"/>
        <v>0</v>
      </c>
      <c r="BB52" s="518">
        <f t="shared" si="71"/>
        <v>0</v>
      </c>
      <c r="BC52" s="518">
        <f t="shared" si="72"/>
        <v>0</v>
      </c>
      <c r="BD52" s="518">
        <f t="shared" si="73"/>
        <v>0</v>
      </c>
      <c r="BE52" s="518">
        <f t="shared" si="74"/>
        <v>0</v>
      </c>
      <c r="BF52" s="518">
        <f t="shared" si="75"/>
        <v>0</v>
      </c>
      <c r="BG52" s="518">
        <f t="shared" si="76"/>
        <v>0</v>
      </c>
      <c r="BH52" s="520">
        <f t="shared" si="77"/>
        <v>0</v>
      </c>
      <c r="BI52" s="563">
        <f t="shared" si="78"/>
        <v>0</v>
      </c>
      <c r="BJ52" s="521">
        <f t="shared" si="79"/>
        <v>0</v>
      </c>
      <c r="BK52" s="524">
        <f t="shared" si="126"/>
        <v>0</v>
      </c>
      <c r="BL52" s="512">
        <f t="shared" si="80"/>
        <v>0</v>
      </c>
      <c r="BM52" s="518">
        <f t="shared" si="81"/>
        <v>0</v>
      </c>
      <c r="BN52" s="518">
        <f t="shared" si="82"/>
        <v>0</v>
      </c>
      <c r="BO52" s="518">
        <f t="shared" si="83"/>
        <v>0</v>
      </c>
      <c r="BP52" s="518">
        <f t="shared" si="84"/>
        <v>0</v>
      </c>
      <c r="BQ52" s="518">
        <f t="shared" si="85"/>
        <v>0</v>
      </c>
      <c r="BR52" s="518">
        <f t="shared" si="86"/>
        <v>0</v>
      </c>
      <c r="BS52" s="518">
        <f t="shared" si="87"/>
        <v>0</v>
      </c>
      <c r="BT52" s="518">
        <f t="shared" si="88"/>
        <v>0</v>
      </c>
      <c r="BU52" s="518">
        <f t="shared" si="89"/>
        <v>0</v>
      </c>
      <c r="BV52" s="520">
        <f t="shared" si="90"/>
        <v>0</v>
      </c>
      <c r="BW52" s="563">
        <f t="shared" si="91"/>
        <v>0</v>
      </c>
      <c r="BX52" s="521">
        <f t="shared" si="92"/>
        <v>0</v>
      </c>
      <c r="BY52" s="513">
        <f t="shared" si="127"/>
        <v>0</v>
      </c>
      <c r="BZ52" s="514">
        <f t="array" ref="BZ52">SUMPRODUCT(AX53:BJ53,TRANSPOSE(EXP(-(IF($C$9=1,k_MSW,k_Indu)))))+SUM(AK52:AW52)</f>
        <v>0</v>
      </c>
      <c r="CA52" s="515">
        <f t="array" ref="CA52">SUMPRODUCT(AX53:BJ53,TRANSPOSE(1-EXP(-(IF($C$9=1,k_MSW,k_Indu)))))</f>
        <v>0</v>
      </c>
      <c r="CB52" s="516">
        <f t="shared" si="93"/>
        <v>0</v>
      </c>
    </row>
    <row r="53" spans="1:80" s="315" customFormat="1" ht="17.25" x14ac:dyDescent="0.3">
      <c r="A53" s="313"/>
      <c r="B53" s="316">
        <f t="shared" si="64"/>
        <v>1976</v>
      </c>
      <c r="C53" s="883"/>
      <c r="D53" s="884"/>
      <c r="E53" s="885"/>
      <c r="F53" s="885"/>
      <c r="G53" s="885"/>
      <c r="H53" s="885"/>
      <c r="I53" s="885"/>
      <c r="J53" s="885"/>
      <c r="K53" s="885"/>
      <c r="L53" s="885"/>
      <c r="M53" s="885"/>
      <c r="N53" s="886"/>
      <c r="O53" s="886"/>
      <c r="P53" s="889"/>
      <c r="Q53" s="890"/>
      <c r="R53" s="814">
        <f t="shared" si="94"/>
        <v>0</v>
      </c>
      <c r="S53" s="815">
        <f t="shared" si="95"/>
        <v>0</v>
      </c>
      <c r="T53" s="816">
        <f t="shared" si="96"/>
        <v>0</v>
      </c>
      <c r="U53" s="817">
        <f t="shared" si="97"/>
        <v>0</v>
      </c>
      <c r="V53" s="566">
        <f t="shared" si="98"/>
        <v>0</v>
      </c>
      <c r="W53" s="562" t="str">
        <f t="shared" si="99"/>
        <v/>
      </c>
      <c r="X53" s="563" t="str">
        <f t="shared" si="100"/>
        <v/>
      </c>
      <c r="Y53" s="563" t="str">
        <f t="shared" si="101"/>
        <v/>
      </c>
      <c r="Z53" s="563" t="str">
        <f t="shared" si="102"/>
        <v/>
      </c>
      <c r="AA53" s="563" t="str">
        <f t="shared" si="103"/>
        <v/>
      </c>
      <c r="AB53" s="563" t="str">
        <f t="shared" si="104"/>
        <v/>
      </c>
      <c r="AC53" s="563" t="str">
        <f t="shared" si="105"/>
        <v/>
      </c>
      <c r="AD53" s="563" t="str">
        <f t="shared" si="106"/>
        <v/>
      </c>
      <c r="AE53" s="563" t="str">
        <f t="shared" si="107"/>
        <v/>
      </c>
      <c r="AF53" s="563" t="str">
        <f t="shared" si="108"/>
        <v/>
      </c>
      <c r="AG53" s="563" t="str">
        <f t="shared" si="109"/>
        <v/>
      </c>
      <c r="AH53" s="563" t="str">
        <f t="shared" si="110"/>
        <v/>
      </c>
      <c r="AI53" s="564" t="str">
        <f t="shared" si="111"/>
        <v/>
      </c>
      <c r="AJ53" s="565">
        <f t="shared" si="112"/>
        <v>0</v>
      </c>
      <c r="AK53" s="517">
        <f t="shared" si="113"/>
        <v>0</v>
      </c>
      <c r="AL53" s="518">
        <f t="shared" si="114"/>
        <v>0</v>
      </c>
      <c r="AM53" s="518">
        <f t="shared" si="115"/>
        <v>0</v>
      </c>
      <c r="AN53" s="518">
        <f t="shared" si="116"/>
        <v>0</v>
      </c>
      <c r="AO53" s="518">
        <f t="shared" si="117"/>
        <v>0</v>
      </c>
      <c r="AP53" s="518">
        <f t="shared" si="118"/>
        <v>0</v>
      </c>
      <c r="AQ53" s="518">
        <f t="shared" si="119"/>
        <v>0</v>
      </c>
      <c r="AR53" s="518">
        <f t="shared" si="120"/>
        <v>0</v>
      </c>
      <c r="AS53" s="518">
        <f t="shared" si="121"/>
        <v>0</v>
      </c>
      <c r="AT53" s="518">
        <f t="shared" si="122"/>
        <v>0</v>
      </c>
      <c r="AU53" s="518">
        <f t="shared" si="123"/>
        <v>0</v>
      </c>
      <c r="AV53" s="563">
        <f t="shared" si="124"/>
        <v>0</v>
      </c>
      <c r="AW53" s="519">
        <f t="shared" si="125"/>
        <v>0</v>
      </c>
      <c r="AX53" s="508">
        <f t="shared" si="67"/>
        <v>0</v>
      </c>
      <c r="AY53" s="518">
        <f t="shared" si="68"/>
        <v>0</v>
      </c>
      <c r="AZ53" s="518">
        <f t="shared" si="69"/>
        <v>0</v>
      </c>
      <c r="BA53" s="518">
        <f t="shared" si="70"/>
        <v>0</v>
      </c>
      <c r="BB53" s="518">
        <f t="shared" si="71"/>
        <v>0</v>
      </c>
      <c r="BC53" s="518">
        <f t="shared" si="72"/>
        <v>0</v>
      </c>
      <c r="BD53" s="518">
        <f t="shared" si="73"/>
        <v>0</v>
      </c>
      <c r="BE53" s="518">
        <f t="shared" si="74"/>
        <v>0</v>
      </c>
      <c r="BF53" s="518">
        <f t="shared" si="75"/>
        <v>0</v>
      </c>
      <c r="BG53" s="518">
        <f t="shared" si="76"/>
        <v>0</v>
      </c>
      <c r="BH53" s="520">
        <f t="shared" si="77"/>
        <v>0</v>
      </c>
      <c r="BI53" s="563">
        <f t="shared" si="78"/>
        <v>0</v>
      </c>
      <c r="BJ53" s="521">
        <f t="shared" si="79"/>
        <v>0</v>
      </c>
      <c r="BK53" s="524">
        <f t="shared" si="126"/>
        <v>0</v>
      </c>
      <c r="BL53" s="512">
        <f t="shared" si="80"/>
        <v>0</v>
      </c>
      <c r="BM53" s="518">
        <f t="shared" si="81"/>
        <v>0</v>
      </c>
      <c r="BN53" s="518">
        <f t="shared" si="82"/>
        <v>0</v>
      </c>
      <c r="BO53" s="518">
        <f t="shared" si="83"/>
        <v>0</v>
      </c>
      <c r="BP53" s="518">
        <f t="shared" si="84"/>
        <v>0</v>
      </c>
      <c r="BQ53" s="518">
        <f t="shared" si="85"/>
        <v>0</v>
      </c>
      <c r="BR53" s="518">
        <f t="shared" si="86"/>
        <v>0</v>
      </c>
      <c r="BS53" s="518">
        <f t="shared" si="87"/>
        <v>0</v>
      </c>
      <c r="BT53" s="518">
        <f t="shared" si="88"/>
        <v>0</v>
      </c>
      <c r="BU53" s="518">
        <f t="shared" si="89"/>
        <v>0</v>
      </c>
      <c r="BV53" s="520">
        <f t="shared" si="90"/>
        <v>0</v>
      </c>
      <c r="BW53" s="563">
        <f t="shared" si="91"/>
        <v>0</v>
      </c>
      <c r="BX53" s="521">
        <f t="shared" si="92"/>
        <v>0</v>
      </c>
      <c r="BY53" s="513">
        <f t="shared" si="127"/>
        <v>0</v>
      </c>
      <c r="BZ53" s="514">
        <f t="array" ref="BZ53">SUMPRODUCT(AX54:BJ54,TRANSPOSE(EXP(-(IF($C$9=1,k_MSW,k_Indu)))))+SUM(AK53:AW53)</f>
        <v>0</v>
      </c>
      <c r="CA53" s="515">
        <f t="array" ref="CA53">SUMPRODUCT(AX54:BJ54,TRANSPOSE(1-EXP(-(IF($C$9=1,k_MSW,k_Indu)))))</f>
        <v>0</v>
      </c>
      <c r="CB53" s="516">
        <f t="shared" si="93"/>
        <v>0</v>
      </c>
    </row>
    <row r="54" spans="1:80" s="315" customFormat="1" ht="17.25" x14ac:dyDescent="0.3">
      <c r="A54" s="313"/>
      <c r="B54" s="316">
        <f t="shared" si="64"/>
        <v>1975</v>
      </c>
      <c r="C54" s="883"/>
      <c r="D54" s="884"/>
      <c r="E54" s="885"/>
      <c r="F54" s="885"/>
      <c r="G54" s="885"/>
      <c r="H54" s="885"/>
      <c r="I54" s="885"/>
      <c r="J54" s="885"/>
      <c r="K54" s="885"/>
      <c r="L54" s="885"/>
      <c r="M54" s="885"/>
      <c r="N54" s="886"/>
      <c r="O54" s="886"/>
      <c r="P54" s="889"/>
      <c r="Q54" s="890"/>
      <c r="R54" s="814">
        <f t="shared" si="94"/>
        <v>0</v>
      </c>
      <c r="S54" s="815">
        <f t="shared" si="95"/>
        <v>0</v>
      </c>
      <c r="T54" s="816">
        <f t="shared" si="96"/>
        <v>0</v>
      </c>
      <c r="U54" s="817">
        <f t="shared" si="97"/>
        <v>0</v>
      </c>
      <c r="V54" s="566">
        <f t="shared" si="98"/>
        <v>0</v>
      </c>
      <c r="W54" s="562" t="str">
        <f t="shared" si="99"/>
        <v/>
      </c>
      <c r="X54" s="563" t="str">
        <f t="shared" si="100"/>
        <v/>
      </c>
      <c r="Y54" s="563" t="str">
        <f t="shared" si="101"/>
        <v/>
      </c>
      <c r="Z54" s="563" t="str">
        <f t="shared" si="102"/>
        <v/>
      </c>
      <c r="AA54" s="563" t="str">
        <f t="shared" si="103"/>
        <v/>
      </c>
      <c r="AB54" s="563" t="str">
        <f t="shared" si="104"/>
        <v/>
      </c>
      <c r="AC54" s="563" t="str">
        <f t="shared" si="105"/>
        <v/>
      </c>
      <c r="AD54" s="563" t="str">
        <f t="shared" si="106"/>
        <v/>
      </c>
      <c r="AE54" s="563" t="str">
        <f t="shared" si="107"/>
        <v/>
      </c>
      <c r="AF54" s="563" t="str">
        <f t="shared" si="108"/>
        <v/>
      </c>
      <c r="AG54" s="563" t="str">
        <f t="shared" si="109"/>
        <v/>
      </c>
      <c r="AH54" s="563" t="str">
        <f t="shared" si="110"/>
        <v/>
      </c>
      <c r="AI54" s="564" t="str">
        <f t="shared" si="111"/>
        <v/>
      </c>
      <c r="AJ54" s="565">
        <f t="shared" si="112"/>
        <v>0</v>
      </c>
      <c r="AK54" s="517">
        <f t="shared" si="113"/>
        <v>0</v>
      </c>
      <c r="AL54" s="518">
        <f t="shared" si="114"/>
        <v>0</v>
      </c>
      <c r="AM54" s="518">
        <f t="shared" si="115"/>
        <v>0</v>
      </c>
      <c r="AN54" s="518">
        <f t="shared" si="116"/>
        <v>0</v>
      </c>
      <c r="AO54" s="518">
        <f t="shared" si="117"/>
        <v>0</v>
      </c>
      <c r="AP54" s="518">
        <f t="shared" si="118"/>
        <v>0</v>
      </c>
      <c r="AQ54" s="518">
        <f t="shared" si="119"/>
        <v>0</v>
      </c>
      <c r="AR54" s="518">
        <f t="shared" si="120"/>
        <v>0</v>
      </c>
      <c r="AS54" s="518">
        <f t="shared" si="121"/>
        <v>0</v>
      </c>
      <c r="AT54" s="518">
        <f t="shared" si="122"/>
        <v>0</v>
      </c>
      <c r="AU54" s="518">
        <f t="shared" si="123"/>
        <v>0</v>
      </c>
      <c r="AV54" s="563">
        <f t="shared" si="124"/>
        <v>0</v>
      </c>
      <c r="AW54" s="519">
        <f t="shared" si="125"/>
        <v>0</v>
      </c>
      <c r="AX54" s="508">
        <f t="shared" si="67"/>
        <v>0</v>
      </c>
      <c r="AY54" s="518">
        <f t="shared" si="68"/>
        <v>0</v>
      </c>
      <c r="AZ54" s="518">
        <f t="shared" si="69"/>
        <v>0</v>
      </c>
      <c r="BA54" s="518">
        <f t="shared" si="70"/>
        <v>0</v>
      </c>
      <c r="BB54" s="518">
        <f t="shared" si="71"/>
        <v>0</v>
      </c>
      <c r="BC54" s="518">
        <f t="shared" si="72"/>
        <v>0</v>
      </c>
      <c r="BD54" s="518">
        <f t="shared" si="73"/>
        <v>0</v>
      </c>
      <c r="BE54" s="518">
        <f t="shared" si="74"/>
        <v>0</v>
      </c>
      <c r="BF54" s="518">
        <f t="shared" si="75"/>
        <v>0</v>
      </c>
      <c r="BG54" s="518">
        <f t="shared" si="76"/>
        <v>0</v>
      </c>
      <c r="BH54" s="520">
        <f t="shared" si="77"/>
        <v>0</v>
      </c>
      <c r="BI54" s="563">
        <f t="shared" si="78"/>
        <v>0</v>
      </c>
      <c r="BJ54" s="521">
        <f t="shared" si="79"/>
        <v>0</v>
      </c>
      <c r="BK54" s="524">
        <f t="shared" si="126"/>
        <v>0</v>
      </c>
      <c r="BL54" s="512">
        <f t="shared" si="80"/>
        <v>0</v>
      </c>
      <c r="BM54" s="518">
        <f t="shared" si="81"/>
        <v>0</v>
      </c>
      <c r="BN54" s="518">
        <f t="shared" si="82"/>
        <v>0</v>
      </c>
      <c r="BO54" s="518">
        <f t="shared" si="83"/>
        <v>0</v>
      </c>
      <c r="BP54" s="518">
        <f t="shared" si="84"/>
        <v>0</v>
      </c>
      <c r="BQ54" s="518">
        <f t="shared" si="85"/>
        <v>0</v>
      </c>
      <c r="BR54" s="518">
        <f t="shared" si="86"/>
        <v>0</v>
      </c>
      <c r="BS54" s="518">
        <f t="shared" si="87"/>
        <v>0</v>
      </c>
      <c r="BT54" s="518">
        <f t="shared" si="88"/>
        <v>0</v>
      </c>
      <c r="BU54" s="518">
        <f t="shared" si="89"/>
        <v>0</v>
      </c>
      <c r="BV54" s="520">
        <f t="shared" si="90"/>
        <v>0</v>
      </c>
      <c r="BW54" s="563">
        <f t="shared" si="91"/>
        <v>0</v>
      </c>
      <c r="BX54" s="521">
        <f t="shared" si="92"/>
        <v>0</v>
      </c>
      <c r="BY54" s="513">
        <f t="shared" si="127"/>
        <v>0</v>
      </c>
      <c r="BZ54" s="514">
        <f t="array" ref="BZ54">SUMPRODUCT(AX55:BJ55,TRANSPOSE(EXP(-(IF($C$9=1,k_MSW,k_Indu)))))+SUM(AK54:AW54)</f>
        <v>0</v>
      </c>
      <c r="CA54" s="515">
        <f t="array" ref="CA54">SUMPRODUCT(AX55:BJ55,TRANSPOSE(1-EXP(-(IF($C$9=1,k_MSW,k_Indu)))))</f>
        <v>0</v>
      </c>
      <c r="CB54" s="516">
        <f t="shared" si="93"/>
        <v>0</v>
      </c>
    </row>
    <row r="55" spans="1:80" s="315" customFormat="1" ht="17.25" x14ac:dyDescent="0.3">
      <c r="A55" s="313"/>
      <c r="B55" s="316">
        <f t="shared" si="64"/>
        <v>1974</v>
      </c>
      <c r="C55" s="883"/>
      <c r="D55" s="884"/>
      <c r="E55" s="885"/>
      <c r="F55" s="885"/>
      <c r="G55" s="885"/>
      <c r="H55" s="885"/>
      <c r="I55" s="885"/>
      <c r="J55" s="885"/>
      <c r="K55" s="885"/>
      <c r="L55" s="885"/>
      <c r="M55" s="885"/>
      <c r="N55" s="886"/>
      <c r="O55" s="886"/>
      <c r="P55" s="889"/>
      <c r="Q55" s="890"/>
      <c r="R55" s="814">
        <f t="shared" si="94"/>
        <v>0</v>
      </c>
      <c r="S55" s="815">
        <f t="shared" si="95"/>
        <v>0</v>
      </c>
      <c r="T55" s="816">
        <f t="shared" si="96"/>
        <v>0</v>
      </c>
      <c r="U55" s="817">
        <f t="shared" si="97"/>
        <v>0</v>
      </c>
      <c r="V55" s="566">
        <f t="shared" si="98"/>
        <v>0</v>
      </c>
      <c r="W55" s="562" t="str">
        <f t="shared" si="99"/>
        <v/>
      </c>
      <c r="X55" s="563" t="str">
        <f t="shared" si="100"/>
        <v/>
      </c>
      <c r="Y55" s="563" t="str">
        <f t="shared" si="101"/>
        <v/>
      </c>
      <c r="Z55" s="563" t="str">
        <f t="shared" si="102"/>
        <v/>
      </c>
      <c r="AA55" s="563" t="str">
        <f t="shared" si="103"/>
        <v/>
      </c>
      <c r="AB55" s="563" t="str">
        <f t="shared" si="104"/>
        <v/>
      </c>
      <c r="AC55" s="563" t="str">
        <f t="shared" si="105"/>
        <v/>
      </c>
      <c r="AD55" s="563" t="str">
        <f t="shared" si="106"/>
        <v/>
      </c>
      <c r="AE55" s="563" t="str">
        <f t="shared" si="107"/>
        <v/>
      </c>
      <c r="AF55" s="563" t="str">
        <f t="shared" si="108"/>
        <v/>
      </c>
      <c r="AG55" s="563" t="str">
        <f t="shared" si="109"/>
        <v/>
      </c>
      <c r="AH55" s="563" t="str">
        <f t="shared" si="110"/>
        <v/>
      </c>
      <c r="AI55" s="564" t="str">
        <f t="shared" si="111"/>
        <v/>
      </c>
      <c r="AJ55" s="565">
        <f t="shared" si="112"/>
        <v>0</v>
      </c>
      <c r="AK55" s="517">
        <f t="shared" si="113"/>
        <v>0</v>
      </c>
      <c r="AL55" s="518">
        <f t="shared" si="114"/>
        <v>0</v>
      </c>
      <c r="AM55" s="518">
        <f t="shared" si="115"/>
        <v>0</v>
      </c>
      <c r="AN55" s="518">
        <f t="shared" si="116"/>
        <v>0</v>
      </c>
      <c r="AO55" s="518">
        <f t="shared" si="117"/>
        <v>0</v>
      </c>
      <c r="AP55" s="518">
        <f t="shared" si="118"/>
        <v>0</v>
      </c>
      <c r="AQ55" s="518">
        <f t="shared" si="119"/>
        <v>0</v>
      </c>
      <c r="AR55" s="518">
        <f t="shared" si="120"/>
        <v>0</v>
      </c>
      <c r="AS55" s="518">
        <f t="shared" si="121"/>
        <v>0</v>
      </c>
      <c r="AT55" s="518">
        <f t="shared" si="122"/>
        <v>0</v>
      </c>
      <c r="AU55" s="518">
        <f t="shared" si="123"/>
        <v>0</v>
      </c>
      <c r="AV55" s="563">
        <f t="shared" si="124"/>
        <v>0</v>
      </c>
      <c r="AW55" s="519">
        <f t="shared" si="125"/>
        <v>0</v>
      </c>
      <c r="AX55" s="508">
        <f t="shared" si="67"/>
        <v>0</v>
      </c>
      <c r="AY55" s="518">
        <f t="shared" si="68"/>
        <v>0</v>
      </c>
      <c r="AZ55" s="518">
        <f t="shared" si="69"/>
        <v>0</v>
      </c>
      <c r="BA55" s="518">
        <f t="shared" si="70"/>
        <v>0</v>
      </c>
      <c r="BB55" s="518">
        <f t="shared" si="71"/>
        <v>0</v>
      </c>
      <c r="BC55" s="518">
        <f t="shared" si="72"/>
        <v>0</v>
      </c>
      <c r="BD55" s="518">
        <f t="shared" si="73"/>
        <v>0</v>
      </c>
      <c r="BE55" s="518">
        <f t="shared" si="74"/>
        <v>0</v>
      </c>
      <c r="BF55" s="518">
        <f t="shared" si="75"/>
        <v>0</v>
      </c>
      <c r="BG55" s="518">
        <f t="shared" si="76"/>
        <v>0</v>
      </c>
      <c r="BH55" s="520">
        <f t="shared" si="77"/>
        <v>0</v>
      </c>
      <c r="BI55" s="563">
        <f t="shared" si="78"/>
        <v>0</v>
      </c>
      <c r="BJ55" s="521">
        <f t="shared" si="79"/>
        <v>0</v>
      </c>
      <c r="BK55" s="524">
        <f t="shared" si="126"/>
        <v>0</v>
      </c>
      <c r="BL55" s="512">
        <f t="shared" si="80"/>
        <v>0</v>
      </c>
      <c r="BM55" s="518">
        <f t="shared" si="81"/>
        <v>0</v>
      </c>
      <c r="BN55" s="518">
        <f t="shared" si="82"/>
        <v>0</v>
      </c>
      <c r="BO55" s="518">
        <f t="shared" si="83"/>
        <v>0</v>
      </c>
      <c r="BP55" s="518">
        <f t="shared" si="84"/>
        <v>0</v>
      </c>
      <c r="BQ55" s="518">
        <f t="shared" si="85"/>
        <v>0</v>
      </c>
      <c r="BR55" s="518">
        <f t="shared" si="86"/>
        <v>0</v>
      </c>
      <c r="BS55" s="518">
        <f t="shared" si="87"/>
        <v>0</v>
      </c>
      <c r="BT55" s="518">
        <f t="shared" si="88"/>
        <v>0</v>
      </c>
      <c r="BU55" s="518">
        <f t="shared" si="89"/>
        <v>0</v>
      </c>
      <c r="BV55" s="520">
        <f t="shared" si="90"/>
        <v>0</v>
      </c>
      <c r="BW55" s="563">
        <f t="shared" si="91"/>
        <v>0</v>
      </c>
      <c r="BX55" s="521">
        <f t="shared" si="92"/>
        <v>0</v>
      </c>
      <c r="BY55" s="513">
        <f t="shared" si="127"/>
        <v>0</v>
      </c>
      <c r="BZ55" s="514">
        <f t="array" ref="BZ55">SUMPRODUCT(AX56:BJ56,TRANSPOSE(EXP(-(IF($C$9=1,k_MSW,k_Indu)))))+SUM(AK55:AW55)</f>
        <v>0</v>
      </c>
      <c r="CA55" s="515">
        <f t="array" ref="CA55">SUMPRODUCT(AX56:BJ56,TRANSPOSE(1-EXP(-(IF($C$9=1,k_MSW,k_Indu)))))</f>
        <v>0</v>
      </c>
      <c r="CB55" s="516">
        <f t="shared" si="93"/>
        <v>0</v>
      </c>
    </row>
    <row r="56" spans="1:80" s="315" customFormat="1" ht="17.25" x14ac:dyDescent="0.3">
      <c r="A56" s="313"/>
      <c r="B56" s="316">
        <f t="shared" si="64"/>
        <v>1973</v>
      </c>
      <c r="C56" s="883"/>
      <c r="D56" s="884"/>
      <c r="E56" s="885"/>
      <c r="F56" s="885"/>
      <c r="G56" s="885"/>
      <c r="H56" s="885"/>
      <c r="I56" s="885"/>
      <c r="J56" s="885"/>
      <c r="K56" s="885"/>
      <c r="L56" s="885"/>
      <c r="M56" s="885"/>
      <c r="N56" s="886"/>
      <c r="O56" s="886"/>
      <c r="P56" s="889"/>
      <c r="Q56" s="890"/>
      <c r="R56" s="814">
        <f t="shared" si="94"/>
        <v>0</v>
      </c>
      <c r="S56" s="815">
        <f t="shared" si="95"/>
        <v>0</v>
      </c>
      <c r="T56" s="816">
        <f t="shared" si="96"/>
        <v>0</v>
      </c>
      <c r="U56" s="817">
        <f t="shared" si="97"/>
        <v>0</v>
      </c>
      <c r="V56" s="566">
        <f t="shared" si="98"/>
        <v>0</v>
      </c>
      <c r="W56" s="562" t="str">
        <f t="shared" si="99"/>
        <v/>
      </c>
      <c r="X56" s="563" t="str">
        <f t="shared" si="100"/>
        <v/>
      </c>
      <c r="Y56" s="563" t="str">
        <f t="shared" si="101"/>
        <v/>
      </c>
      <c r="Z56" s="563" t="str">
        <f t="shared" si="102"/>
        <v/>
      </c>
      <c r="AA56" s="563" t="str">
        <f t="shared" si="103"/>
        <v/>
      </c>
      <c r="AB56" s="563" t="str">
        <f t="shared" si="104"/>
        <v/>
      </c>
      <c r="AC56" s="563" t="str">
        <f t="shared" si="105"/>
        <v/>
      </c>
      <c r="AD56" s="563" t="str">
        <f t="shared" si="106"/>
        <v/>
      </c>
      <c r="AE56" s="563" t="str">
        <f t="shared" si="107"/>
        <v/>
      </c>
      <c r="AF56" s="563" t="str">
        <f t="shared" si="108"/>
        <v/>
      </c>
      <c r="AG56" s="563" t="str">
        <f t="shared" si="109"/>
        <v/>
      </c>
      <c r="AH56" s="563" t="str">
        <f t="shared" si="110"/>
        <v/>
      </c>
      <c r="AI56" s="564" t="str">
        <f t="shared" si="111"/>
        <v/>
      </c>
      <c r="AJ56" s="565">
        <f t="shared" si="112"/>
        <v>0</v>
      </c>
      <c r="AK56" s="517">
        <f t="shared" si="113"/>
        <v>0</v>
      </c>
      <c r="AL56" s="518">
        <f t="shared" si="114"/>
        <v>0</v>
      </c>
      <c r="AM56" s="518">
        <f t="shared" si="115"/>
        <v>0</v>
      </c>
      <c r="AN56" s="518">
        <f t="shared" si="116"/>
        <v>0</v>
      </c>
      <c r="AO56" s="518">
        <f t="shared" si="117"/>
        <v>0</v>
      </c>
      <c r="AP56" s="518">
        <f t="shared" si="118"/>
        <v>0</v>
      </c>
      <c r="AQ56" s="518">
        <f t="shared" si="119"/>
        <v>0</v>
      </c>
      <c r="AR56" s="518">
        <f t="shared" si="120"/>
        <v>0</v>
      </c>
      <c r="AS56" s="518">
        <f t="shared" si="121"/>
        <v>0</v>
      </c>
      <c r="AT56" s="518">
        <f t="shared" si="122"/>
        <v>0</v>
      </c>
      <c r="AU56" s="518">
        <f t="shared" si="123"/>
        <v>0</v>
      </c>
      <c r="AV56" s="563">
        <f t="shared" si="124"/>
        <v>0</v>
      </c>
      <c r="AW56" s="519">
        <f t="shared" si="125"/>
        <v>0</v>
      </c>
      <c r="AX56" s="508">
        <f t="shared" si="67"/>
        <v>0</v>
      </c>
      <c r="AY56" s="518">
        <f t="shared" si="68"/>
        <v>0</v>
      </c>
      <c r="AZ56" s="518">
        <f t="shared" si="69"/>
        <v>0</v>
      </c>
      <c r="BA56" s="518">
        <f t="shared" si="70"/>
        <v>0</v>
      </c>
      <c r="BB56" s="518">
        <f t="shared" si="71"/>
        <v>0</v>
      </c>
      <c r="BC56" s="518">
        <f t="shared" si="72"/>
        <v>0</v>
      </c>
      <c r="BD56" s="518">
        <f t="shared" si="73"/>
        <v>0</v>
      </c>
      <c r="BE56" s="518">
        <f t="shared" si="74"/>
        <v>0</v>
      </c>
      <c r="BF56" s="518">
        <f t="shared" si="75"/>
        <v>0</v>
      </c>
      <c r="BG56" s="518">
        <f t="shared" si="76"/>
        <v>0</v>
      </c>
      <c r="BH56" s="520">
        <f t="shared" si="77"/>
        <v>0</v>
      </c>
      <c r="BI56" s="563">
        <f t="shared" si="78"/>
        <v>0</v>
      </c>
      <c r="BJ56" s="521">
        <f t="shared" si="79"/>
        <v>0</v>
      </c>
      <c r="BK56" s="524">
        <f t="shared" si="126"/>
        <v>0</v>
      </c>
      <c r="BL56" s="512">
        <f t="shared" si="80"/>
        <v>0</v>
      </c>
      <c r="BM56" s="518">
        <f t="shared" si="81"/>
        <v>0</v>
      </c>
      <c r="BN56" s="518">
        <f t="shared" si="82"/>
        <v>0</v>
      </c>
      <c r="BO56" s="518">
        <f t="shared" si="83"/>
        <v>0</v>
      </c>
      <c r="BP56" s="518">
        <f t="shared" si="84"/>
        <v>0</v>
      </c>
      <c r="BQ56" s="518">
        <f t="shared" si="85"/>
        <v>0</v>
      </c>
      <c r="BR56" s="518">
        <f t="shared" si="86"/>
        <v>0</v>
      </c>
      <c r="BS56" s="518">
        <f t="shared" si="87"/>
        <v>0</v>
      </c>
      <c r="BT56" s="518">
        <f t="shared" si="88"/>
        <v>0</v>
      </c>
      <c r="BU56" s="518">
        <f t="shared" si="89"/>
        <v>0</v>
      </c>
      <c r="BV56" s="520">
        <f t="shared" si="90"/>
        <v>0</v>
      </c>
      <c r="BW56" s="563">
        <f t="shared" si="91"/>
        <v>0</v>
      </c>
      <c r="BX56" s="521">
        <f t="shared" si="92"/>
        <v>0</v>
      </c>
      <c r="BY56" s="513">
        <f t="shared" si="127"/>
        <v>0</v>
      </c>
      <c r="BZ56" s="514">
        <f t="array" ref="BZ56">SUMPRODUCT(AX57:BJ57,TRANSPOSE(EXP(-(IF($C$9=1,k_MSW,k_Indu)))))+SUM(AK56:AW56)</f>
        <v>0</v>
      </c>
      <c r="CA56" s="515">
        <f t="array" ref="CA56">SUMPRODUCT(AX57:BJ57,TRANSPOSE(1-EXP(-(IF($C$9=1,k_MSW,k_Indu)))))</f>
        <v>0</v>
      </c>
      <c r="CB56" s="516">
        <f t="shared" si="93"/>
        <v>0</v>
      </c>
    </row>
    <row r="57" spans="1:80" s="315" customFormat="1" ht="17.25" x14ac:dyDescent="0.3">
      <c r="A57" s="313"/>
      <c r="B57" s="316">
        <f t="shared" si="64"/>
        <v>1972</v>
      </c>
      <c r="C57" s="883"/>
      <c r="D57" s="884"/>
      <c r="E57" s="885"/>
      <c r="F57" s="885"/>
      <c r="G57" s="885"/>
      <c r="H57" s="885"/>
      <c r="I57" s="885"/>
      <c r="J57" s="885"/>
      <c r="K57" s="885"/>
      <c r="L57" s="885"/>
      <c r="M57" s="885"/>
      <c r="N57" s="886"/>
      <c r="O57" s="886"/>
      <c r="P57" s="889"/>
      <c r="Q57" s="890"/>
      <c r="R57" s="814">
        <f t="shared" si="94"/>
        <v>0</v>
      </c>
      <c r="S57" s="815">
        <f t="shared" si="95"/>
        <v>0</v>
      </c>
      <c r="T57" s="816">
        <f t="shared" si="96"/>
        <v>0</v>
      </c>
      <c r="U57" s="817">
        <f t="shared" si="97"/>
        <v>0</v>
      </c>
      <c r="V57" s="566">
        <f t="shared" si="98"/>
        <v>0</v>
      </c>
      <c r="W57" s="562" t="str">
        <f t="shared" si="99"/>
        <v/>
      </c>
      <c r="X57" s="563" t="str">
        <f t="shared" si="100"/>
        <v/>
      </c>
      <c r="Y57" s="563" t="str">
        <f t="shared" si="101"/>
        <v/>
      </c>
      <c r="Z57" s="563" t="str">
        <f t="shared" si="102"/>
        <v/>
      </c>
      <c r="AA57" s="563" t="str">
        <f t="shared" si="103"/>
        <v/>
      </c>
      <c r="AB57" s="563" t="str">
        <f t="shared" si="104"/>
        <v/>
      </c>
      <c r="AC57" s="563" t="str">
        <f t="shared" si="105"/>
        <v/>
      </c>
      <c r="AD57" s="563" t="str">
        <f t="shared" si="106"/>
        <v/>
      </c>
      <c r="AE57" s="563" t="str">
        <f t="shared" si="107"/>
        <v/>
      </c>
      <c r="AF57" s="563" t="str">
        <f t="shared" si="108"/>
        <v/>
      </c>
      <c r="AG57" s="563" t="str">
        <f t="shared" si="109"/>
        <v/>
      </c>
      <c r="AH57" s="563" t="str">
        <f t="shared" si="110"/>
        <v/>
      </c>
      <c r="AI57" s="564" t="str">
        <f t="shared" si="111"/>
        <v/>
      </c>
      <c r="AJ57" s="565">
        <f t="shared" si="112"/>
        <v>0</v>
      </c>
      <c r="AK57" s="517">
        <f t="shared" si="113"/>
        <v>0</v>
      </c>
      <c r="AL57" s="518">
        <f t="shared" si="114"/>
        <v>0</v>
      </c>
      <c r="AM57" s="518">
        <f t="shared" si="115"/>
        <v>0</v>
      </c>
      <c r="AN57" s="518">
        <f t="shared" si="116"/>
        <v>0</v>
      </c>
      <c r="AO57" s="518">
        <f t="shared" si="117"/>
        <v>0</v>
      </c>
      <c r="AP57" s="518">
        <f t="shared" si="118"/>
        <v>0</v>
      </c>
      <c r="AQ57" s="518">
        <f t="shared" si="119"/>
        <v>0</v>
      </c>
      <c r="AR57" s="518">
        <f t="shared" si="120"/>
        <v>0</v>
      </c>
      <c r="AS57" s="518">
        <f t="shared" si="121"/>
        <v>0</v>
      </c>
      <c r="AT57" s="518">
        <f t="shared" si="122"/>
        <v>0</v>
      </c>
      <c r="AU57" s="518">
        <f t="shared" si="123"/>
        <v>0</v>
      </c>
      <c r="AV57" s="563">
        <f t="shared" si="124"/>
        <v>0</v>
      </c>
      <c r="AW57" s="519">
        <f t="shared" si="125"/>
        <v>0</v>
      </c>
      <c r="AX57" s="508">
        <f t="shared" si="67"/>
        <v>0</v>
      </c>
      <c r="AY57" s="518">
        <f t="shared" si="68"/>
        <v>0</v>
      </c>
      <c r="AZ57" s="518">
        <f t="shared" si="69"/>
        <v>0</v>
      </c>
      <c r="BA57" s="518">
        <f t="shared" si="70"/>
        <v>0</v>
      </c>
      <c r="BB57" s="518">
        <f t="shared" si="71"/>
        <v>0</v>
      </c>
      <c r="BC57" s="518">
        <f t="shared" si="72"/>
        <v>0</v>
      </c>
      <c r="BD57" s="518">
        <f t="shared" si="73"/>
        <v>0</v>
      </c>
      <c r="BE57" s="518">
        <f t="shared" si="74"/>
        <v>0</v>
      </c>
      <c r="BF57" s="518">
        <f t="shared" si="75"/>
        <v>0</v>
      </c>
      <c r="BG57" s="518">
        <f t="shared" si="76"/>
        <v>0</v>
      </c>
      <c r="BH57" s="520">
        <f t="shared" si="77"/>
        <v>0</v>
      </c>
      <c r="BI57" s="563">
        <f t="shared" si="78"/>
        <v>0</v>
      </c>
      <c r="BJ57" s="521">
        <f t="shared" si="79"/>
        <v>0</v>
      </c>
      <c r="BK57" s="524">
        <f t="shared" si="126"/>
        <v>0</v>
      </c>
      <c r="BL57" s="512">
        <f t="shared" si="80"/>
        <v>0</v>
      </c>
      <c r="BM57" s="518">
        <f t="shared" si="81"/>
        <v>0</v>
      </c>
      <c r="BN57" s="518">
        <f t="shared" si="82"/>
        <v>0</v>
      </c>
      <c r="BO57" s="518">
        <f t="shared" si="83"/>
        <v>0</v>
      </c>
      <c r="BP57" s="518">
        <f t="shared" si="84"/>
        <v>0</v>
      </c>
      <c r="BQ57" s="518">
        <f t="shared" si="85"/>
        <v>0</v>
      </c>
      <c r="BR57" s="518">
        <f t="shared" si="86"/>
        <v>0</v>
      </c>
      <c r="BS57" s="518">
        <f t="shared" si="87"/>
        <v>0</v>
      </c>
      <c r="BT57" s="518">
        <f t="shared" si="88"/>
        <v>0</v>
      </c>
      <c r="BU57" s="518">
        <f t="shared" si="89"/>
        <v>0</v>
      </c>
      <c r="BV57" s="520">
        <f t="shared" si="90"/>
        <v>0</v>
      </c>
      <c r="BW57" s="563">
        <f t="shared" si="91"/>
        <v>0</v>
      </c>
      <c r="BX57" s="521">
        <f t="shared" si="92"/>
        <v>0</v>
      </c>
      <c r="BY57" s="513">
        <f t="shared" si="127"/>
        <v>0</v>
      </c>
      <c r="BZ57" s="514">
        <f t="array" ref="BZ57">SUMPRODUCT(AX58:BJ58,TRANSPOSE(EXP(-(IF($C$9=1,k_MSW,k_Indu)))))+SUM(AK57:AW57)</f>
        <v>0</v>
      </c>
      <c r="CA57" s="515">
        <f t="array" ref="CA57">SUMPRODUCT(AX58:BJ58,TRANSPOSE(1-EXP(-(IF($C$9=1,k_MSW,k_Indu)))))</f>
        <v>0</v>
      </c>
      <c r="CB57" s="516">
        <f t="shared" si="93"/>
        <v>0</v>
      </c>
    </row>
    <row r="58" spans="1:80" s="315" customFormat="1" ht="17.25" x14ac:dyDescent="0.3">
      <c r="A58" s="313"/>
      <c r="B58" s="316">
        <f t="shared" si="64"/>
        <v>1971</v>
      </c>
      <c r="C58" s="883"/>
      <c r="D58" s="884"/>
      <c r="E58" s="885"/>
      <c r="F58" s="885"/>
      <c r="G58" s="885"/>
      <c r="H58" s="885"/>
      <c r="I58" s="885"/>
      <c r="J58" s="885"/>
      <c r="K58" s="885"/>
      <c r="L58" s="885"/>
      <c r="M58" s="885"/>
      <c r="N58" s="886"/>
      <c r="O58" s="886"/>
      <c r="P58" s="889"/>
      <c r="Q58" s="890"/>
      <c r="R58" s="814">
        <f t="shared" si="94"/>
        <v>0</v>
      </c>
      <c r="S58" s="815">
        <f t="shared" si="95"/>
        <v>0</v>
      </c>
      <c r="T58" s="816">
        <f t="shared" si="96"/>
        <v>0</v>
      </c>
      <c r="U58" s="817">
        <f t="shared" si="97"/>
        <v>0</v>
      </c>
      <c r="V58" s="566">
        <f t="shared" si="98"/>
        <v>0</v>
      </c>
      <c r="W58" s="562" t="str">
        <f t="shared" si="99"/>
        <v/>
      </c>
      <c r="X58" s="563" t="str">
        <f t="shared" si="100"/>
        <v/>
      </c>
      <c r="Y58" s="563" t="str">
        <f t="shared" si="101"/>
        <v/>
      </c>
      <c r="Z58" s="563" t="str">
        <f t="shared" si="102"/>
        <v/>
      </c>
      <c r="AA58" s="563" t="str">
        <f t="shared" si="103"/>
        <v/>
      </c>
      <c r="AB58" s="563" t="str">
        <f t="shared" si="104"/>
        <v/>
      </c>
      <c r="AC58" s="563" t="str">
        <f t="shared" si="105"/>
        <v/>
      </c>
      <c r="AD58" s="563" t="str">
        <f t="shared" si="106"/>
        <v/>
      </c>
      <c r="AE58" s="563" t="str">
        <f t="shared" si="107"/>
        <v/>
      </c>
      <c r="AF58" s="563" t="str">
        <f t="shared" si="108"/>
        <v/>
      </c>
      <c r="AG58" s="563" t="str">
        <f t="shared" si="109"/>
        <v/>
      </c>
      <c r="AH58" s="563" t="str">
        <f t="shared" si="110"/>
        <v/>
      </c>
      <c r="AI58" s="564" t="str">
        <f t="shared" si="111"/>
        <v/>
      </c>
      <c r="AJ58" s="565">
        <f t="shared" si="112"/>
        <v>0</v>
      </c>
      <c r="AK58" s="517">
        <f t="shared" si="113"/>
        <v>0</v>
      </c>
      <c r="AL58" s="518">
        <f t="shared" si="114"/>
        <v>0</v>
      </c>
      <c r="AM58" s="518">
        <f t="shared" si="115"/>
        <v>0</v>
      </c>
      <c r="AN58" s="518">
        <f t="shared" si="116"/>
        <v>0</v>
      </c>
      <c r="AO58" s="518">
        <f t="shared" si="117"/>
        <v>0</v>
      </c>
      <c r="AP58" s="518">
        <f t="shared" si="118"/>
        <v>0</v>
      </c>
      <c r="AQ58" s="518">
        <f t="shared" si="119"/>
        <v>0</v>
      </c>
      <c r="AR58" s="518">
        <f t="shared" si="120"/>
        <v>0</v>
      </c>
      <c r="AS58" s="518">
        <f t="shared" si="121"/>
        <v>0</v>
      </c>
      <c r="AT58" s="518">
        <f t="shared" si="122"/>
        <v>0</v>
      </c>
      <c r="AU58" s="518">
        <f t="shared" si="123"/>
        <v>0</v>
      </c>
      <c r="AV58" s="563">
        <f t="shared" si="124"/>
        <v>0</v>
      </c>
      <c r="AW58" s="519">
        <f t="shared" si="125"/>
        <v>0</v>
      </c>
      <c r="AX58" s="508">
        <f t="shared" si="67"/>
        <v>0</v>
      </c>
      <c r="AY58" s="518">
        <f t="shared" si="68"/>
        <v>0</v>
      </c>
      <c r="AZ58" s="518">
        <f t="shared" si="69"/>
        <v>0</v>
      </c>
      <c r="BA58" s="518">
        <f t="shared" si="70"/>
        <v>0</v>
      </c>
      <c r="BB58" s="518">
        <f t="shared" si="71"/>
        <v>0</v>
      </c>
      <c r="BC58" s="518">
        <f t="shared" si="72"/>
        <v>0</v>
      </c>
      <c r="BD58" s="518">
        <f t="shared" si="73"/>
        <v>0</v>
      </c>
      <c r="BE58" s="518">
        <f t="shared" si="74"/>
        <v>0</v>
      </c>
      <c r="BF58" s="518">
        <f t="shared" si="75"/>
        <v>0</v>
      </c>
      <c r="BG58" s="518">
        <f t="shared" si="76"/>
        <v>0</v>
      </c>
      <c r="BH58" s="520">
        <f t="shared" si="77"/>
        <v>0</v>
      </c>
      <c r="BI58" s="563">
        <f t="shared" si="78"/>
        <v>0</v>
      </c>
      <c r="BJ58" s="521">
        <f t="shared" si="79"/>
        <v>0</v>
      </c>
      <c r="BK58" s="524">
        <f t="shared" si="126"/>
        <v>0</v>
      </c>
      <c r="BL58" s="512">
        <f t="shared" si="80"/>
        <v>0</v>
      </c>
      <c r="BM58" s="518">
        <f t="shared" si="81"/>
        <v>0</v>
      </c>
      <c r="BN58" s="518">
        <f t="shared" si="82"/>
        <v>0</v>
      </c>
      <c r="BO58" s="518">
        <f t="shared" si="83"/>
        <v>0</v>
      </c>
      <c r="BP58" s="518">
        <f t="shared" si="84"/>
        <v>0</v>
      </c>
      <c r="BQ58" s="518">
        <f t="shared" si="85"/>
        <v>0</v>
      </c>
      <c r="BR58" s="518">
        <f t="shared" si="86"/>
        <v>0</v>
      </c>
      <c r="BS58" s="518">
        <f t="shared" si="87"/>
        <v>0</v>
      </c>
      <c r="BT58" s="518">
        <f t="shared" si="88"/>
        <v>0</v>
      </c>
      <c r="BU58" s="518">
        <f t="shared" si="89"/>
        <v>0</v>
      </c>
      <c r="BV58" s="520">
        <f t="shared" si="90"/>
        <v>0</v>
      </c>
      <c r="BW58" s="563">
        <f t="shared" si="91"/>
        <v>0</v>
      </c>
      <c r="BX58" s="521">
        <f t="shared" si="92"/>
        <v>0</v>
      </c>
      <c r="BY58" s="513">
        <f t="shared" si="127"/>
        <v>0</v>
      </c>
      <c r="BZ58" s="514">
        <f t="array" ref="BZ58">SUMPRODUCT(AX59:BJ59,TRANSPOSE(EXP(-(IF($C$9=1,k_MSW,k_Indu)))))+SUM(AK58:AW58)</f>
        <v>0</v>
      </c>
      <c r="CA58" s="515">
        <f t="array" ref="CA58">SUMPRODUCT(AX59:BJ59,TRANSPOSE(1-EXP(-(IF($C$9=1,k_MSW,k_Indu)))))</f>
        <v>0</v>
      </c>
      <c r="CB58" s="516">
        <f t="shared" si="93"/>
        <v>0</v>
      </c>
    </row>
    <row r="59" spans="1:80" s="315" customFormat="1" ht="17.25" x14ac:dyDescent="0.3">
      <c r="A59" s="313"/>
      <c r="B59" s="316">
        <f t="shared" si="64"/>
        <v>1970</v>
      </c>
      <c r="C59" s="883"/>
      <c r="D59" s="884"/>
      <c r="E59" s="885"/>
      <c r="F59" s="885"/>
      <c r="G59" s="885"/>
      <c r="H59" s="885"/>
      <c r="I59" s="885"/>
      <c r="J59" s="885"/>
      <c r="K59" s="885"/>
      <c r="L59" s="885"/>
      <c r="M59" s="885"/>
      <c r="N59" s="886"/>
      <c r="O59" s="886"/>
      <c r="P59" s="889"/>
      <c r="Q59" s="890"/>
      <c r="R59" s="814">
        <f t="shared" si="94"/>
        <v>0</v>
      </c>
      <c r="S59" s="815">
        <f t="shared" si="95"/>
        <v>0</v>
      </c>
      <c r="T59" s="816">
        <f t="shared" si="96"/>
        <v>0</v>
      </c>
      <c r="U59" s="817">
        <f t="shared" si="97"/>
        <v>0</v>
      </c>
      <c r="V59" s="566">
        <f t="shared" si="98"/>
        <v>0</v>
      </c>
      <c r="W59" s="562" t="str">
        <f t="shared" si="99"/>
        <v/>
      </c>
      <c r="X59" s="563" t="str">
        <f t="shared" si="100"/>
        <v/>
      </c>
      <c r="Y59" s="563" t="str">
        <f t="shared" si="101"/>
        <v/>
      </c>
      <c r="Z59" s="563" t="str">
        <f t="shared" si="102"/>
        <v/>
      </c>
      <c r="AA59" s="563" t="str">
        <f t="shared" si="103"/>
        <v/>
      </c>
      <c r="AB59" s="563" t="str">
        <f t="shared" si="104"/>
        <v/>
      </c>
      <c r="AC59" s="563" t="str">
        <f t="shared" si="105"/>
        <v/>
      </c>
      <c r="AD59" s="563" t="str">
        <f t="shared" si="106"/>
        <v/>
      </c>
      <c r="AE59" s="563" t="str">
        <f t="shared" si="107"/>
        <v/>
      </c>
      <c r="AF59" s="563" t="str">
        <f t="shared" si="108"/>
        <v/>
      </c>
      <c r="AG59" s="563" t="str">
        <f t="shared" si="109"/>
        <v/>
      </c>
      <c r="AH59" s="563" t="str">
        <f t="shared" si="110"/>
        <v/>
      </c>
      <c r="AI59" s="564" t="str">
        <f t="shared" si="111"/>
        <v/>
      </c>
      <c r="AJ59" s="565">
        <f t="shared" si="112"/>
        <v>0</v>
      </c>
      <c r="AK59" s="517">
        <f t="shared" si="113"/>
        <v>0</v>
      </c>
      <c r="AL59" s="518">
        <f t="shared" si="114"/>
        <v>0</v>
      </c>
      <c r="AM59" s="518">
        <f t="shared" si="115"/>
        <v>0</v>
      </c>
      <c r="AN59" s="518">
        <f t="shared" si="116"/>
        <v>0</v>
      </c>
      <c r="AO59" s="518">
        <f t="shared" si="117"/>
        <v>0</v>
      </c>
      <c r="AP59" s="518">
        <f t="shared" si="118"/>
        <v>0</v>
      </c>
      <c r="AQ59" s="518">
        <f t="shared" si="119"/>
        <v>0</v>
      </c>
      <c r="AR59" s="518">
        <f t="shared" si="120"/>
        <v>0</v>
      </c>
      <c r="AS59" s="518">
        <f t="shared" si="121"/>
        <v>0</v>
      </c>
      <c r="AT59" s="518">
        <f t="shared" si="122"/>
        <v>0</v>
      </c>
      <c r="AU59" s="518">
        <f t="shared" si="123"/>
        <v>0</v>
      </c>
      <c r="AV59" s="563">
        <f t="shared" si="124"/>
        <v>0</v>
      </c>
      <c r="AW59" s="519">
        <f t="shared" si="125"/>
        <v>0</v>
      </c>
      <c r="AX59" s="508">
        <f t="shared" si="67"/>
        <v>0</v>
      </c>
      <c r="AY59" s="518">
        <f t="shared" si="68"/>
        <v>0</v>
      </c>
      <c r="AZ59" s="518">
        <f t="shared" si="69"/>
        <v>0</v>
      </c>
      <c r="BA59" s="518">
        <f t="shared" si="70"/>
        <v>0</v>
      </c>
      <c r="BB59" s="518">
        <f t="shared" si="71"/>
        <v>0</v>
      </c>
      <c r="BC59" s="518">
        <f t="shared" si="72"/>
        <v>0</v>
      </c>
      <c r="BD59" s="518">
        <f t="shared" si="73"/>
        <v>0</v>
      </c>
      <c r="BE59" s="518">
        <f t="shared" si="74"/>
        <v>0</v>
      </c>
      <c r="BF59" s="518">
        <f t="shared" si="75"/>
        <v>0</v>
      </c>
      <c r="BG59" s="518">
        <f t="shared" si="76"/>
        <v>0</v>
      </c>
      <c r="BH59" s="520">
        <f t="shared" si="77"/>
        <v>0</v>
      </c>
      <c r="BI59" s="563">
        <f t="shared" si="78"/>
        <v>0</v>
      </c>
      <c r="BJ59" s="521">
        <f t="shared" si="79"/>
        <v>0</v>
      </c>
      <c r="BK59" s="524">
        <f t="shared" si="126"/>
        <v>0</v>
      </c>
      <c r="BL59" s="512">
        <f t="shared" si="80"/>
        <v>0</v>
      </c>
      <c r="BM59" s="518">
        <f t="shared" si="81"/>
        <v>0</v>
      </c>
      <c r="BN59" s="518">
        <f t="shared" si="82"/>
        <v>0</v>
      </c>
      <c r="BO59" s="518">
        <f t="shared" si="83"/>
        <v>0</v>
      </c>
      <c r="BP59" s="518">
        <f t="shared" si="84"/>
        <v>0</v>
      </c>
      <c r="BQ59" s="518">
        <f t="shared" si="85"/>
        <v>0</v>
      </c>
      <c r="BR59" s="518">
        <f t="shared" si="86"/>
        <v>0</v>
      </c>
      <c r="BS59" s="518">
        <f t="shared" si="87"/>
        <v>0</v>
      </c>
      <c r="BT59" s="518">
        <f t="shared" si="88"/>
        <v>0</v>
      </c>
      <c r="BU59" s="518">
        <f t="shared" si="89"/>
        <v>0</v>
      </c>
      <c r="BV59" s="520">
        <f t="shared" si="90"/>
        <v>0</v>
      </c>
      <c r="BW59" s="563">
        <f t="shared" si="91"/>
        <v>0</v>
      </c>
      <c r="BX59" s="521">
        <f t="shared" si="92"/>
        <v>0</v>
      </c>
      <c r="BY59" s="513">
        <f t="shared" si="127"/>
        <v>0</v>
      </c>
      <c r="BZ59" s="514">
        <f t="array" ref="BZ59">SUMPRODUCT(AX60:BJ60,TRANSPOSE(EXP(-(IF($C$9=1,k_MSW,k_Indu)))))+SUM(AK59:AW59)</f>
        <v>0</v>
      </c>
      <c r="CA59" s="515">
        <f t="array" ref="CA59">SUMPRODUCT(AX60:BJ60,TRANSPOSE(1-EXP(-(IF($C$9=1,k_MSW,k_Indu)))))</f>
        <v>0</v>
      </c>
      <c r="CB59" s="516">
        <f t="shared" si="93"/>
        <v>0</v>
      </c>
    </row>
    <row r="60" spans="1:80" s="315" customFormat="1" ht="17.25" x14ac:dyDescent="0.3">
      <c r="A60" s="313"/>
      <c r="B60" s="316">
        <f t="shared" si="64"/>
        <v>1969</v>
      </c>
      <c r="C60" s="883"/>
      <c r="D60" s="884"/>
      <c r="E60" s="885"/>
      <c r="F60" s="885"/>
      <c r="G60" s="885"/>
      <c r="H60" s="885"/>
      <c r="I60" s="885"/>
      <c r="J60" s="885"/>
      <c r="K60" s="885"/>
      <c r="L60" s="885"/>
      <c r="M60" s="885"/>
      <c r="N60" s="886"/>
      <c r="O60" s="886"/>
      <c r="P60" s="889"/>
      <c r="Q60" s="890"/>
      <c r="R60" s="814">
        <f t="shared" si="94"/>
        <v>0</v>
      </c>
      <c r="S60" s="815">
        <f t="shared" si="95"/>
        <v>0</v>
      </c>
      <c r="T60" s="816">
        <f t="shared" si="96"/>
        <v>0</v>
      </c>
      <c r="U60" s="817">
        <f t="shared" si="97"/>
        <v>0</v>
      </c>
      <c r="V60" s="566">
        <f t="shared" si="98"/>
        <v>0</v>
      </c>
      <c r="W60" s="562" t="str">
        <f t="shared" si="99"/>
        <v/>
      </c>
      <c r="X60" s="563" t="str">
        <f t="shared" si="100"/>
        <v/>
      </c>
      <c r="Y60" s="563" t="str">
        <f t="shared" si="101"/>
        <v/>
      </c>
      <c r="Z60" s="563" t="str">
        <f t="shared" si="102"/>
        <v/>
      </c>
      <c r="AA60" s="563" t="str">
        <f t="shared" si="103"/>
        <v/>
      </c>
      <c r="AB60" s="563" t="str">
        <f t="shared" si="104"/>
        <v/>
      </c>
      <c r="AC60" s="563" t="str">
        <f t="shared" si="105"/>
        <v/>
      </c>
      <c r="AD60" s="563" t="str">
        <f t="shared" si="106"/>
        <v/>
      </c>
      <c r="AE60" s="563" t="str">
        <f t="shared" si="107"/>
        <v/>
      </c>
      <c r="AF60" s="563" t="str">
        <f t="shared" si="108"/>
        <v/>
      </c>
      <c r="AG60" s="563" t="str">
        <f t="shared" si="109"/>
        <v/>
      </c>
      <c r="AH60" s="563" t="str">
        <f t="shared" si="110"/>
        <v/>
      </c>
      <c r="AI60" s="564" t="str">
        <f t="shared" si="111"/>
        <v/>
      </c>
      <c r="AJ60" s="565">
        <f t="shared" si="112"/>
        <v>0</v>
      </c>
      <c r="AK60" s="517">
        <f t="shared" si="113"/>
        <v>0</v>
      </c>
      <c r="AL60" s="518">
        <f t="shared" si="114"/>
        <v>0</v>
      </c>
      <c r="AM60" s="518">
        <f t="shared" si="115"/>
        <v>0</v>
      </c>
      <c r="AN60" s="518">
        <f t="shared" si="116"/>
        <v>0</v>
      </c>
      <c r="AO60" s="518">
        <f t="shared" si="117"/>
        <v>0</v>
      </c>
      <c r="AP60" s="518">
        <f t="shared" si="118"/>
        <v>0</v>
      </c>
      <c r="AQ60" s="518">
        <f t="shared" si="119"/>
        <v>0</v>
      </c>
      <c r="AR60" s="518">
        <f t="shared" si="120"/>
        <v>0</v>
      </c>
      <c r="AS60" s="518">
        <f t="shared" si="121"/>
        <v>0</v>
      </c>
      <c r="AT60" s="518">
        <f t="shared" si="122"/>
        <v>0</v>
      </c>
      <c r="AU60" s="518">
        <f t="shared" si="123"/>
        <v>0</v>
      </c>
      <c r="AV60" s="563">
        <f t="shared" si="124"/>
        <v>0</v>
      </c>
      <c r="AW60" s="519">
        <f t="shared" si="125"/>
        <v>0</v>
      </c>
      <c r="AX60" s="508">
        <f t="shared" si="67"/>
        <v>0</v>
      </c>
      <c r="AY60" s="518">
        <f t="shared" si="68"/>
        <v>0</v>
      </c>
      <c r="AZ60" s="518">
        <f t="shared" si="69"/>
        <v>0</v>
      </c>
      <c r="BA60" s="518">
        <f t="shared" si="70"/>
        <v>0</v>
      </c>
      <c r="BB60" s="518">
        <f t="shared" si="71"/>
        <v>0</v>
      </c>
      <c r="BC60" s="518">
        <f t="shared" si="72"/>
        <v>0</v>
      </c>
      <c r="BD60" s="518">
        <f t="shared" si="73"/>
        <v>0</v>
      </c>
      <c r="BE60" s="518">
        <f t="shared" si="74"/>
        <v>0</v>
      </c>
      <c r="BF60" s="518">
        <f t="shared" si="75"/>
        <v>0</v>
      </c>
      <c r="BG60" s="518">
        <f t="shared" si="76"/>
        <v>0</v>
      </c>
      <c r="BH60" s="520">
        <f t="shared" si="77"/>
        <v>0</v>
      </c>
      <c r="BI60" s="563">
        <f t="shared" si="78"/>
        <v>0</v>
      </c>
      <c r="BJ60" s="521">
        <f t="shared" si="79"/>
        <v>0</v>
      </c>
      <c r="BK60" s="524">
        <f t="shared" si="126"/>
        <v>0</v>
      </c>
      <c r="BL60" s="512">
        <f t="shared" si="80"/>
        <v>0</v>
      </c>
      <c r="BM60" s="518">
        <f t="shared" si="81"/>
        <v>0</v>
      </c>
      <c r="BN60" s="518">
        <f t="shared" si="82"/>
        <v>0</v>
      </c>
      <c r="BO60" s="518">
        <f t="shared" si="83"/>
        <v>0</v>
      </c>
      <c r="BP60" s="518">
        <f t="shared" si="84"/>
        <v>0</v>
      </c>
      <c r="BQ60" s="518">
        <f t="shared" si="85"/>
        <v>0</v>
      </c>
      <c r="BR60" s="518">
        <f t="shared" si="86"/>
        <v>0</v>
      </c>
      <c r="BS60" s="518">
        <f t="shared" si="87"/>
        <v>0</v>
      </c>
      <c r="BT60" s="518">
        <f t="shared" si="88"/>
        <v>0</v>
      </c>
      <c r="BU60" s="518">
        <f t="shared" si="89"/>
        <v>0</v>
      </c>
      <c r="BV60" s="520">
        <f t="shared" si="90"/>
        <v>0</v>
      </c>
      <c r="BW60" s="563">
        <f t="shared" si="91"/>
        <v>0</v>
      </c>
      <c r="BX60" s="521">
        <f t="shared" si="92"/>
        <v>0</v>
      </c>
      <c r="BY60" s="513">
        <f t="shared" si="127"/>
        <v>0</v>
      </c>
      <c r="BZ60" s="514">
        <f t="array" ref="BZ60">SUMPRODUCT(AX61:BJ61,TRANSPOSE(EXP(-(IF($C$9=1,k_MSW,k_Indu)))))+SUM(AK60:AW60)</f>
        <v>0</v>
      </c>
      <c r="CA60" s="515">
        <f t="array" ref="CA60">SUMPRODUCT(AX61:BJ61,TRANSPOSE(1-EXP(-(IF($C$9=1,k_MSW,k_Indu)))))</f>
        <v>0</v>
      </c>
      <c r="CB60" s="516">
        <f t="shared" si="93"/>
        <v>0</v>
      </c>
    </row>
    <row r="61" spans="1:80" s="315" customFormat="1" ht="17.25" x14ac:dyDescent="0.3">
      <c r="A61" s="313"/>
      <c r="B61" s="316">
        <f t="shared" si="64"/>
        <v>1968</v>
      </c>
      <c r="C61" s="883"/>
      <c r="D61" s="884"/>
      <c r="E61" s="885"/>
      <c r="F61" s="885"/>
      <c r="G61" s="885"/>
      <c r="H61" s="885"/>
      <c r="I61" s="885"/>
      <c r="J61" s="885"/>
      <c r="K61" s="885"/>
      <c r="L61" s="885"/>
      <c r="M61" s="885"/>
      <c r="N61" s="886"/>
      <c r="O61" s="886"/>
      <c r="P61" s="889"/>
      <c r="Q61" s="890"/>
      <c r="R61" s="814">
        <f t="shared" si="94"/>
        <v>0</v>
      </c>
      <c r="S61" s="815">
        <f t="shared" si="95"/>
        <v>0</v>
      </c>
      <c r="T61" s="816">
        <f t="shared" si="96"/>
        <v>0</v>
      </c>
      <c r="U61" s="817">
        <f t="shared" si="97"/>
        <v>0</v>
      </c>
      <c r="V61" s="566">
        <f t="shared" si="98"/>
        <v>0</v>
      </c>
      <c r="W61" s="562" t="str">
        <f t="shared" si="99"/>
        <v/>
      </c>
      <c r="X61" s="563" t="str">
        <f t="shared" si="100"/>
        <v/>
      </c>
      <c r="Y61" s="563" t="str">
        <f t="shared" si="101"/>
        <v/>
      </c>
      <c r="Z61" s="563" t="str">
        <f t="shared" si="102"/>
        <v/>
      </c>
      <c r="AA61" s="563" t="str">
        <f t="shared" si="103"/>
        <v/>
      </c>
      <c r="AB61" s="563" t="str">
        <f t="shared" si="104"/>
        <v/>
      </c>
      <c r="AC61" s="563" t="str">
        <f t="shared" si="105"/>
        <v/>
      </c>
      <c r="AD61" s="563" t="str">
        <f t="shared" si="106"/>
        <v/>
      </c>
      <c r="AE61" s="563" t="str">
        <f t="shared" si="107"/>
        <v/>
      </c>
      <c r="AF61" s="563" t="str">
        <f t="shared" si="108"/>
        <v/>
      </c>
      <c r="AG61" s="563" t="str">
        <f t="shared" si="109"/>
        <v/>
      </c>
      <c r="AH61" s="563" t="str">
        <f t="shared" si="110"/>
        <v/>
      </c>
      <c r="AI61" s="564" t="str">
        <f t="shared" si="111"/>
        <v/>
      </c>
      <c r="AJ61" s="565">
        <f t="shared" si="112"/>
        <v>0</v>
      </c>
      <c r="AK61" s="517">
        <f t="shared" si="113"/>
        <v>0</v>
      </c>
      <c r="AL61" s="518">
        <f t="shared" si="114"/>
        <v>0</v>
      </c>
      <c r="AM61" s="518">
        <f t="shared" si="115"/>
        <v>0</v>
      </c>
      <c r="AN61" s="518">
        <f t="shared" si="116"/>
        <v>0</v>
      </c>
      <c r="AO61" s="518">
        <f t="shared" si="117"/>
        <v>0</v>
      </c>
      <c r="AP61" s="518">
        <f t="shared" si="118"/>
        <v>0</v>
      </c>
      <c r="AQ61" s="518">
        <f t="shared" si="119"/>
        <v>0</v>
      </c>
      <c r="AR61" s="518">
        <f t="shared" si="120"/>
        <v>0</v>
      </c>
      <c r="AS61" s="518">
        <f t="shared" si="121"/>
        <v>0</v>
      </c>
      <c r="AT61" s="518">
        <f t="shared" si="122"/>
        <v>0</v>
      </c>
      <c r="AU61" s="518">
        <f t="shared" si="123"/>
        <v>0</v>
      </c>
      <c r="AV61" s="563">
        <f t="shared" si="124"/>
        <v>0</v>
      </c>
      <c r="AW61" s="519">
        <f t="shared" si="125"/>
        <v>0</v>
      </c>
      <c r="AX61" s="508">
        <f t="shared" si="67"/>
        <v>0</v>
      </c>
      <c r="AY61" s="518">
        <f t="shared" si="68"/>
        <v>0</v>
      </c>
      <c r="AZ61" s="518">
        <f t="shared" si="69"/>
        <v>0</v>
      </c>
      <c r="BA61" s="518">
        <f t="shared" si="70"/>
        <v>0</v>
      </c>
      <c r="BB61" s="518">
        <f t="shared" si="71"/>
        <v>0</v>
      </c>
      <c r="BC61" s="518">
        <f t="shared" si="72"/>
        <v>0</v>
      </c>
      <c r="BD61" s="518">
        <f t="shared" si="73"/>
        <v>0</v>
      </c>
      <c r="BE61" s="518">
        <f t="shared" si="74"/>
        <v>0</v>
      </c>
      <c r="BF61" s="518">
        <f t="shared" si="75"/>
        <v>0</v>
      </c>
      <c r="BG61" s="518">
        <f t="shared" si="76"/>
        <v>0</v>
      </c>
      <c r="BH61" s="520">
        <f t="shared" si="77"/>
        <v>0</v>
      </c>
      <c r="BI61" s="563">
        <f t="shared" si="78"/>
        <v>0</v>
      </c>
      <c r="BJ61" s="521">
        <f t="shared" si="79"/>
        <v>0</v>
      </c>
      <c r="BK61" s="524">
        <f t="shared" si="126"/>
        <v>0</v>
      </c>
      <c r="BL61" s="512">
        <f t="shared" si="80"/>
        <v>0</v>
      </c>
      <c r="BM61" s="518">
        <f t="shared" si="81"/>
        <v>0</v>
      </c>
      <c r="BN61" s="518">
        <f t="shared" si="82"/>
        <v>0</v>
      </c>
      <c r="BO61" s="518">
        <f t="shared" si="83"/>
        <v>0</v>
      </c>
      <c r="BP61" s="518">
        <f t="shared" si="84"/>
        <v>0</v>
      </c>
      <c r="BQ61" s="518">
        <f t="shared" si="85"/>
        <v>0</v>
      </c>
      <c r="BR61" s="518">
        <f t="shared" si="86"/>
        <v>0</v>
      </c>
      <c r="BS61" s="518">
        <f t="shared" si="87"/>
        <v>0</v>
      </c>
      <c r="BT61" s="518">
        <f t="shared" si="88"/>
        <v>0</v>
      </c>
      <c r="BU61" s="518">
        <f t="shared" si="89"/>
        <v>0</v>
      </c>
      <c r="BV61" s="520">
        <f t="shared" si="90"/>
        <v>0</v>
      </c>
      <c r="BW61" s="563">
        <f t="shared" si="91"/>
        <v>0</v>
      </c>
      <c r="BX61" s="521">
        <f t="shared" si="92"/>
        <v>0</v>
      </c>
      <c r="BY61" s="513">
        <f t="shared" si="127"/>
        <v>0</v>
      </c>
      <c r="BZ61" s="514">
        <f t="array" ref="BZ61">SUMPRODUCT(AX62:BJ62,TRANSPOSE(EXP(-(IF($C$9=1,k_MSW,k_Indu)))))+SUM(AK61:AW61)</f>
        <v>0</v>
      </c>
      <c r="CA61" s="515">
        <f t="array" ref="CA61">SUMPRODUCT(AX62:BJ62,TRANSPOSE(1-EXP(-(IF($C$9=1,k_MSW,k_Indu)))))</f>
        <v>0</v>
      </c>
      <c r="CB61" s="516">
        <f t="shared" si="93"/>
        <v>0</v>
      </c>
    </row>
    <row r="62" spans="1:80" s="315" customFormat="1" ht="17.25" x14ac:dyDescent="0.3">
      <c r="A62" s="313"/>
      <c r="B62" s="316">
        <f t="shared" si="64"/>
        <v>1967</v>
      </c>
      <c r="C62" s="883"/>
      <c r="D62" s="884"/>
      <c r="E62" s="885"/>
      <c r="F62" s="885"/>
      <c r="G62" s="885"/>
      <c r="H62" s="885"/>
      <c r="I62" s="885"/>
      <c r="J62" s="885"/>
      <c r="K62" s="885"/>
      <c r="L62" s="885"/>
      <c r="M62" s="885"/>
      <c r="N62" s="886"/>
      <c r="O62" s="886"/>
      <c r="P62" s="889"/>
      <c r="Q62" s="890"/>
      <c r="R62" s="814">
        <f t="shared" si="94"/>
        <v>0</v>
      </c>
      <c r="S62" s="815">
        <f t="shared" si="95"/>
        <v>0</v>
      </c>
      <c r="T62" s="816">
        <f t="shared" si="96"/>
        <v>0</v>
      </c>
      <c r="U62" s="817">
        <f t="shared" si="97"/>
        <v>0</v>
      </c>
      <c r="V62" s="566">
        <f t="shared" si="98"/>
        <v>0</v>
      </c>
      <c r="W62" s="562" t="str">
        <f t="shared" si="99"/>
        <v/>
      </c>
      <c r="X62" s="563" t="str">
        <f t="shared" si="100"/>
        <v/>
      </c>
      <c r="Y62" s="563" t="str">
        <f t="shared" si="101"/>
        <v/>
      </c>
      <c r="Z62" s="563" t="str">
        <f t="shared" si="102"/>
        <v/>
      </c>
      <c r="AA62" s="563" t="str">
        <f t="shared" si="103"/>
        <v/>
      </c>
      <c r="AB62" s="563" t="str">
        <f t="shared" si="104"/>
        <v/>
      </c>
      <c r="AC62" s="563" t="str">
        <f t="shared" si="105"/>
        <v/>
      </c>
      <c r="AD62" s="563" t="str">
        <f t="shared" si="106"/>
        <v/>
      </c>
      <c r="AE62" s="563" t="str">
        <f t="shared" si="107"/>
        <v/>
      </c>
      <c r="AF62" s="563" t="str">
        <f t="shared" si="108"/>
        <v/>
      </c>
      <c r="AG62" s="563" t="str">
        <f t="shared" si="109"/>
        <v/>
      </c>
      <c r="AH62" s="563" t="str">
        <f t="shared" si="110"/>
        <v/>
      </c>
      <c r="AI62" s="564" t="str">
        <f t="shared" si="111"/>
        <v/>
      </c>
      <c r="AJ62" s="565">
        <f t="shared" si="112"/>
        <v>0</v>
      </c>
      <c r="AK62" s="517">
        <f t="shared" si="113"/>
        <v>0</v>
      </c>
      <c r="AL62" s="518">
        <f t="shared" si="114"/>
        <v>0</v>
      </c>
      <c r="AM62" s="518">
        <f t="shared" si="115"/>
        <v>0</v>
      </c>
      <c r="AN62" s="518">
        <f t="shared" si="116"/>
        <v>0</v>
      </c>
      <c r="AO62" s="518">
        <f t="shared" si="117"/>
        <v>0</v>
      </c>
      <c r="AP62" s="518">
        <f t="shared" si="118"/>
        <v>0</v>
      </c>
      <c r="AQ62" s="518">
        <f t="shared" si="119"/>
        <v>0</v>
      </c>
      <c r="AR62" s="518">
        <f t="shared" si="120"/>
        <v>0</v>
      </c>
      <c r="AS62" s="518">
        <f t="shared" si="121"/>
        <v>0</v>
      </c>
      <c r="AT62" s="518">
        <f t="shared" si="122"/>
        <v>0</v>
      </c>
      <c r="AU62" s="518">
        <f t="shared" si="123"/>
        <v>0</v>
      </c>
      <c r="AV62" s="563">
        <f t="shared" si="124"/>
        <v>0</v>
      </c>
      <c r="AW62" s="519">
        <f t="shared" si="125"/>
        <v>0</v>
      </c>
      <c r="AX62" s="508">
        <f t="shared" si="67"/>
        <v>0</v>
      </c>
      <c r="AY62" s="518">
        <f t="shared" si="68"/>
        <v>0</v>
      </c>
      <c r="AZ62" s="518">
        <f t="shared" si="69"/>
        <v>0</v>
      </c>
      <c r="BA62" s="518">
        <f t="shared" si="70"/>
        <v>0</v>
      </c>
      <c r="BB62" s="518">
        <f t="shared" si="71"/>
        <v>0</v>
      </c>
      <c r="BC62" s="518">
        <f t="shared" si="72"/>
        <v>0</v>
      </c>
      <c r="BD62" s="518">
        <f t="shared" si="73"/>
        <v>0</v>
      </c>
      <c r="BE62" s="518">
        <f t="shared" si="74"/>
        <v>0</v>
      </c>
      <c r="BF62" s="518">
        <f t="shared" si="75"/>
        <v>0</v>
      </c>
      <c r="BG62" s="518">
        <f t="shared" si="76"/>
        <v>0</v>
      </c>
      <c r="BH62" s="520">
        <f t="shared" si="77"/>
        <v>0</v>
      </c>
      <c r="BI62" s="563">
        <f t="shared" si="78"/>
        <v>0</v>
      </c>
      <c r="BJ62" s="521">
        <f t="shared" si="79"/>
        <v>0</v>
      </c>
      <c r="BK62" s="524">
        <f t="shared" si="126"/>
        <v>0</v>
      </c>
      <c r="BL62" s="512">
        <f t="shared" si="80"/>
        <v>0</v>
      </c>
      <c r="BM62" s="518">
        <f t="shared" si="81"/>
        <v>0</v>
      </c>
      <c r="BN62" s="518">
        <f t="shared" si="82"/>
        <v>0</v>
      </c>
      <c r="BO62" s="518">
        <f t="shared" si="83"/>
        <v>0</v>
      </c>
      <c r="BP62" s="518">
        <f t="shared" si="84"/>
        <v>0</v>
      </c>
      <c r="BQ62" s="518">
        <f t="shared" si="85"/>
        <v>0</v>
      </c>
      <c r="BR62" s="518">
        <f t="shared" si="86"/>
        <v>0</v>
      </c>
      <c r="BS62" s="518">
        <f t="shared" si="87"/>
        <v>0</v>
      </c>
      <c r="BT62" s="518">
        <f t="shared" si="88"/>
        <v>0</v>
      </c>
      <c r="BU62" s="518">
        <f t="shared" si="89"/>
        <v>0</v>
      </c>
      <c r="BV62" s="520">
        <f t="shared" si="90"/>
        <v>0</v>
      </c>
      <c r="BW62" s="563">
        <f t="shared" si="91"/>
        <v>0</v>
      </c>
      <c r="BX62" s="521">
        <f t="shared" si="92"/>
        <v>0</v>
      </c>
      <c r="BY62" s="513">
        <f t="shared" si="127"/>
        <v>0</v>
      </c>
      <c r="BZ62" s="514">
        <f t="array" ref="BZ62">SUMPRODUCT(AX63:BJ63,TRANSPOSE(EXP(-(IF($C$9=1,k_MSW,k_Indu)))))+SUM(AK62:AW62)</f>
        <v>0</v>
      </c>
      <c r="CA62" s="515">
        <f t="array" ref="CA62">SUMPRODUCT(AX63:BJ63,TRANSPOSE(1-EXP(-(IF($C$9=1,k_MSW,k_Indu)))))</f>
        <v>0</v>
      </c>
      <c r="CB62" s="516">
        <f t="shared" si="93"/>
        <v>0</v>
      </c>
    </row>
    <row r="63" spans="1:80" s="315" customFormat="1" ht="17.25" x14ac:dyDescent="0.3">
      <c r="A63" s="313"/>
      <c r="B63" s="316">
        <f t="shared" si="64"/>
        <v>1966</v>
      </c>
      <c r="C63" s="883"/>
      <c r="D63" s="884"/>
      <c r="E63" s="885"/>
      <c r="F63" s="885"/>
      <c r="G63" s="885"/>
      <c r="H63" s="885"/>
      <c r="I63" s="885"/>
      <c r="J63" s="885"/>
      <c r="K63" s="885"/>
      <c r="L63" s="885"/>
      <c r="M63" s="885"/>
      <c r="N63" s="886"/>
      <c r="O63" s="886"/>
      <c r="P63" s="889"/>
      <c r="Q63" s="890"/>
      <c r="R63" s="814">
        <f t="shared" si="94"/>
        <v>0</v>
      </c>
      <c r="S63" s="815">
        <f t="shared" si="95"/>
        <v>0</v>
      </c>
      <c r="T63" s="816">
        <f t="shared" si="96"/>
        <v>0</v>
      </c>
      <c r="U63" s="817">
        <f t="shared" si="97"/>
        <v>0</v>
      </c>
      <c r="V63" s="566">
        <f t="shared" si="98"/>
        <v>0</v>
      </c>
      <c r="W63" s="562" t="str">
        <f t="shared" si="99"/>
        <v/>
      </c>
      <c r="X63" s="563" t="str">
        <f t="shared" si="100"/>
        <v/>
      </c>
      <c r="Y63" s="563" t="str">
        <f t="shared" si="101"/>
        <v/>
      </c>
      <c r="Z63" s="563" t="str">
        <f t="shared" si="102"/>
        <v/>
      </c>
      <c r="AA63" s="563" t="str">
        <f t="shared" si="103"/>
        <v/>
      </c>
      <c r="AB63" s="563" t="str">
        <f t="shared" si="104"/>
        <v/>
      </c>
      <c r="AC63" s="563" t="str">
        <f t="shared" si="105"/>
        <v/>
      </c>
      <c r="AD63" s="563" t="str">
        <f t="shared" si="106"/>
        <v/>
      </c>
      <c r="AE63" s="563" t="str">
        <f t="shared" si="107"/>
        <v/>
      </c>
      <c r="AF63" s="563" t="str">
        <f t="shared" si="108"/>
        <v/>
      </c>
      <c r="AG63" s="563" t="str">
        <f t="shared" si="109"/>
        <v/>
      </c>
      <c r="AH63" s="563" t="str">
        <f t="shared" si="110"/>
        <v/>
      </c>
      <c r="AI63" s="564" t="str">
        <f t="shared" si="111"/>
        <v/>
      </c>
      <c r="AJ63" s="565">
        <f t="shared" si="112"/>
        <v>0</v>
      </c>
      <c r="AK63" s="517">
        <f t="shared" si="113"/>
        <v>0</v>
      </c>
      <c r="AL63" s="518">
        <f t="shared" si="114"/>
        <v>0</v>
      </c>
      <c r="AM63" s="518">
        <f t="shared" si="115"/>
        <v>0</v>
      </c>
      <c r="AN63" s="518">
        <f t="shared" si="116"/>
        <v>0</v>
      </c>
      <c r="AO63" s="518">
        <f t="shared" si="117"/>
        <v>0</v>
      </c>
      <c r="AP63" s="518">
        <f t="shared" si="118"/>
        <v>0</v>
      </c>
      <c r="AQ63" s="518">
        <f t="shared" si="119"/>
        <v>0</v>
      </c>
      <c r="AR63" s="518">
        <f t="shared" si="120"/>
        <v>0</v>
      </c>
      <c r="AS63" s="518">
        <f t="shared" si="121"/>
        <v>0</v>
      </c>
      <c r="AT63" s="518">
        <f t="shared" si="122"/>
        <v>0</v>
      </c>
      <c r="AU63" s="518">
        <f t="shared" si="123"/>
        <v>0</v>
      </c>
      <c r="AV63" s="563">
        <f t="shared" si="124"/>
        <v>0</v>
      </c>
      <c r="AW63" s="519">
        <f t="shared" si="125"/>
        <v>0</v>
      </c>
      <c r="AX63" s="508">
        <f t="shared" si="67"/>
        <v>0</v>
      </c>
      <c r="AY63" s="518">
        <f t="shared" si="68"/>
        <v>0</v>
      </c>
      <c r="AZ63" s="518">
        <f t="shared" si="69"/>
        <v>0</v>
      </c>
      <c r="BA63" s="518">
        <f t="shared" si="70"/>
        <v>0</v>
      </c>
      <c r="BB63" s="518">
        <f t="shared" si="71"/>
        <v>0</v>
      </c>
      <c r="BC63" s="518">
        <f t="shared" si="72"/>
        <v>0</v>
      </c>
      <c r="BD63" s="518">
        <f t="shared" si="73"/>
        <v>0</v>
      </c>
      <c r="BE63" s="518">
        <f t="shared" si="74"/>
        <v>0</v>
      </c>
      <c r="BF63" s="518">
        <f t="shared" si="75"/>
        <v>0</v>
      </c>
      <c r="BG63" s="518">
        <f t="shared" si="76"/>
        <v>0</v>
      </c>
      <c r="BH63" s="520">
        <f t="shared" si="77"/>
        <v>0</v>
      </c>
      <c r="BI63" s="563">
        <f t="shared" si="78"/>
        <v>0</v>
      </c>
      <c r="BJ63" s="521">
        <f t="shared" si="79"/>
        <v>0</v>
      </c>
      <c r="BK63" s="524">
        <f t="shared" si="126"/>
        <v>0</v>
      </c>
      <c r="BL63" s="512">
        <f t="shared" si="80"/>
        <v>0</v>
      </c>
      <c r="BM63" s="518">
        <f t="shared" si="81"/>
        <v>0</v>
      </c>
      <c r="BN63" s="518">
        <f t="shared" si="82"/>
        <v>0</v>
      </c>
      <c r="BO63" s="518">
        <f t="shared" si="83"/>
        <v>0</v>
      </c>
      <c r="BP63" s="518">
        <f t="shared" si="84"/>
        <v>0</v>
      </c>
      <c r="BQ63" s="518">
        <f t="shared" si="85"/>
        <v>0</v>
      </c>
      <c r="BR63" s="518">
        <f t="shared" si="86"/>
        <v>0</v>
      </c>
      <c r="BS63" s="518">
        <f t="shared" si="87"/>
        <v>0</v>
      </c>
      <c r="BT63" s="518">
        <f t="shared" si="88"/>
        <v>0</v>
      </c>
      <c r="BU63" s="518">
        <f t="shared" si="89"/>
        <v>0</v>
      </c>
      <c r="BV63" s="520">
        <f t="shared" si="90"/>
        <v>0</v>
      </c>
      <c r="BW63" s="563">
        <f t="shared" si="91"/>
        <v>0</v>
      </c>
      <c r="BX63" s="521">
        <f t="shared" si="92"/>
        <v>0</v>
      </c>
      <c r="BY63" s="513">
        <f t="shared" si="127"/>
        <v>0</v>
      </c>
      <c r="BZ63" s="514">
        <f t="array" ref="BZ63">SUMPRODUCT(AX64:BJ64,TRANSPOSE(EXP(-(IF($C$9=1,k_MSW,k_Indu)))))+SUM(AK63:AW63)</f>
        <v>0</v>
      </c>
      <c r="CA63" s="515">
        <f t="array" ref="CA63">SUMPRODUCT(AX64:BJ64,TRANSPOSE(1-EXP(-(IF($C$9=1,k_MSW,k_Indu)))))</f>
        <v>0</v>
      </c>
      <c r="CB63" s="516">
        <f t="shared" si="93"/>
        <v>0</v>
      </c>
    </row>
    <row r="64" spans="1:80" s="315" customFormat="1" ht="17.25" x14ac:dyDescent="0.3">
      <c r="A64" s="313"/>
      <c r="B64" s="316">
        <f t="shared" si="64"/>
        <v>1965</v>
      </c>
      <c r="C64" s="883"/>
      <c r="D64" s="884"/>
      <c r="E64" s="885"/>
      <c r="F64" s="885"/>
      <c r="G64" s="885"/>
      <c r="H64" s="885"/>
      <c r="I64" s="885"/>
      <c r="J64" s="885"/>
      <c r="K64" s="885"/>
      <c r="L64" s="885"/>
      <c r="M64" s="885"/>
      <c r="N64" s="886"/>
      <c r="O64" s="886"/>
      <c r="P64" s="889"/>
      <c r="Q64" s="890"/>
      <c r="R64" s="814">
        <f t="shared" si="94"/>
        <v>0</v>
      </c>
      <c r="S64" s="815">
        <f t="shared" si="95"/>
        <v>0</v>
      </c>
      <c r="T64" s="816">
        <f t="shared" si="96"/>
        <v>0</v>
      </c>
      <c r="U64" s="817">
        <f t="shared" si="97"/>
        <v>0</v>
      </c>
      <c r="V64" s="566">
        <f t="shared" si="98"/>
        <v>0</v>
      </c>
      <c r="W64" s="562" t="str">
        <f t="shared" si="99"/>
        <v/>
      </c>
      <c r="X64" s="563" t="str">
        <f t="shared" si="100"/>
        <v/>
      </c>
      <c r="Y64" s="563" t="str">
        <f t="shared" si="101"/>
        <v/>
      </c>
      <c r="Z64" s="563" t="str">
        <f t="shared" si="102"/>
        <v/>
      </c>
      <c r="AA64" s="563" t="str">
        <f t="shared" si="103"/>
        <v/>
      </c>
      <c r="AB64" s="563" t="str">
        <f t="shared" si="104"/>
        <v/>
      </c>
      <c r="AC64" s="563" t="str">
        <f t="shared" si="105"/>
        <v/>
      </c>
      <c r="AD64" s="563" t="str">
        <f t="shared" si="106"/>
        <v/>
      </c>
      <c r="AE64" s="563" t="str">
        <f t="shared" si="107"/>
        <v/>
      </c>
      <c r="AF64" s="563" t="str">
        <f t="shared" si="108"/>
        <v/>
      </c>
      <c r="AG64" s="563" t="str">
        <f t="shared" si="109"/>
        <v/>
      </c>
      <c r="AH64" s="563" t="str">
        <f t="shared" si="110"/>
        <v/>
      </c>
      <c r="AI64" s="564" t="str">
        <f t="shared" si="111"/>
        <v/>
      </c>
      <c r="AJ64" s="565">
        <f t="shared" si="112"/>
        <v>0</v>
      </c>
      <c r="AK64" s="517">
        <f t="shared" si="113"/>
        <v>0</v>
      </c>
      <c r="AL64" s="518">
        <f t="shared" si="114"/>
        <v>0</v>
      </c>
      <c r="AM64" s="518">
        <f t="shared" si="115"/>
        <v>0</v>
      </c>
      <c r="AN64" s="518">
        <f t="shared" si="116"/>
        <v>0</v>
      </c>
      <c r="AO64" s="518">
        <f t="shared" si="117"/>
        <v>0</v>
      </c>
      <c r="AP64" s="518">
        <f t="shared" si="118"/>
        <v>0</v>
      </c>
      <c r="AQ64" s="518">
        <f t="shared" si="119"/>
        <v>0</v>
      </c>
      <c r="AR64" s="518">
        <f t="shared" si="120"/>
        <v>0</v>
      </c>
      <c r="AS64" s="518">
        <f t="shared" si="121"/>
        <v>0</v>
      </c>
      <c r="AT64" s="518">
        <f t="shared" si="122"/>
        <v>0</v>
      </c>
      <c r="AU64" s="518">
        <f t="shared" si="123"/>
        <v>0</v>
      </c>
      <c r="AV64" s="563">
        <f t="shared" si="124"/>
        <v>0</v>
      </c>
      <c r="AW64" s="519">
        <f t="shared" si="125"/>
        <v>0</v>
      </c>
      <c r="AX64" s="508">
        <f t="shared" si="67"/>
        <v>0</v>
      </c>
      <c r="AY64" s="518">
        <f t="shared" si="68"/>
        <v>0</v>
      </c>
      <c r="AZ64" s="518">
        <f t="shared" si="69"/>
        <v>0</v>
      </c>
      <c r="BA64" s="518">
        <f t="shared" si="70"/>
        <v>0</v>
      </c>
      <c r="BB64" s="518">
        <f t="shared" si="71"/>
        <v>0</v>
      </c>
      <c r="BC64" s="518">
        <f t="shared" si="72"/>
        <v>0</v>
      </c>
      <c r="BD64" s="518">
        <f t="shared" si="73"/>
        <v>0</v>
      </c>
      <c r="BE64" s="518">
        <f t="shared" si="74"/>
        <v>0</v>
      </c>
      <c r="BF64" s="518">
        <f t="shared" si="75"/>
        <v>0</v>
      </c>
      <c r="BG64" s="518">
        <f t="shared" si="76"/>
        <v>0</v>
      </c>
      <c r="BH64" s="520">
        <f t="shared" si="77"/>
        <v>0</v>
      </c>
      <c r="BI64" s="563">
        <f t="shared" si="78"/>
        <v>0</v>
      </c>
      <c r="BJ64" s="521">
        <f t="shared" si="79"/>
        <v>0</v>
      </c>
      <c r="BK64" s="524">
        <f t="shared" si="126"/>
        <v>0</v>
      </c>
      <c r="BL64" s="512">
        <f t="shared" si="80"/>
        <v>0</v>
      </c>
      <c r="BM64" s="518">
        <f t="shared" si="81"/>
        <v>0</v>
      </c>
      <c r="BN64" s="518">
        <f t="shared" si="82"/>
        <v>0</v>
      </c>
      <c r="BO64" s="518">
        <f t="shared" si="83"/>
        <v>0</v>
      </c>
      <c r="BP64" s="518">
        <f t="shared" si="84"/>
        <v>0</v>
      </c>
      <c r="BQ64" s="518">
        <f t="shared" si="85"/>
        <v>0</v>
      </c>
      <c r="BR64" s="518">
        <f t="shared" si="86"/>
        <v>0</v>
      </c>
      <c r="BS64" s="518">
        <f t="shared" si="87"/>
        <v>0</v>
      </c>
      <c r="BT64" s="518">
        <f t="shared" si="88"/>
        <v>0</v>
      </c>
      <c r="BU64" s="518">
        <f t="shared" si="89"/>
        <v>0</v>
      </c>
      <c r="BV64" s="520">
        <f t="shared" si="90"/>
        <v>0</v>
      </c>
      <c r="BW64" s="563">
        <f t="shared" si="91"/>
        <v>0</v>
      </c>
      <c r="BX64" s="521">
        <f t="shared" si="92"/>
        <v>0</v>
      </c>
      <c r="BY64" s="513">
        <f t="shared" si="127"/>
        <v>0</v>
      </c>
      <c r="BZ64" s="514">
        <f t="array" ref="BZ64">SUMPRODUCT(AX65:BJ65,TRANSPOSE(EXP(-(IF($C$9=1,k_MSW,k_Indu)))))+SUM(AK64:AW64)</f>
        <v>0</v>
      </c>
      <c r="CA64" s="515">
        <f t="array" ref="CA64">SUMPRODUCT(AX65:BJ65,TRANSPOSE(1-EXP(-(IF($C$9=1,k_MSW,k_Indu)))))</f>
        <v>0</v>
      </c>
      <c r="CB64" s="516">
        <f t="shared" si="93"/>
        <v>0</v>
      </c>
    </row>
    <row r="65" spans="1:80" s="315" customFormat="1" ht="17.25" x14ac:dyDescent="0.3">
      <c r="A65" s="313"/>
      <c r="B65" s="316">
        <f t="shared" si="64"/>
        <v>1964</v>
      </c>
      <c r="C65" s="883"/>
      <c r="D65" s="884"/>
      <c r="E65" s="885"/>
      <c r="F65" s="885"/>
      <c r="G65" s="885"/>
      <c r="H65" s="885"/>
      <c r="I65" s="885"/>
      <c r="J65" s="885"/>
      <c r="K65" s="885"/>
      <c r="L65" s="885"/>
      <c r="M65" s="885"/>
      <c r="N65" s="886"/>
      <c r="O65" s="886"/>
      <c r="P65" s="889"/>
      <c r="Q65" s="890"/>
      <c r="R65" s="814">
        <f t="shared" si="94"/>
        <v>0</v>
      </c>
      <c r="S65" s="815">
        <f t="shared" si="95"/>
        <v>0</v>
      </c>
      <c r="T65" s="816">
        <f t="shared" si="96"/>
        <v>0</v>
      </c>
      <c r="U65" s="817">
        <f t="shared" si="97"/>
        <v>0</v>
      </c>
      <c r="V65" s="566">
        <f t="shared" si="98"/>
        <v>0</v>
      </c>
      <c r="W65" s="562" t="str">
        <f t="shared" si="99"/>
        <v/>
      </c>
      <c r="X65" s="563" t="str">
        <f t="shared" si="100"/>
        <v/>
      </c>
      <c r="Y65" s="563" t="str">
        <f t="shared" si="101"/>
        <v/>
      </c>
      <c r="Z65" s="563" t="str">
        <f t="shared" si="102"/>
        <v/>
      </c>
      <c r="AA65" s="563" t="str">
        <f t="shared" si="103"/>
        <v/>
      </c>
      <c r="AB65" s="563" t="str">
        <f t="shared" si="104"/>
        <v/>
      </c>
      <c r="AC65" s="563" t="str">
        <f t="shared" si="105"/>
        <v/>
      </c>
      <c r="AD65" s="563" t="str">
        <f t="shared" si="106"/>
        <v/>
      </c>
      <c r="AE65" s="563" t="str">
        <f t="shared" si="107"/>
        <v/>
      </c>
      <c r="AF65" s="563" t="str">
        <f t="shared" si="108"/>
        <v/>
      </c>
      <c r="AG65" s="563" t="str">
        <f t="shared" si="109"/>
        <v/>
      </c>
      <c r="AH65" s="563" t="str">
        <f t="shared" si="110"/>
        <v/>
      </c>
      <c r="AI65" s="564" t="str">
        <f t="shared" si="111"/>
        <v/>
      </c>
      <c r="AJ65" s="565">
        <f t="shared" si="112"/>
        <v>0</v>
      </c>
      <c r="AK65" s="517">
        <f t="shared" si="113"/>
        <v>0</v>
      </c>
      <c r="AL65" s="518">
        <f t="shared" si="114"/>
        <v>0</v>
      </c>
      <c r="AM65" s="518">
        <f t="shared" si="115"/>
        <v>0</v>
      </c>
      <c r="AN65" s="518">
        <f t="shared" si="116"/>
        <v>0</v>
      </c>
      <c r="AO65" s="518">
        <f t="shared" si="117"/>
        <v>0</v>
      </c>
      <c r="AP65" s="518">
        <f t="shared" si="118"/>
        <v>0</v>
      </c>
      <c r="AQ65" s="518">
        <f t="shared" si="119"/>
        <v>0</v>
      </c>
      <c r="AR65" s="518">
        <f t="shared" si="120"/>
        <v>0</v>
      </c>
      <c r="AS65" s="518">
        <f t="shared" si="121"/>
        <v>0</v>
      </c>
      <c r="AT65" s="518">
        <f t="shared" si="122"/>
        <v>0</v>
      </c>
      <c r="AU65" s="518">
        <f t="shared" si="123"/>
        <v>0</v>
      </c>
      <c r="AV65" s="563">
        <f t="shared" si="124"/>
        <v>0</v>
      </c>
      <c r="AW65" s="519">
        <f t="shared" si="125"/>
        <v>0</v>
      </c>
      <c r="AX65" s="508">
        <f t="shared" si="67"/>
        <v>0</v>
      </c>
      <c r="AY65" s="518">
        <f t="shared" si="68"/>
        <v>0</v>
      </c>
      <c r="AZ65" s="518">
        <f t="shared" si="69"/>
        <v>0</v>
      </c>
      <c r="BA65" s="518">
        <f t="shared" si="70"/>
        <v>0</v>
      </c>
      <c r="BB65" s="518">
        <f t="shared" si="71"/>
        <v>0</v>
      </c>
      <c r="BC65" s="518">
        <f t="shared" si="72"/>
        <v>0</v>
      </c>
      <c r="BD65" s="518">
        <f t="shared" si="73"/>
        <v>0</v>
      </c>
      <c r="BE65" s="518">
        <f t="shared" si="74"/>
        <v>0</v>
      </c>
      <c r="BF65" s="518">
        <f t="shared" si="75"/>
        <v>0</v>
      </c>
      <c r="BG65" s="518">
        <f t="shared" si="76"/>
        <v>0</v>
      </c>
      <c r="BH65" s="520">
        <f t="shared" si="77"/>
        <v>0</v>
      </c>
      <c r="BI65" s="563">
        <f t="shared" si="78"/>
        <v>0</v>
      </c>
      <c r="BJ65" s="521">
        <f t="shared" si="79"/>
        <v>0</v>
      </c>
      <c r="BK65" s="524">
        <f t="shared" si="126"/>
        <v>0</v>
      </c>
      <c r="BL65" s="512">
        <f t="shared" si="80"/>
        <v>0</v>
      </c>
      <c r="BM65" s="518">
        <f t="shared" si="81"/>
        <v>0</v>
      </c>
      <c r="BN65" s="518">
        <f t="shared" si="82"/>
        <v>0</v>
      </c>
      <c r="BO65" s="518">
        <f t="shared" si="83"/>
        <v>0</v>
      </c>
      <c r="BP65" s="518">
        <f t="shared" si="84"/>
        <v>0</v>
      </c>
      <c r="BQ65" s="518">
        <f t="shared" si="85"/>
        <v>0</v>
      </c>
      <c r="BR65" s="518">
        <f t="shared" si="86"/>
        <v>0</v>
      </c>
      <c r="BS65" s="518">
        <f t="shared" si="87"/>
        <v>0</v>
      </c>
      <c r="BT65" s="518">
        <f t="shared" si="88"/>
        <v>0</v>
      </c>
      <c r="BU65" s="518">
        <f t="shared" si="89"/>
        <v>0</v>
      </c>
      <c r="BV65" s="520">
        <f t="shared" si="90"/>
        <v>0</v>
      </c>
      <c r="BW65" s="563">
        <f t="shared" si="91"/>
        <v>0</v>
      </c>
      <c r="BX65" s="521">
        <f t="shared" si="92"/>
        <v>0</v>
      </c>
      <c r="BY65" s="513">
        <f t="shared" si="127"/>
        <v>0</v>
      </c>
      <c r="BZ65" s="514">
        <f t="array" ref="BZ65">SUMPRODUCT(AX66:BJ66,TRANSPOSE(EXP(-(IF($C$9=1,k_MSW,k_Indu)))))+SUM(AK65:AW65)</f>
        <v>0</v>
      </c>
      <c r="CA65" s="515">
        <f t="array" ref="CA65">SUMPRODUCT(AX66:BJ66,TRANSPOSE(1-EXP(-(IF($C$9=1,k_MSW,k_Indu)))))</f>
        <v>0</v>
      </c>
      <c r="CB65" s="516">
        <f t="shared" si="93"/>
        <v>0</v>
      </c>
    </row>
    <row r="66" spans="1:80" s="315" customFormat="1" ht="17.25" x14ac:dyDescent="0.3">
      <c r="A66" s="313"/>
      <c r="B66" s="316">
        <f t="shared" si="64"/>
        <v>1963</v>
      </c>
      <c r="C66" s="883"/>
      <c r="D66" s="884"/>
      <c r="E66" s="885"/>
      <c r="F66" s="885"/>
      <c r="G66" s="885"/>
      <c r="H66" s="885"/>
      <c r="I66" s="885"/>
      <c r="J66" s="885"/>
      <c r="K66" s="885"/>
      <c r="L66" s="885"/>
      <c r="M66" s="885"/>
      <c r="N66" s="886"/>
      <c r="O66" s="886"/>
      <c r="P66" s="889"/>
      <c r="Q66" s="890"/>
      <c r="R66" s="814">
        <f t="shared" si="94"/>
        <v>0</v>
      </c>
      <c r="S66" s="815">
        <f t="shared" si="95"/>
        <v>0</v>
      </c>
      <c r="T66" s="816">
        <f t="shared" si="96"/>
        <v>0</v>
      </c>
      <c r="U66" s="817">
        <f t="shared" si="97"/>
        <v>0</v>
      </c>
      <c r="V66" s="566">
        <f t="shared" si="98"/>
        <v>0</v>
      </c>
      <c r="W66" s="562" t="str">
        <f t="shared" si="99"/>
        <v/>
      </c>
      <c r="X66" s="563" t="str">
        <f t="shared" si="100"/>
        <v/>
      </c>
      <c r="Y66" s="563" t="str">
        <f t="shared" si="101"/>
        <v/>
      </c>
      <c r="Z66" s="563" t="str">
        <f t="shared" si="102"/>
        <v/>
      </c>
      <c r="AA66" s="563" t="str">
        <f t="shared" si="103"/>
        <v/>
      </c>
      <c r="AB66" s="563" t="str">
        <f t="shared" si="104"/>
        <v/>
      </c>
      <c r="AC66" s="563" t="str">
        <f t="shared" si="105"/>
        <v/>
      </c>
      <c r="AD66" s="563" t="str">
        <f t="shared" si="106"/>
        <v/>
      </c>
      <c r="AE66" s="563" t="str">
        <f t="shared" si="107"/>
        <v/>
      </c>
      <c r="AF66" s="563" t="str">
        <f t="shared" si="108"/>
        <v/>
      </c>
      <c r="AG66" s="563" t="str">
        <f t="shared" si="109"/>
        <v/>
      </c>
      <c r="AH66" s="563" t="str">
        <f t="shared" si="110"/>
        <v/>
      </c>
      <c r="AI66" s="564" t="str">
        <f t="shared" si="111"/>
        <v/>
      </c>
      <c r="AJ66" s="565">
        <f t="shared" si="112"/>
        <v>0</v>
      </c>
      <c r="AK66" s="517">
        <f t="shared" si="113"/>
        <v>0</v>
      </c>
      <c r="AL66" s="518">
        <f t="shared" si="114"/>
        <v>0</v>
      </c>
      <c r="AM66" s="518">
        <f t="shared" si="115"/>
        <v>0</v>
      </c>
      <c r="AN66" s="518">
        <f t="shared" si="116"/>
        <v>0</v>
      </c>
      <c r="AO66" s="518">
        <f t="shared" si="117"/>
        <v>0</v>
      </c>
      <c r="AP66" s="518">
        <f t="shared" si="118"/>
        <v>0</v>
      </c>
      <c r="AQ66" s="518">
        <f t="shared" si="119"/>
        <v>0</v>
      </c>
      <c r="AR66" s="518">
        <f t="shared" si="120"/>
        <v>0</v>
      </c>
      <c r="AS66" s="518">
        <f t="shared" si="121"/>
        <v>0</v>
      </c>
      <c r="AT66" s="518">
        <f t="shared" si="122"/>
        <v>0</v>
      </c>
      <c r="AU66" s="518">
        <f t="shared" si="123"/>
        <v>0</v>
      </c>
      <c r="AV66" s="563">
        <f t="shared" si="124"/>
        <v>0</v>
      </c>
      <c r="AW66" s="519">
        <f t="shared" si="125"/>
        <v>0</v>
      </c>
      <c r="AX66" s="508">
        <f t="shared" si="67"/>
        <v>0</v>
      </c>
      <c r="AY66" s="518">
        <f t="shared" si="68"/>
        <v>0</v>
      </c>
      <c r="AZ66" s="518">
        <f t="shared" si="69"/>
        <v>0</v>
      </c>
      <c r="BA66" s="518">
        <f t="shared" si="70"/>
        <v>0</v>
      </c>
      <c r="BB66" s="518">
        <f t="shared" si="71"/>
        <v>0</v>
      </c>
      <c r="BC66" s="518">
        <f t="shared" si="72"/>
        <v>0</v>
      </c>
      <c r="BD66" s="518">
        <f t="shared" si="73"/>
        <v>0</v>
      </c>
      <c r="BE66" s="518">
        <f t="shared" si="74"/>
        <v>0</v>
      </c>
      <c r="BF66" s="518">
        <f t="shared" si="75"/>
        <v>0</v>
      </c>
      <c r="BG66" s="518">
        <f t="shared" si="76"/>
        <v>0</v>
      </c>
      <c r="BH66" s="520">
        <f t="shared" si="77"/>
        <v>0</v>
      </c>
      <c r="BI66" s="563">
        <f t="shared" si="78"/>
        <v>0</v>
      </c>
      <c r="BJ66" s="521">
        <f t="shared" si="79"/>
        <v>0</v>
      </c>
      <c r="BK66" s="524">
        <f t="shared" si="126"/>
        <v>0</v>
      </c>
      <c r="BL66" s="512">
        <f t="shared" si="80"/>
        <v>0</v>
      </c>
      <c r="BM66" s="518">
        <f t="shared" si="81"/>
        <v>0</v>
      </c>
      <c r="BN66" s="518">
        <f t="shared" si="82"/>
        <v>0</v>
      </c>
      <c r="BO66" s="518">
        <f t="shared" si="83"/>
        <v>0</v>
      </c>
      <c r="BP66" s="518">
        <f t="shared" si="84"/>
        <v>0</v>
      </c>
      <c r="BQ66" s="518">
        <f t="shared" si="85"/>
        <v>0</v>
      </c>
      <c r="BR66" s="518">
        <f t="shared" si="86"/>
        <v>0</v>
      </c>
      <c r="BS66" s="518">
        <f t="shared" si="87"/>
        <v>0</v>
      </c>
      <c r="BT66" s="518">
        <f t="shared" si="88"/>
        <v>0</v>
      </c>
      <c r="BU66" s="518">
        <f t="shared" si="89"/>
        <v>0</v>
      </c>
      <c r="BV66" s="520">
        <f t="shared" si="90"/>
        <v>0</v>
      </c>
      <c r="BW66" s="563">
        <f t="shared" si="91"/>
        <v>0</v>
      </c>
      <c r="BX66" s="521">
        <f t="shared" si="92"/>
        <v>0</v>
      </c>
      <c r="BY66" s="513">
        <f t="shared" si="127"/>
        <v>0</v>
      </c>
      <c r="BZ66" s="514">
        <f t="array" ref="BZ66">SUMPRODUCT(AX67:BJ67,TRANSPOSE(EXP(-(IF($C$9=1,k_MSW,k_Indu)))))+SUM(AK66:AW66)</f>
        <v>0</v>
      </c>
      <c r="CA66" s="515">
        <f t="array" ref="CA66">SUMPRODUCT(AX67:BJ67,TRANSPOSE(1-EXP(-(IF($C$9=1,k_MSW,k_Indu)))))</f>
        <v>0</v>
      </c>
      <c r="CB66" s="516">
        <f t="shared" si="93"/>
        <v>0</v>
      </c>
    </row>
    <row r="67" spans="1:80" s="315" customFormat="1" ht="17.25" x14ac:dyDescent="0.3">
      <c r="A67" s="313"/>
      <c r="B67" s="316">
        <f t="shared" si="64"/>
        <v>1962</v>
      </c>
      <c r="C67" s="883"/>
      <c r="D67" s="884"/>
      <c r="E67" s="885"/>
      <c r="F67" s="885"/>
      <c r="G67" s="885"/>
      <c r="H67" s="885"/>
      <c r="I67" s="885"/>
      <c r="J67" s="885"/>
      <c r="K67" s="885"/>
      <c r="L67" s="885"/>
      <c r="M67" s="885"/>
      <c r="N67" s="886"/>
      <c r="O67" s="886"/>
      <c r="P67" s="889"/>
      <c r="Q67" s="890"/>
      <c r="R67" s="814">
        <f t="shared" ref="R67:R76" si="128">CB67</f>
        <v>0</v>
      </c>
      <c r="S67" s="815">
        <f t="shared" ref="S67:S76" si="129">IF(R67*0.75&lt;Q67,Q67*(1/0.75),R67)</f>
        <v>0</v>
      </c>
      <c r="T67" s="816">
        <f t="shared" ref="T67:T76" si="130">(S67-Q67)*(1-OX)*10^3</f>
        <v>0</v>
      </c>
      <c r="U67" s="817">
        <f t="shared" ref="U67:U76" si="131">T67*GWP_CH4 * 10^-3</f>
        <v>0</v>
      </c>
      <c r="V67" s="566">
        <f t="shared" ref="V67:V76" si="132">IF(OR(B67&lt;$C$5,AND(B67&gt;$C$6,$C$6&lt;&gt;"")),0,SUM(D67:P67))</f>
        <v>0</v>
      </c>
      <c r="W67" s="562" t="str">
        <f t="shared" ref="W67:W76" si="133">IF(AND($V67&lt;&gt;"",$V67&lt;&gt;0),D67/$V67,"")</f>
        <v/>
      </c>
      <c r="X67" s="563" t="str">
        <f t="shared" ref="X67:X76" si="134">IF(AND($V67&lt;&gt;"",$V67&lt;&gt;0),E67/$V67,"")</f>
        <v/>
      </c>
      <c r="Y67" s="563" t="str">
        <f t="shared" ref="Y67:Y76" si="135">IF(AND($V67&lt;&gt;"",$V67&lt;&gt;0),F67/$V67,"")</f>
        <v/>
      </c>
      <c r="Z67" s="563" t="str">
        <f t="shared" ref="Z67:Z76" si="136">IF(AND($V67&lt;&gt;"",$V67&lt;&gt;0),G67/$V67,"")</f>
        <v/>
      </c>
      <c r="AA67" s="563" t="str">
        <f t="shared" ref="AA67:AA76" si="137">IF(AND($V67&lt;&gt;"",$V67&lt;&gt;0),H67/$V67,"")</f>
        <v/>
      </c>
      <c r="AB67" s="563" t="str">
        <f t="shared" ref="AB67:AB76" si="138">IF(AND($V67&lt;&gt;"",$V67&lt;&gt;0),I67/$V67,"")</f>
        <v/>
      </c>
      <c r="AC67" s="563" t="str">
        <f t="shared" ref="AC67:AC76" si="139">IF(AND($V67&lt;&gt;"",$V67&lt;&gt;0),J67/$V67,"")</f>
        <v/>
      </c>
      <c r="AD67" s="563" t="str">
        <f t="shared" ref="AD67:AD76" si="140">IF(AND($V67&lt;&gt;"",$V67&lt;&gt;0),K67/$V67,"")</f>
        <v/>
      </c>
      <c r="AE67" s="563" t="str">
        <f t="shared" ref="AE67:AE76" si="141">IF(AND($V67&lt;&gt;"",$V67&lt;&gt;0),L67/$V67,"")</f>
        <v/>
      </c>
      <c r="AF67" s="563" t="str">
        <f t="shared" ref="AF67:AF76" si="142">IF(AND($V67&lt;&gt;"",$V67&lt;&gt;0),M67/$V67,"")</f>
        <v/>
      </c>
      <c r="AG67" s="563" t="str">
        <f t="shared" ref="AG67:AG76" si="143">IF(AND($V67&lt;&gt;"",$V67&lt;&gt;0),N67/$V67,"")</f>
        <v/>
      </c>
      <c r="AH67" s="563" t="str">
        <f t="shared" ref="AH67:AH76" si="144">IF(AND($V67&lt;&gt;"",$V67&lt;&gt;0),O67/$V67,"")</f>
        <v/>
      </c>
      <c r="AI67" s="564" t="str">
        <f t="shared" ref="AI67:AI76" si="145">IF(AND($V67&lt;&gt;"",$V67&lt;&gt;0),P67/$V67,"")</f>
        <v/>
      </c>
      <c r="AJ67" s="565">
        <f t="shared" ref="AJ67:AJ76" si="146">SUM(W67:AI67)</f>
        <v>0</v>
      </c>
      <c r="AK67" s="517">
        <f t="shared" ref="AK67:AK76" si="147">IF($V67&lt;&gt;0,D67*VLOOKUP(AK$15,IF($C$9=1,Param_MSW,Param_Indu),2,0)*DOCf*MCF,0)</f>
        <v>0</v>
      </c>
      <c r="AL67" s="518">
        <f t="shared" ref="AL67:AL76" si="148">IF($V67&lt;&gt;0,E67*VLOOKUP(AL$15,IF($C$9=1,Param_MSW,Param_Indu),2,0)*DOCf*MCF,0)</f>
        <v>0</v>
      </c>
      <c r="AM67" s="518">
        <f t="shared" ref="AM67:AM76" si="149">IF($V67&lt;&gt;0,F67*VLOOKUP(AM$15,IF($C$9=1,Param_MSW,Param_Indu),2,0)*DOCf*MCF,0)</f>
        <v>0</v>
      </c>
      <c r="AN67" s="518">
        <f t="shared" ref="AN67:AN76" si="150">IF($V67&lt;&gt;0,G67*VLOOKUP(AN$15,IF($C$9=1,Param_MSW,Param_Indu),2,0)*DOCf*MCF,0)</f>
        <v>0</v>
      </c>
      <c r="AO67" s="518">
        <f t="shared" ref="AO67:AO76" si="151">IF($V67&lt;&gt;0,H67*VLOOKUP(AO$15,IF($C$9=1,Param_MSW,Param_Indu),2,0)*DOCf*MCF,0)</f>
        <v>0</v>
      </c>
      <c r="AP67" s="518">
        <f t="shared" ref="AP67:AP76" si="152">IF($V67&lt;&gt;0,I67*VLOOKUP(AP$15,IF($C$9=1,Param_MSW,Param_Indu),2,0)*DOCf*MCF,0)</f>
        <v>0</v>
      </c>
      <c r="AQ67" s="518">
        <f t="shared" ref="AQ67:AQ76" si="153">IF($V67&lt;&gt;0,J67*VLOOKUP(AQ$15,IF($C$9=1,Param_MSW,Param_Indu),2,0)*DOCf*MCF,0)</f>
        <v>0</v>
      </c>
      <c r="AR67" s="518">
        <f t="shared" ref="AR67:AR76" si="154">IF($V67&lt;&gt;0,K67*VLOOKUP(AR$15,IF($C$9=1,Param_MSW,Param_Indu),2,0)*DOCf*MCF,0)</f>
        <v>0</v>
      </c>
      <c r="AS67" s="518">
        <f t="shared" ref="AS67:AS76" si="155">IF($V67&lt;&gt;0,L67*VLOOKUP(AS$15,IF($C$9=1,Param_MSW,Param_Indu),2,0)*DOCf*MCF,0)</f>
        <v>0</v>
      </c>
      <c r="AT67" s="518">
        <f t="shared" ref="AT67:AT76" si="156">IF($V67&lt;&gt;0,M67*VLOOKUP(AT$15,IF($C$9=1,Param_MSW,Param_Indu),2,0)*DOCf*MCF,0)</f>
        <v>0</v>
      </c>
      <c r="AU67" s="518">
        <f t="shared" ref="AU67:AU76" si="157">IF($V67&lt;&gt;0,N67*VLOOKUP(AU$15,IF($C$9=1,Param_MSW,Param_Indu),2,0)*DOCf*MCF,0)</f>
        <v>0</v>
      </c>
      <c r="AV67" s="563">
        <f t="shared" ref="AV67:AV76" si="158">IF($V67&lt;&gt;0,O67*VLOOKUP(AV$15,IF($C$9=1,Param_MSW,Param_Indu),2,0)*DOCf*MCF,0)</f>
        <v>0</v>
      </c>
      <c r="AW67" s="519">
        <f t="shared" ref="AW67:AW76" si="159">IF($V67&lt;&gt;0,P67*VLOOKUP(AW$15,IF($C$9=1,Param_MSW,Param_Indu),2,0)*DOCf*MCF,0)</f>
        <v>0</v>
      </c>
      <c r="AX67" s="508">
        <f t="shared" si="67"/>
        <v>0</v>
      </c>
      <c r="AY67" s="518">
        <f t="shared" si="68"/>
        <v>0</v>
      </c>
      <c r="AZ67" s="518">
        <f t="shared" si="69"/>
        <v>0</v>
      </c>
      <c r="BA67" s="518">
        <f t="shared" si="70"/>
        <v>0</v>
      </c>
      <c r="BB67" s="518">
        <f t="shared" si="71"/>
        <v>0</v>
      </c>
      <c r="BC67" s="518">
        <f t="shared" si="72"/>
        <v>0</v>
      </c>
      <c r="BD67" s="518">
        <f t="shared" si="73"/>
        <v>0</v>
      </c>
      <c r="BE67" s="518">
        <f t="shared" si="74"/>
        <v>0</v>
      </c>
      <c r="BF67" s="518">
        <f t="shared" si="75"/>
        <v>0</v>
      </c>
      <c r="BG67" s="518">
        <f t="shared" si="76"/>
        <v>0</v>
      </c>
      <c r="BH67" s="520">
        <f t="shared" si="77"/>
        <v>0</v>
      </c>
      <c r="BI67" s="563">
        <f t="shared" si="78"/>
        <v>0</v>
      </c>
      <c r="BJ67" s="521">
        <f t="shared" si="79"/>
        <v>0</v>
      </c>
      <c r="BK67" s="524">
        <f t="shared" ref="BK67:BK76" si="160">SUM(AX67:BJ67)</f>
        <v>0</v>
      </c>
      <c r="BL67" s="512">
        <f t="shared" si="80"/>
        <v>0</v>
      </c>
      <c r="BM67" s="518">
        <f t="shared" si="81"/>
        <v>0</v>
      </c>
      <c r="BN67" s="518">
        <f t="shared" si="82"/>
        <v>0</v>
      </c>
      <c r="BO67" s="518">
        <f t="shared" si="83"/>
        <v>0</v>
      </c>
      <c r="BP67" s="518">
        <f t="shared" si="84"/>
        <v>0</v>
      </c>
      <c r="BQ67" s="518">
        <f t="shared" si="85"/>
        <v>0</v>
      </c>
      <c r="BR67" s="518">
        <f t="shared" si="86"/>
        <v>0</v>
      </c>
      <c r="BS67" s="518">
        <f t="shared" si="87"/>
        <v>0</v>
      </c>
      <c r="BT67" s="518">
        <f t="shared" si="88"/>
        <v>0</v>
      </c>
      <c r="BU67" s="518">
        <f t="shared" si="89"/>
        <v>0</v>
      </c>
      <c r="BV67" s="520">
        <f t="shared" si="90"/>
        <v>0</v>
      </c>
      <c r="BW67" s="563">
        <f t="shared" si="91"/>
        <v>0</v>
      </c>
      <c r="BX67" s="521">
        <f t="shared" si="92"/>
        <v>0</v>
      </c>
      <c r="BY67" s="513">
        <f t="shared" ref="BY67:BY76" si="161">SUM(BL67:BX67)</f>
        <v>0</v>
      </c>
      <c r="BZ67" s="514">
        <f t="array" ref="BZ67">SUMPRODUCT(AX68:BJ68,TRANSPOSE(EXP(-(IF($C$9=1,k_MSW,k_Indu)))))+SUM(AK67:AW67)</f>
        <v>0</v>
      </c>
      <c r="CA67" s="515">
        <f t="array" ref="CA67">SUMPRODUCT(AX68:BJ68,TRANSPOSE(1-EXP(-(IF($C$9=1,k_MSW,k_Indu)))))</f>
        <v>0</v>
      </c>
      <c r="CB67" s="516">
        <f t="shared" si="93"/>
        <v>0</v>
      </c>
    </row>
    <row r="68" spans="1:80" s="315" customFormat="1" ht="17.25" x14ac:dyDescent="0.3">
      <c r="A68" s="313"/>
      <c r="B68" s="316">
        <f t="shared" si="64"/>
        <v>1961</v>
      </c>
      <c r="C68" s="883"/>
      <c r="D68" s="884"/>
      <c r="E68" s="885"/>
      <c r="F68" s="885"/>
      <c r="G68" s="885"/>
      <c r="H68" s="885"/>
      <c r="I68" s="885"/>
      <c r="J68" s="885"/>
      <c r="K68" s="885"/>
      <c r="L68" s="885"/>
      <c r="M68" s="885"/>
      <c r="N68" s="886"/>
      <c r="O68" s="886"/>
      <c r="P68" s="889"/>
      <c r="Q68" s="890"/>
      <c r="R68" s="814">
        <f t="shared" si="128"/>
        <v>0</v>
      </c>
      <c r="S68" s="815">
        <f t="shared" si="129"/>
        <v>0</v>
      </c>
      <c r="T68" s="816">
        <f t="shared" si="130"/>
        <v>0</v>
      </c>
      <c r="U68" s="817">
        <f t="shared" si="131"/>
        <v>0</v>
      </c>
      <c r="V68" s="566">
        <f t="shared" si="132"/>
        <v>0</v>
      </c>
      <c r="W68" s="562" t="str">
        <f t="shared" si="133"/>
        <v/>
      </c>
      <c r="X68" s="563" t="str">
        <f t="shared" si="134"/>
        <v/>
      </c>
      <c r="Y68" s="563" t="str">
        <f t="shared" si="135"/>
        <v/>
      </c>
      <c r="Z68" s="563" t="str">
        <f t="shared" si="136"/>
        <v/>
      </c>
      <c r="AA68" s="563" t="str">
        <f t="shared" si="137"/>
        <v/>
      </c>
      <c r="AB68" s="563" t="str">
        <f t="shared" si="138"/>
        <v/>
      </c>
      <c r="AC68" s="563" t="str">
        <f t="shared" si="139"/>
        <v/>
      </c>
      <c r="AD68" s="563" t="str">
        <f t="shared" si="140"/>
        <v/>
      </c>
      <c r="AE68" s="563" t="str">
        <f t="shared" si="141"/>
        <v/>
      </c>
      <c r="AF68" s="563" t="str">
        <f t="shared" si="142"/>
        <v/>
      </c>
      <c r="AG68" s="563" t="str">
        <f t="shared" si="143"/>
        <v/>
      </c>
      <c r="AH68" s="563" t="str">
        <f t="shared" si="144"/>
        <v/>
      </c>
      <c r="AI68" s="564" t="str">
        <f t="shared" si="145"/>
        <v/>
      </c>
      <c r="AJ68" s="565">
        <f t="shared" si="146"/>
        <v>0</v>
      </c>
      <c r="AK68" s="517">
        <f t="shared" si="147"/>
        <v>0</v>
      </c>
      <c r="AL68" s="518">
        <f t="shared" si="148"/>
        <v>0</v>
      </c>
      <c r="AM68" s="518">
        <f t="shared" si="149"/>
        <v>0</v>
      </c>
      <c r="AN68" s="518">
        <f t="shared" si="150"/>
        <v>0</v>
      </c>
      <c r="AO68" s="518">
        <f t="shared" si="151"/>
        <v>0</v>
      </c>
      <c r="AP68" s="518">
        <f t="shared" si="152"/>
        <v>0</v>
      </c>
      <c r="AQ68" s="518">
        <f t="shared" si="153"/>
        <v>0</v>
      </c>
      <c r="AR68" s="518">
        <f t="shared" si="154"/>
        <v>0</v>
      </c>
      <c r="AS68" s="518">
        <f t="shared" si="155"/>
        <v>0</v>
      </c>
      <c r="AT68" s="518">
        <f t="shared" si="156"/>
        <v>0</v>
      </c>
      <c r="AU68" s="518">
        <f t="shared" si="157"/>
        <v>0</v>
      </c>
      <c r="AV68" s="563">
        <f t="shared" si="158"/>
        <v>0</v>
      </c>
      <c r="AW68" s="519">
        <f t="shared" si="159"/>
        <v>0</v>
      </c>
      <c r="AX68" s="508">
        <f t="shared" si="67"/>
        <v>0</v>
      </c>
      <c r="AY68" s="518">
        <f t="shared" si="68"/>
        <v>0</v>
      </c>
      <c r="AZ68" s="518">
        <f t="shared" si="69"/>
        <v>0</v>
      </c>
      <c r="BA68" s="518">
        <f t="shared" si="70"/>
        <v>0</v>
      </c>
      <c r="BB68" s="518">
        <f t="shared" si="71"/>
        <v>0</v>
      </c>
      <c r="BC68" s="518">
        <f t="shared" si="72"/>
        <v>0</v>
      </c>
      <c r="BD68" s="518">
        <f t="shared" si="73"/>
        <v>0</v>
      </c>
      <c r="BE68" s="518">
        <f t="shared" si="74"/>
        <v>0</v>
      </c>
      <c r="BF68" s="518">
        <f t="shared" si="75"/>
        <v>0</v>
      </c>
      <c r="BG68" s="518">
        <f t="shared" si="76"/>
        <v>0</v>
      </c>
      <c r="BH68" s="520">
        <f t="shared" si="77"/>
        <v>0</v>
      </c>
      <c r="BI68" s="563">
        <f t="shared" si="78"/>
        <v>0</v>
      </c>
      <c r="BJ68" s="521">
        <f t="shared" si="79"/>
        <v>0</v>
      </c>
      <c r="BK68" s="524">
        <f t="shared" si="160"/>
        <v>0</v>
      </c>
      <c r="BL68" s="512">
        <f t="shared" si="80"/>
        <v>0</v>
      </c>
      <c r="BM68" s="518">
        <f t="shared" si="81"/>
        <v>0</v>
      </c>
      <c r="BN68" s="518">
        <f t="shared" si="82"/>
        <v>0</v>
      </c>
      <c r="BO68" s="518">
        <f t="shared" si="83"/>
        <v>0</v>
      </c>
      <c r="BP68" s="518">
        <f t="shared" si="84"/>
        <v>0</v>
      </c>
      <c r="BQ68" s="518">
        <f t="shared" si="85"/>
        <v>0</v>
      </c>
      <c r="BR68" s="518">
        <f t="shared" si="86"/>
        <v>0</v>
      </c>
      <c r="BS68" s="518">
        <f t="shared" si="87"/>
        <v>0</v>
      </c>
      <c r="BT68" s="518">
        <f t="shared" si="88"/>
        <v>0</v>
      </c>
      <c r="BU68" s="518">
        <f t="shared" si="89"/>
        <v>0</v>
      </c>
      <c r="BV68" s="520">
        <f t="shared" si="90"/>
        <v>0</v>
      </c>
      <c r="BW68" s="563">
        <f t="shared" si="91"/>
        <v>0</v>
      </c>
      <c r="BX68" s="521">
        <f t="shared" si="92"/>
        <v>0</v>
      </c>
      <c r="BY68" s="513">
        <f t="shared" si="161"/>
        <v>0</v>
      </c>
      <c r="BZ68" s="514">
        <f t="array" ref="BZ68">SUMPRODUCT(AX69:BJ69,TRANSPOSE(EXP(-(IF($C$9=1,k_MSW,k_Indu)))))+SUM(AK68:AW68)</f>
        <v>0</v>
      </c>
      <c r="CA68" s="515">
        <f t="array" ref="CA68">SUMPRODUCT(AX69:BJ69,TRANSPOSE(1-EXP(-(IF($C$9=1,k_MSW,k_Indu)))))</f>
        <v>0</v>
      </c>
      <c r="CB68" s="516">
        <f t="shared" si="93"/>
        <v>0</v>
      </c>
    </row>
    <row r="69" spans="1:80" s="315" customFormat="1" ht="17.25" x14ac:dyDescent="0.3">
      <c r="A69" s="313"/>
      <c r="B69" s="316">
        <f t="shared" si="64"/>
        <v>1960</v>
      </c>
      <c r="C69" s="883"/>
      <c r="D69" s="884"/>
      <c r="E69" s="885"/>
      <c r="F69" s="885"/>
      <c r="G69" s="885"/>
      <c r="H69" s="885"/>
      <c r="I69" s="885"/>
      <c r="J69" s="885"/>
      <c r="K69" s="885"/>
      <c r="L69" s="885"/>
      <c r="M69" s="885"/>
      <c r="N69" s="886"/>
      <c r="O69" s="886"/>
      <c r="P69" s="889"/>
      <c r="Q69" s="890"/>
      <c r="R69" s="814">
        <f t="shared" si="128"/>
        <v>0</v>
      </c>
      <c r="S69" s="815">
        <f t="shared" si="129"/>
        <v>0</v>
      </c>
      <c r="T69" s="816">
        <f t="shared" si="130"/>
        <v>0</v>
      </c>
      <c r="U69" s="817">
        <f t="shared" si="131"/>
        <v>0</v>
      </c>
      <c r="V69" s="566">
        <f t="shared" si="132"/>
        <v>0</v>
      </c>
      <c r="W69" s="562" t="str">
        <f t="shared" si="133"/>
        <v/>
      </c>
      <c r="X69" s="563" t="str">
        <f t="shared" si="134"/>
        <v/>
      </c>
      <c r="Y69" s="563" t="str">
        <f t="shared" si="135"/>
        <v/>
      </c>
      <c r="Z69" s="563" t="str">
        <f t="shared" si="136"/>
        <v/>
      </c>
      <c r="AA69" s="563" t="str">
        <f t="shared" si="137"/>
        <v/>
      </c>
      <c r="AB69" s="563" t="str">
        <f t="shared" si="138"/>
        <v/>
      </c>
      <c r="AC69" s="563" t="str">
        <f t="shared" si="139"/>
        <v/>
      </c>
      <c r="AD69" s="563" t="str">
        <f t="shared" si="140"/>
        <v/>
      </c>
      <c r="AE69" s="563" t="str">
        <f t="shared" si="141"/>
        <v/>
      </c>
      <c r="AF69" s="563" t="str">
        <f t="shared" si="142"/>
        <v/>
      </c>
      <c r="AG69" s="563" t="str">
        <f t="shared" si="143"/>
        <v/>
      </c>
      <c r="AH69" s="563" t="str">
        <f t="shared" si="144"/>
        <v/>
      </c>
      <c r="AI69" s="564" t="str">
        <f t="shared" si="145"/>
        <v/>
      </c>
      <c r="AJ69" s="565">
        <f t="shared" si="146"/>
        <v>0</v>
      </c>
      <c r="AK69" s="517">
        <f t="shared" si="147"/>
        <v>0</v>
      </c>
      <c r="AL69" s="518">
        <f t="shared" si="148"/>
        <v>0</v>
      </c>
      <c r="AM69" s="518">
        <f t="shared" si="149"/>
        <v>0</v>
      </c>
      <c r="AN69" s="518">
        <f t="shared" si="150"/>
        <v>0</v>
      </c>
      <c r="AO69" s="518">
        <f t="shared" si="151"/>
        <v>0</v>
      </c>
      <c r="AP69" s="518">
        <f t="shared" si="152"/>
        <v>0</v>
      </c>
      <c r="AQ69" s="518">
        <f t="shared" si="153"/>
        <v>0</v>
      </c>
      <c r="AR69" s="518">
        <f t="shared" si="154"/>
        <v>0</v>
      </c>
      <c r="AS69" s="518">
        <f t="shared" si="155"/>
        <v>0</v>
      </c>
      <c r="AT69" s="518">
        <f t="shared" si="156"/>
        <v>0</v>
      </c>
      <c r="AU69" s="518">
        <f t="shared" si="157"/>
        <v>0</v>
      </c>
      <c r="AV69" s="563">
        <f t="shared" si="158"/>
        <v>0</v>
      </c>
      <c r="AW69" s="519">
        <f t="shared" si="159"/>
        <v>0</v>
      </c>
      <c r="AX69" s="508">
        <f t="shared" si="67"/>
        <v>0</v>
      </c>
      <c r="AY69" s="518">
        <f t="shared" si="68"/>
        <v>0</v>
      </c>
      <c r="AZ69" s="518">
        <f t="shared" si="69"/>
        <v>0</v>
      </c>
      <c r="BA69" s="518">
        <f t="shared" si="70"/>
        <v>0</v>
      </c>
      <c r="BB69" s="518">
        <f t="shared" si="71"/>
        <v>0</v>
      </c>
      <c r="BC69" s="518">
        <f t="shared" si="72"/>
        <v>0</v>
      </c>
      <c r="BD69" s="518">
        <f t="shared" si="73"/>
        <v>0</v>
      </c>
      <c r="BE69" s="518">
        <f t="shared" si="74"/>
        <v>0</v>
      </c>
      <c r="BF69" s="518">
        <f t="shared" si="75"/>
        <v>0</v>
      </c>
      <c r="BG69" s="518">
        <f t="shared" si="76"/>
        <v>0</v>
      </c>
      <c r="BH69" s="520">
        <f t="shared" si="77"/>
        <v>0</v>
      </c>
      <c r="BI69" s="563">
        <f t="shared" si="78"/>
        <v>0</v>
      </c>
      <c r="BJ69" s="521">
        <f t="shared" si="79"/>
        <v>0</v>
      </c>
      <c r="BK69" s="524">
        <f t="shared" si="160"/>
        <v>0</v>
      </c>
      <c r="BL69" s="512">
        <f t="shared" si="80"/>
        <v>0</v>
      </c>
      <c r="BM69" s="518">
        <f t="shared" si="81"/>
        <v>0</v>
      </c>
      <c r="BN69" s="518">
        <f t="shared" si="82"/>
        <v>0</v>
      </c>
      <c r="BO69" s="518">
        <f t="shared" si="83"/>
        <v>0</v>
      </c>
      <c r="BP69" s="518">
        <f t="shared" si="84"/>
        <v>0</v>
      </c>
      <c r="BQ69" s="518">
        <f t="shared" si="85"/>
        <v>0</v>
      </c>
      <c r="BR69" s="518">
        <f t="shared" si="86"/>
        <v>0</v>
      </c>
      <c r="BS69" s="518">
        <f t="shared" si="87"/>
        <v>0</v>
      </c>
      <c r="BT69" s="518">
        <f t="shared" si="88"/>
        <v>0</v>
      </c>
      <c r="BU69" s="518">
        <f t="shared" si="89"/>
        <v>0</v>
      </c>
      <c r="BV69" s="520">
        <f t="shared" si="90"/>
        <v>0</v>
      </c>
      <c r="BW69" s="563">
        <f t="shared" si="91"/>
        <v>0</v>
      </c>
      <c r="BX69" s="521">
        <f t="shared" si="92"/>
        <v>0</v>
      </c>
      <c r="BY69" s="513">
        <f t="shared" si="161"/>
        <v>0</v>
      </c>
      <c r="BZ69" s="514">
        <f t="array" ref="BZ69">SUMPRODUCT(AX70:BJ70,TRANSPOSE(EXP(-(IF($C$9=1,k_MSW,k_Indu)))))+SUM(AK69:AW69)</f>
        <v>0</v>
      </c>
      <c r="CA69" s="515">
        <f t="array" ref="CA69">SUMPRODUCT(AX70:BJ70,TRANSPOSE(1-EXP(-(IF($C$9=1,k_MSW,k_Indu)))))</f>
        <v>0</v>
      </c>
      <c r="CB69" s="516">
        <f t="shared" si="93"/>
        <v>0</v>
      </c>
    </row>
    <row r="70" spans="1:80" s="315" customFormat="1" ht="17.25" x14ac:dyDescent="0.3">
      <c r="A70" s="313"/>
      <c r="B70" s="316">
        <f t="shared" si="64"/>
        <v>1959</v>
      </c>
      <c r="C70" s="883"/>
      <c r="D70" s="884"/>
      <c r="E70" s="885"/>
      <c r="F70" s="885"/>
      <c r="G70" s="885"/>
      <c r="H70" s="885"/>
      <c r="I70" s="885"/>
      <c r="J70" s="885"/>
      <c r="K70" s="885"/>
      <c r="L70" s="885"/>
      <c r="M70" s="885"/>
      <c r="N70" s="886"/>
      <c r="O70" s="886"/>
      <c r="P70" s="889"/>
      <c r="Q70" s="890"/>
      <c r="R70" s="814">
        <f t="shared" si="128"/>
        <v>0</v>
      </c>
      <c r="S70" s="815">
        <f t="shared" si="129"/>
        <v>0</v>
      </c>
      <c r="T70" s="816">
        <f t="shared" si="130"/>
        <v>0</v>
      </c>
      <c r="U70" s="817">
        <f t="shared" si="131"/>
        <v>0</v>
      </c>
      <c r="V70" s="566">
        <f t="shared" si="132"/>
        <v>0</v>
      </c>
      <c r="W70" s="562" t="str">
        <f t="shared" si="133"/>
        <v/>
      </c>
      <c r="X70" s="563" t="str">
        <f t="shared" si="134"/>
        <v/>
      </c>
      <c r="Y70" s="563" t="str">
        <f t="shared" si="135"/>
        <v/>
      </c>
      <c r="Z70" s="563" t="str">
        <f t="shared" si="136"/>
        <v/>
      </c>
      <c r="AA70" s="563" t="str">
        <f t="shared" si="137"/>
        <v/>
      </c>
      <c r="AB70" s="563" t="str">
        <f t="shared" si="138"/>
        <v/>
      </c>
      <c r="AC70" s="563" t="str">
        <f t="shared" si="139"/>
        <v/>
      </c>
      <c r="AD70" s="563" t="str">
        <f t="shared" si="140"/>
        <v/>
      </c>
      <c r="AE70" s="563" t="str">
        <f t="shared" si="141"/>
        <v/>
      </c>
      <c r="AF70" s="563" t="str">
        <f t="shared" si="142"/>
        <v/>
      </c>
      <c r="AG70" s="563" t="str">
        <f t="shared" si="143"/>
        <v/>
      </c>
      <c r="AH70" s="563" t="str">
        <f t="shared" si="144"/>
        <v/>
      </c>
      <c r="AI70" s="564" t="str">
        <f t="shared" si="145"/>
        <v/>
      </c>
      <c r="AJ70" s="565">
        <f t="shared" si="146"/>
        <v>0</v>
      </c>
      <c r="AK70" s="517">
        <f t="shared" si="147"/>
        <v>0</v>
      </c>
      <c r="AL70" s="518">
        <f t="shared" si="148"/>
        <v>0</v>
      </c>
      <c r="AM70" s="518">
        <f t="shared" si="149"/>
        <v>0</v>
      </c>
      <c r="AN70" s="518">
        <f t="shared" si="150"/>
        <v>0</v>
      </c>
      <c r="AO70" s="518">
        <f t="shared" si="151"/>
        <v>0</v>
      </c>
      <c r="AP70" s="518">
        <f t="shared" si="152"/>
        <v>0</v>
      </c>
      <c r="AQ70" s="518">
        <f t="shared" si="153"/>
        <v>0</v>
      </c>
      <c r="AR70" s="518">
        <f t="shared" si="154"/>
        <v>0</v>
      </c>
      <c r="AS70" s="518">
        <f t="shared" si="155"/>
        <v>0</v>
      </c>
      <c r="AT70" s="518">
        <f t="shared" si="156"/>
        <v>0</v>
      </c>
      <c r="AU70" s="518">
        <f t="shared" si="157"/>
        <v>0</v>
      </c>
      <c r="AV70" s="563">
        <f t="shared" si="158"/>
        <v>0</v>
      </c>
      <c r="AW70" s="519">
        <f t="shared" si="159"/>
        <v>0</v>
      </c>
      <c r="AX70" s="508">
        <f t="shared" si="67"/>
        <v>0</v>
      </c>
      <c r="AY70" s="518">
        <f t="shared" si="68"/>
        <v>0</v>
      </c>
      <c r="AZ70" s="518">
        <f t="shared" si="69"/>
        <v>0</v>
      </c>
      <c r="BA70" s="518">
        <f t="shared" si="70"/>
        <v>0</v>
      </c>
      <c r="BB70" s="518">
        <f t="shared" si="71"/>
        <v>0</v>
      </c>
      <c r="BC70" s="518">
        <f t="shared" si="72"/>
        <v>0</v>
      </c>
      <c r="BD70" s="518">
        <f t="shared" si="73"/>
        <v>0</v>
      </c>
      <c r="BE70" s="518">
        <f t="shared" si="74"/>
        <v>0</v>
      </c>
      <c r="BF70" s="518">
        <f t="shared" si="75"/>
        <v>0</v>
      </c>
      <c r="BG70" s="518">
        <f t="shared" si="76"/>
        <v>0</v>
      </c>
      <c r="BH70" s="520">
        <f t="shared" si="77"/>
        <v>0</v>
      </c>
      <c r="BI70" s="563">
        <f t="shared" si="78"/>
        <v>0</v>
      </c>
      <c r="BJ70" s="521">
        <f t="shared" si="79"/>
        <v>0</v>
      </c>
      <c r="BK70" s="524">
        <f t="shared" si="160"/>
        <v>0</v>
      </c>
      <c r="BL70" s="512">
        <f t="shared" si="80"/>
        <v>0</v>
      </c>
      <c r="BM70" s="518">
        <f t="shared" si="81"/>
        <v>0</v>
      </c>
      <c r="BN70" s="518">
        <f t="shared" si="82"/>
        <v>0</v>
      </c>
      <c r="BO70" s="518">
        <f t="shared" si="83"/>
        <v>0</v>
      </c>
      <c r="BP70" s="518">
        <f t="shared" si="84"/>
        <v>0</v>
      </c>
      <c r="BQ70" s="518">
        <f t="shared" si="85"/>
        <v>0</v>
      </c>
      <c r="BR70" s="518">
        <f t="shared" si="86"/>
        <v>0</v>
      </c>
      <c r="BS70" s="518">
        <f t="shared" si="87"/>
        <v>0</v>
      </c>
      <c r="BT70" s="518">
        <f t="shared" si="88"/>
        <v>0</v>
      </c>
      <c r="BU70" s="518">
        <f t="shared" si="89"/>
        <v>0</v>
      </c>
      <c r="BV70" s="520">
        <f t="shared" si="90"/>
        <v>0</v>
      </c>
      <c r="BW70" s="563">
        <f t="shared" si="91"/>
        <v>0</v>
      </c>
      <c r="BX70" s="521">
        <f t="shared" si="92"/>
        <v>0</v>
      </c>
      <c r="BY70" s="513">
        <f t="shared" si="161"/>
        <v>0</v>
      </c>
      <c r="BZ70" s="514">
        <f t="array" ref="BZ70">SUMPRODUCT(AX71:BJ71,TRANSPOSE(EXP(-(IF($C$9=1,k_MSW,k_Indu)))))+SUM(AK70:AW70)</f>
        <v>0</v>
      </c>
      <c r="CA70" s="515">
        <f t="array" ref="CA70">SUMPRODUCT(AX71:BJ71,TRANSPOSE(1-EXP(-(IF($C$9=1,k_MSW,k_Indu)))))</f>
        <v>0</v>
      </c>
      <c r="CB70" s="516">
        <f t="shared" si="93"/>
        <v>0</v>
      </c>
    </row>
    <row r="71" spans="1:80" s="315" customFormat="1" ht="17.25" x14ac:dyDescent="0.3">
      <c r="A71" s="313"/>
      <c r="B71" s="316">
        <f t="shared" si="64"/>
        <v>1958</v>
      </c>
      <c r="C71" s="883"/>
      <c r="D71" s="884"/>
      <c r="E71" s="885"/>
      <c r="F71" s="885"/>
      <c r="G71" s="885"/>
      <c r="H71" s="885"/>
      <c r="I71" s="885"/>
      <c r="J71" s="885"/>
      <c r="K71" s="885"/>
      <c r="L71" s="885"/>
      <c r="M71" s="885"/>
      <c r="N71" s="886"/>
      <c r="O71" s="886"/>
      <c r="P71" s="889"/>
      <c r="Q71" s="890"/>
      <c r="R71" s="814">
        <f t="shared" si="128"/>
        <v>0</v>
      </c>
      <c r="S71" s="815">
        <f t="shared" si="129"/>
        <v>0</v>
      </c>
      <c r="T71" s="816">
        <f t="shared" si="130"/>
        <v>0</v>
      </c>
      <c r="U71" s="817">
        <f t="shared" si="131"/>
        <v>0</v>
      </c>
      <c r="V71" s="566">
        <f t="shared" si="132"/>
        <v>0</v>
      </c>
      <c r="W71" s="562" t="str">
        <f t="shared" si="133"/>
        <v/>
      </c>
      <c r="X71" s="563" t="str">
        <f t="shared" si="134"/>
        <v/>
      </c>
      <c r="Y71" s="563" t="str">
        <f t="shared" si="135"/>
        <v/>
      </c>
      <c r="Z71" s="563" t="str">
        <f t="shared" si="136"/>
        <v/>
      </c>
      <c r="AA71" s="563" t="str">
        <f t="shared" si="137"/>
        <v/>
      </c>
      <c r="AB71" s="563" t="str">
        <f t="shared" si="138"/>
        <v/>
      </c>
      <c r="AC71" s="563" t="str">
        <f t="shared" si="139"/>
        <v/>
      </c>
      <c r="AD71" s="563" t="str">
        <f t="shared" si="140"/>
        <v/>
      </c>
      <c r="AE71" s="563" t="str">
        <f t="shared" si="141"/>
        <v/>
      </c>
      <c r="AF71" s="563" t="str">
        <f t="shared" si="142"/>
        <v/>
      </c>
      <c r="AG71" s="563" t="str">
        <f t="shared" si="143"/>
        <v/>
      </c>
      <c r="AH71" s="563" t="str">
        <f t="shared" si="144"/>
        <v/>
      </c>
      <c r="AI71" s="564" t="str">
        <f t="shared" si="145"/>
        <v/>
      </c>
      <c r="AJ71" s="565">
        <f t="shared" si="146"/>
        <v>0</v>
      </c>
      <c r="AK71" s="517">
        <f t="shared" si="147"/>
        <v>0</v>
      </c>
      <c r="AL71" s="518">
        <f t="shared" si="148"/>
        <v>0</v>
      </c>
      <c r="AM71" s="518">
        <f t="shared" si="149"/>
        <v>0</v>
      </c>
      <c r="AN71" s="518">
        <f t="shared" si="150"/>
        <v>0</v>
      </c>
      <c r="AO71" s="518">
        <f t="shared" si="151"/>
        <v>0</v>
      </c>
      <c r="AP71" s="518">
        <f t="shared" si="152"/>
        <v>0</v>
      </c>
      <c r="AQ71" s="518">
        <f t="shared" si="153"/>
        <v>0</v>
      </c>
      <c r="AR71" s="518">
        <f t="shared" si="154"/>
        <v>0</v>
      </c>
      <c r="AS71" s="518">
        <f t="shared" si="155"/>
        <v>0</v>
      </c>
      <c r="AT71" s="518">
        <f t="shared" si="156"/>
        <v>0</v>
      </c>
      <c r="AU71" s="518">
        <f t="shared" si="157"/>
        <v>0</v>
      </c>
      <c r="AV71" s="563">
        <f t="shared" si="158"/>
        <v>0</v>
      </c>
      <c r="AW71" s="519">
        <f t="shared" si="159"/>
        <v>0</v>
      </c>
      <c r="AX71" s="508">
        <f t="shared" si="67"/>
        <v>0</v>
      </c>
      <c r="AY71" s="518">
        <f t="shared" si="68"/>
        <v>0</v>
      </c>
      <c r="AZ71" s="518">
        <f t="shared" si="69"/>
        <v>0</v>
      </c>
      <c r="BA71" s="518">
        <f t="shared" si="70"/>
        <v>0</v>
      </c>
      <c r="BB71" s="518">
        <f t="shared" si="71"/>
        <v>0</v>
      </c>
      <c r="BC71" s="518">
        <f t="shared" si="72"/>
        <v>0</v>
      </c>
      <c r="BD71" s="518">
        <f t="shared" si="73"/>
        <v>0</v>
      </c>
      <c r="BE71" s="518">
        <f t="shared" si="74"/>
        <v>0</v>
      </c>
      <c r="BF71" s="518">
        <f t="shared" si="75"/>
        <v>0</v>
      </c>
      <c r="BG71" s="518">
        <f t="shared" si="76"/>
        <v>0</v>
      </c>
      <c r="BH71" s="520">
        <f t="shared" si="77"/>
        <v>0</v>
      </c>
      <c r="BI71" s="563">
        <f t="shared" si="78"/>
        <v>0</v>
      </c>
      <c r="BJ71" s="521">
        <f t="shared" si="79"/>
        <v>0</v>
      </c>
      <c r="BK71" s="524">
        <f t="shared" si="160"/>
        <v>0</v>
      </c>
      <c r="BL71" s="512">
        <f t="shared" si="80"/>
        <v>0</v>
      </c>
      <c r="BM71" s="518">
        <f t="shared" si="81"/>
        <v>0</v>
      </c>
      <c r="BN71" s="518">
        <f t="shared" si="82"/>
        <v>0</v>
      </c>
      <c r="BO71" s="518">
        <f t="shared" si="83"/>
        <v>0</v>
      </c>
      <c r="BP71" s="518">
        <f t="shared" si="84"/>
        <v>0</v>
      </c>
      <c r="BQ71" s="518">
        <f t="shared" si="85"/>
        <v>0</v>
      </c>
      <c r="BR71" s="518">
        <f t="shared" si="86"/>
        <v>0</v>
      </c>
      <c r="BS71" s="518">
        <f t="shared" si="87"/>
        <v>0</v>
      </c>
      <c r="BT71" s="518">
        <f t="shared" si="88"/>
        <v>0</v>
      </c>
      <c r="BU71" s="518">
        <f t="shared" si="89"/>
        <v>0</v>
      </c>
      <c r="BV71" s="520">
        <f t="shared" si="90"/>
        <v>0</v>
      </c>
      <c r="BW71" s="563">
        <f t="shared" si="91"/>
        <v>0</v>
      </c>
      <c r="BX71" s="521">
        <f t="shared" si="92"/>
        <v>0</v>
      </c>
      <c r="BY71" s="513">
        <f t="shared" si="161"/>
        <v>0</v>
      </c>
      <c r="BZ71" s="514">
        <f t="array" ref="BZ71">SUMPRODUCT(AX72:BJ72,TRANSPOSE(EXP(-(IF($C$9=1,k_MSW,k_Indu)))))+SUM(AK71:AW71)</f>
        <v>0</v>
      </c>
      <c r="CA71" s="515">
        <f t="array" ref="CA71">SUMPRODUCT(AX72:BJ72,TRANSPOSE(1-EXP(-(IF($C$9=1,k_MSW,k_Indu)))))</f>
        <v>0</v>
      </c>
      <c r="CB71" s="516">
        <f t="shared" si="93"/>
        <v>0</v>
      </c>
    </row>
    <row r="72" spans="1:80" s="315" customFormat="1" ht="17.25" x14ac:dyDescent="0.3">
      <c r="A72" s="313"/>
      <c r="B72" s="316">
        <f t="shared" si="64"/>
        <v>1957</v>
      </c>
      <c r="C72" s="883"/>
      <c r="D72" s="884"/>
      <c r="E72" s="885"/>
      <c r="F72" s="885"/>
      <c r="G72" s="885"/>
      <c r="H72" s="885"/>
      <c r="I72" s="885"/>
      <c r="J72" s="885"/>
      <c r="K72" s="885"/>
      <c r="L72" s="885"/>
      <c r="M72" s="885"/>
      <c r="N72" s="886"/>
      <c r="O72" s="886"/>
      <c r="P72" s="889"/>
      <c r="Q72" s="890"/>
      <c r="R72" s="814">
        <f t="shared" si="128"/>
        <v>0</v>
      </c>
      <c r="S72" s="815">
        <f t="shared" si="129"/>
        <v>0</v>
      </c>
      <c r="T72" s="816">
        <f t="shared" si="130"/>
        <v>0</v>
      </c>
      <c r="U72" s="817">
        <f t="shared" si="131"/>
        <v>0</v>
      </c>
      <c r="V72" s="566">
        <f t="shared" si="132"/>
        <v>0</v>
      </c>
      <c r="W72" s="562" t="str">
        <f t="shared" si="133"/>
        <v/>
      </c>
      <c r="X72" s="563" t="str">
        <f t="shared" si="134"/>
        <v/>
      </c>
      <c r="Y72" s="563" t="str">
        <f t="shared" si="135"/>
        <v/>
      </c>
      <c r="Z72" s="563" t="str">
        <f t="shared" si="136"/>
        <v/>
      </c>
      <c r="AA72" s="563" t="str">
        <f t="shared" si="137"/>
        <v/>
      </c>
      <c r="AB72" s="563" t="str">
        <f t="shared" si="138"/>
        <v/>
      </c>
      <c r="AC72" s="563" t="str">
        <f t="shared" si="139"/>
        <v/>
      </c>
      <c r="AD72" s="563" t="str">
        <f t="shared" si="140"/>
        <v/>
      </c>
      <c r="AE72" s="563" t="str">
        <f t="shared" si="141"/>
        <v/>
      </c>
      <c r="AF72" s="563" t="str">
        <f t="shared" si="142"/>
        <v/>
      </c>
      <c r="AG72" s="563" t="str">
        <f t="shared" si="143"/>
        <v/>
      </c>
      <c r="AH72" s="563" t="str">
        <f t="shared" si="144"/>
        <v/>
      </c>
      <c r="AI72" s="564" t="str">
        <f t="shared" si="145"/>
        <v/>
      </c>
      <c r="AJ72" s="565">
        <f t="shared" si="146"/>
        <v>0</v>
      </c>
      <c r="AK72" s="517">
        <f t="shared" si="147"/>
        <v>0</v>
      </c>
      <c r="AL72" s="518">
        <f t="shared" si="148"/>
        <v>0</v>
      </c>
      <c r="AM72" s="518">
        <f t="shared" si="149"/>
        <v>0</v>
      </c>
      <c r="AN72" s="518">
        <f t="shared" si="150"/>
        <v>0</v>
      </c>
      <c r="AO72" s="518">
        <f t="shared" si="151"/>
        <v>0</v>
      </c>
      <c r="AP72" s="518">
        <f t="shared" si="152"/>
        <v>0</v>
      </c>
      <c r="AQ72" s="518">
        <f t="shared" si="153"/>
        <v>0</v>
      </c>
      <c r="AR72" s="518">
        <f t="shared" si="154"/>
        <v>0</v>
      </c>
      <c r="AS72" s="518">
        <f t="shared" si="155"/>
        <v>0</v>
      </c>
      <c r="AT72" s="518">
        <f t="shared" si="156"/>
        <v>0</v>
      </c>
      <c r="AU72" s="518">
        <f t="shared" si="157"/>
        <v>0</v>
      </c>
      <c r="AV72" s="563">
        <f t="shared" si="158"/>
        <v>0</v>
      </c>
      <c r="AW72" s="519">
        <f t="shared" si="159"/>
        <v>0</v>
      </c>
      <c r="AX72" s="508">
        <f t="shared" si="67"/>
        <v>0</v>
      </c>
      <c r="AY72" s="518">
        <f t="shared" si="68"/>
        <v>0</v>
      </c>
      <c r="AZ72" s="518">
        <f t="shared" si="69"/>
        <v>0</v>
      </c>
      <c r="BA72" s="518">
        <f t="shared" si="70"/>
        <v>0</v>
      </c>
      <c r="BB72" s="518">
        <f t="shared" si="71"/>
        <v>0</v>
      </c>
      <c r="BC72" s="518">
        <f t="shared" si="72"/>
        <v>0</v>
      </c>
      <c r="BD72" s="518">
        <f t="shared" si="73"/>
        <v>0</v>
      </c>
      <c r="BE72" s="518">
        <f t="shared" si="74"/>
        <v>0</v>
      </c>
      <c r="BF72" s="518">
        <f t="shared" si="75"/>
        <v>0</v>
      </c>
      <c r="BG72" s="518">
        <f t="shared" si="76"/>
        <v>0</v>
      </c>
      <c r="BH72" s="520">
        <f t="shared" si="77"/>
        <v>0</v>
      </c>
      <c r="BI72" s="563">
        <f t="shared" si="78"/>
        <v>0</v>
      </c>
      <c r="BJ72" s="521">
        <f t="shared" si="79"/>
        <v>0</v>
      </c>
      <c r="BK72" s="524">
        <f t="shared" si="160"/>
        <v>0</v>
      </c>
      <c r="BL72" s="512">
        <f t="shared" si="80"/>
        <v>0</v>
      </c>
      <c r="BM72" s="518">
        <f t="shared" si="81"/>
        <v>0</v>
      </c>
      <c r="BN72" s="518">
        <f t="shared" si="82"/>
        <v>0</v>
      </c>
      <c r="BO72" s="518">
        <f t="shared" si="83"/>
        <v>0</v>
      </c>
      <c r="BP72" s="518">
        <f t="shared" si="84"/>
        <v>0</v>
      </c>
      <c r="BQ72" s="518">
        <f t="shared" si="85"/>
        <v>0</v>
      </c>
      <c r="BR72" s="518">
        <f t="shared" si="86"/>
        <v>0</v>
      </c>
      <c r="BS72" s="518">
        <f t="shared" si="87"/>
        <v>0</v>
      </c>
      <c r="BT72" s="518">
        <f t="shared" si="88"/>
        <v>0</v>
      </c>
      <c r="BU72" s="518">
        <f t="shared" si="89"/>
        <v>0</v>
      </c>
      <c r="BV72" s="520">
        <f t="shared" si="90"/>
        <v>0</v>
      </c>
      <c r="BW72" s="563">
        <f t="shared" si="91"/>
        <v>0</v>
      </c>
      <c r="BX72" s="521">
        <f t="shared" si="92"/>
        <v>0</v>
      </c>
      <c r="BY72" s="513">
        <f t="shared" si="161"/>
        <v>0</v>
      </c>
      <c r="BZ72" s="514">
        <f t="array" ref="BZ72">SUMPRODUCT(AX73:BJ73,TRANSPOSE(EXP(-(IF($C$9=1,k_MSW,k_Indu)))))+SUM(AK72:AW72)</f>
        <v>0</v>
      </c>
      <c r="CA72" s="515">
        <f t="array" ref="CA72">SUMPRODUCT(AX73:BJ73,TRANSPOSE(1-EXP(-(IF($C$9=1,k_MSW,k_Indu)))))</f>
        <v>0</v>
      </c>
      <c r="CB72" s="516">
        <f t="shared" si="93"/>
        <v>0</v>
      </c>
    </row>
    <row r="73" spans="1:80" s="315" customFormat="1" ht="17.25" x14ac:dyDescent="0.3">
      <c r="A73" s="313"/>
      <c r="B73" s="316">
        <f t="shared" si="64"/>
        <v>1956</v>
      </c>
      <c r="C73" s="883"/>
      <c r="D73" s="884"/>
      <c r="E73" s="885"/>
      <c r="F73" s="885"/>
      <c r="G73" s="885"/>
      <c r="H73" s="885"/>
      <c r="I73" s="885"/>
      <c r="J73" s="885"/>
      <c r="K73" s="885"/>
      <c r="L73" s="885"/>
      <c r="M73" s="885"/>
      <c r="N73" s="886"/>
      <c r="O73" s="886"/>
      <c r="P73" s="889"/>
      <c r="Q73" s="890"/>
      <c r="R73" s="814">
        <f t="shared" si="128"/>
        <v>0</v>
      </c>
      <c r="S73" s="815">
        <f t="shared" si="129"/>
        <v>0</v>
      </c>
      <c r="T73" s="816">
        <f t="shared" si="130"/>
        <v>0</v>
      </c>
      <c r="U73" s="817">
        <f t="shared" si="131"/>
        <v>0</v>
      </c>
      <c r="V73" s="566">
        <f t="shared" si="132"/>
        <v>0</v>
      </c>
      <c r="W73" s="562" t="str">
        <f t="shared" si="133"/>
        <v/>
      </c>
      <c r="X73" s="563" t="str">
        <f t="shared" si="134"/>
        <v/>
      </c>
      <c r="Y73" s="563" t="str">
        <f t="shared" si="135"/>
        <v/>
      </c>
      <c r="Z73" s="563" t="str">
        <f t="shared" si="136"/>
        <v/>
      </c>
      <c r="AA73" s="563" t="str">
        <f t="shared" si="137"/>
        <v/>
      </c>
      <c r="AB73" s="563" t="str">
        <f t="shared" si="138"/>
        <v/>
      </c>
      <c r="AC73" s="563" t="str">
        <f t="shared" si="139"/>
        <v/>
      </c>
      <c r="AD73" s="563" t="str">
        <f t="shared" si="140"/>
        <v/>
      </c>
      <c r="AE73" s="563" t="str">
        <f t="shared" si="141"/>
        <v/>
      </c>
      <c r="AF73" s="563" t="str">
        <f t="shared" si="142"/>
        <v/>
      </c>
      <c r="AG73" s="563" t="str">
        <f t="shared" si="143"/>
        <v/>
      </c>
      <c r="AH73" s="563" t="str">
        <f t="shared" si="144"/>
        <v/>
      </c>
      <c r="AI73" s="564" t="str">
        <f t="shared" si="145"/>
        <v/>
      </c>
      <c r="AJ73" s="565">
        <f t="shared" si="146"/>
        <v>0</v>
      </c>
      <c r="AK73" s="517">
        <f t="shared" si="147"/>
        <v>0</v>
      </c>
      <c r="AL73" s="518">
        <f t="shared" si="148"/>
        <v>0</v>
      </c>
      <c r="AM73" s="518">
        <f t="shared" si="149"/>
        <v>0</v>
      </c>
      <c r="AN73" s="518">
        <f t="shared" si="150"/>
        <v>0</v>
      </c>
      <c r="AO73" s="518">
        <f t="shared" si="151"/>
        <v>0</v>
      </c>
      <c r="AP73" s="518">
        <f t="shared" si="152"/>
        <v>0</v>
      </c>
      <c r="AQ73" s="518">
        <f t="shared" si="153"/>
        <v>0</v>
      </c>
      <c r="AR73" s="518">
        <f t="shared" si="154"/>
        <v>0</v>
      </c>
      <c r="AS73" s="518">
        <f t="shared" si="155"/>
        <v>0</v>
      </c>
      <c r="AT73" s="518">
        <f t="shared" si="156"/>
        <v>0</v>
      </c>
      <c r="AU73" s="518">
        <f t="shared" si="157"/>
        <v>0</v>
      </c>
      <c r="AV73" s="563">
        <f t="shared" si="158"/>
        <v>0</v>
      </c>
      <c r="AW73" s="519">
        <f t="shared" si="159"/>
        <v>0</v>
      </c>
      <c r="AX73" s="508">
        <f t="shared" si="67"/>
        <v>0</v>
      </c>
      <c r="AY73" s="518">
        <f t="shared" si="68"/>
        <v>0</v>
      </c>
      <c r="AZ73" s="518">
        <f t="shared" si="69"/>
        <v>0</v>
      </c>
      <c r="BA73" s="518">
        <f t="shared" si="70"/>
        <v>0</v>
      </c>
      <c r="BB73" s="518">
        <f t="shared" si="71"/>
        <v>0</v>
      </c>
      <c r="BC73" s="518">
        <f t="shared" si="72"/>
        <v>0</v>
      </c>
      <c r="BD73" s="518">
        <f t="shared" si="73"/>
        <v>0</v>
      </c>
      <c r="BE73" s="518">
        <f t="shared" si="74"/>
        <v>0</v>
      </c>
      <c r="BF73" s="518">
        <f t="shared" si="75"/>
        <v>0</v>
      </c>
      <c r="BG73" s="518">
        <f t="shared" si="76"/>
        <v>0</v>
      </c>
      <c r="BH73" s="520">
        <f t="shared" si="77"/>
        <v>0</v>
      </c>
      <c r="BI73" s="563">
        <f t="shared" si="78"/>
        <v>0</v>
      </c>
      <c r="BJ73" s="521">
        <f t="shared" si="79"/>
        <v>0</v>
      </c>
      <c r="BK73" s="524">
        <f t="shared" si="160"/>
        <v>0</v>
      </c>
      <c r="BL73" s="512">
        <f t="shared" si="80"/>
        <v>0</v>
      </c>
      <c r="BM73" s="518">
        <f t="shared" si="81"/>
        <v>0</v>
      </c>
      <c r="BN73" s="518">
        <f t="shared" si="82"/>
        <v>0</v>
      </c>
      <c r="BO73" s="518">
        <f t="shared" si="83"/>
        <v>0</v>
      </c>
      <c r="BP73" s="518">
        <f t="shared" si="84"/>
        <v>0</v>
      </c>
      <c r="BQ73" s="518">
        <f t="shared" si="85"/>
        <v>0</v>
      </c>
      <c r="BR73" s="518">
        <f t="shared" si="86"/>
        <v>0</v>
      </c>
      <c r="BS73" s="518">
        <f t="shared" si="87"/>
        <v>0</v>
      </c>
      <c r="BT73" s="518">
        <f t="shared" si="88"/>
        <v>0</v>
      </c>
      <c r="BU73" s="518">
        <f t="shared" si="89"/>
        <v>0</v>
      </c>
      <c r="BV73" s="520">
        <f t="shared" si="90"/>
        <v>0</v>
      </c>
      <c r="BW73" s="563">
        <f t="shared" si="91"/>
        <v>0</v>
      </c>
      <c r="BX73" s="521">
        <f t="shared" si="92"/>
        <v>0</v>
      </c>
      <c r="BY73" s="513">
        <f t="shared" si="161"/>
        <v>0</v>
      </c>
      <c r="BZ73" s="514">
        <f t="array" ref="BZ73">SUMPRODUCT(AX74:BJ74,TRANSPOSE(EXP(-(IF($C$9=1,k_MSW,k_Indu)))))+SUM(AK73:AW73)</f>
        <v>0</v>
      </c>
      <c r="CA73" s="515">
        <f t="array" ref="CA73">SUMPRODUCT(AX74:BJ74,TRANSPOSE(1-EXP(-(IF($C$9=1,k_MSW,k_Indu)))))</f>
        <v>0</v>
      </c>
      <c r="CB73" s="516">
        <f t="shared" si="93"/>
        <v>0</v>
      </c>
    </row>
    <row r="74" spans="1:80" s="315" customFormat="1" ht="17.25" x14ac:dyDescent="0.3">
      <c r="A74" s="313"/>
      <c r="B74" s="316">
        <f t="shared" si="64"/>
        <v>1955</v>
      </c>
      <c r="C74" s="883"/>
      <c r="D74" s="884"/>
      <c r="E74" s="885"/>
      <c r="F74" s="885"/>
      <c r="G74" s="885"/>
      <c r="H74" s="885"/>
      <c r="I74" s="885"/>
      <c r="J74" s="885"/>
      <c r="K74" s="885"/>
      <c r="L74" s="885"/>
      <c r="M74" s="885"/>
      <c r="N74" s="886"/>
      <c r="O74" s="886"/>
      <c r="P74" s="889"/>
      <c r="Q74" s="890"/>
      <c r="R74" s="814">
        <f t="shared" si="128"/>
        <v>0</v>
      </c>
      <c r="S74" s="815">
        <f t="shared" si="129"/>
        <v>0</v>
      </c>
      <c r="T74" s="816">
        <f t="shared" si="130"/>
        <v>0</v>
      </c>
      <c r="U74" s="817">
        <f t="shared" si="131"/>
        <v>0</v>
      </c>
      <c r="V74" s="566">
        <f t="shared" si="132"/>
        <v>0</v>
      </c>
      <c r="W74" s="562" t="str">
        <f t="shared" si="133"/>
        <v/>
      </c>
      <c r="X74" s="563" t="str">
        <f t="shared" si="134"/>
        <v/>
      </c>
      <c r="Y74" s="563" t="str">
        <f t="shared" si="135"/>
        <v/>
      </c>
      <c r="Z74" s="563" t="str">
        <f t="shared" si="136"/>
        <v/>
      </c>
      <c r="AA74" s="563" t="str">
        <f t="shared" si="137"/>
        <v/>
      </c>
      <c r="AB74" s="563" t="str">
        <f t="shared" si="138"/>
        <v/>
      </c>
      <c r="AC74" s="563" t="str">
        <f t="shared" si="139"/>
        <v/>
      </c>
      <c r="AD74" s="563" t="str">
        <f t="shared" si="140"/>
        <v/>
      </c>
      <c r="AE74" s="563" t="str">
        <f t="shared" si="141"/>
        <v/>
      </c>
      <c r="AF74" s="563" t="str">
        <f t="shared" si="142"/>
        <v/>
      </c>
      <c r="AG74" s="563" t="str">
        <f t="shared" si="143"/>
        <v/>
      </c>
      <c r="AH74" s="563" t="str">
        <f t="shared" si="144"/>
        <v/>
      </c>
      <c r="AI74" s="564" t="str">
        <f t="shared" si="145"/>
        <v/>
      </c>
      <c r="AJ74" s="565">
        <f t="shared" si="146"/>
        <v>0</v>
      </c>
      <c r="AK74" s="517">
        <f t="shared" si="147"/>
        <v>0</v>
      </c>
      <c r="AL74" s="518">
        <f t="shared" si="148"/>
        <v>0</v>
      </c>
      <c r="AM74" s="518">
        <f t="shared" si="149"/>
        <v>0</v>
      </c>
      <c r="AN74" s="518">
        <f t="shared" si="150"/>
        <v>0</v>
      </c>
      <c r="AO74" s="518">
        <f t="shared" si="151"/>
        <v>0</v>
      </c>
      <c r="AP74" s="518">
        <f t="shared" si="152"/>
        <v>0</v>
      </c>
      <c r="AQ74" s="518">
        <f t="shared" si="153"/>
        <v>0</v>
      </c>
      <c r="AR74" s="518">
        <f t="shared" si="154"/>
        <v>0</v>
      </c>
      <c r="AS74" s="518">
        <f t="shared" si="155"/>
        <v>0</v>
      </c>
      <c r="AT74" s="518">
        <f t="shared" si="156"/>
        <v>0</v>
      </c>
      <c r="AU74" s="518">
        <f t="shared" si="157"/>
        <v>0</v>
      </c>
      <c r="AV74" s="563">
        <f t="shared" si="158"/>
        <v>0</v>
      </c>
      <c r="AW74" s="519">
        <f t="shared" si="159"/>
        <v>0</v>
      </c>
      <c r="AX74" s="508">
        <f t="shared" si="67"/>
        <v>0</v>
      </c>
      <c r="AY74" s="518">
        <f t="shared" si="68"/>
        <v>0</v>
      </c>
      <c r="AZ74" s="518">
        <f t="shared" si="69"/>
        <v>0</v>
      </c>
      <c r="BA74" s="518">
        <f t="shared" si="70"/>
        <v>0</v>
      </c>
      <c r="BB74" s="518">
        <f t="shared" si="71"/>
        <v>0</v>
      </c>
      <c r="BC74" s="518">
        <f t="shared" si="72"/>
        <v>0</v>
      </c>
      <c r="BD74" s="518">
        <f t="shared" si="73"/>
        <v>0</v>
      </c>
      <c r="BE74" s="518">
        <f t="shared" si="74"/>
        <v>0</v>
      </c>
      <c r="BF74" s="518">
        <f t="shared" si="75"/>
        <v>0</v>
      </c>
      <c r="BG74" s="518">
        <f t="shared" si="76"/>
        <v>0</v>
      </c>
      <c r="BH74" s="520">
        <f t="shared" si="77"/>
        <v>0</v>
      </c>
      <c r="BI74" s="563">
        <f t="shared" si="78"/>
        <v>0</v>
      </c>
      <c r="BJ74" s="521">
        <f t="shared" si="79"/>
        <v>0</v>
      </c>
      <c r="BK74" s="524">
        <f t="shared" si="160"/>
        <v>0</v>
      </c>
      <c r="BL74" s="512">
        <f t="shared" si="80"/>
        <v>0</v>
      </c>
      <c r="BM74" s="518">
        <f t="shared" si="81"/>
        <v>0</v>
      </c>
      <c r="BN74" s="518">
        <f t="shared" si="82"/>
        <v>0</v>
      </c>
      <c r="BO74" s="518">
        <f t="shared" si="83"/>
        <v>0</v>
      </c>
      <c r="BP74" s="518">
        <f t="shared" si="84"/>
        <v>0</v>
      </c>
      <c r="BQ74" s="518">
        <f t="shared" si="85"/>
        <v>0</v>
      </c>
      <c r="BR74" s="518">
        <f t="shared" si="86"/>
        <v>0</v>
      </c>
      <c r="BS74" s="518">
        <f t="shared" si="87"/>
        <v>0</v>
      </c>
      <c r="BT74" s="518">
        <f t="shared" si="88"/>
        <v>0</v>
      </c>
      <c r="BU74" s="518">
        <f t="shared" si="89"/>
        <v>0</v>
      </c>
      <c r="BV74" s="520">
        <f t="shared" si="90"/>
        <v>0</v>
      </c>
      <c r="BW74" s="563">
        <f t="shared" si="91"/>
        <v>0</v>
      </c>
      <c r="BX74" s="521">
        <f t="shared" si="92"/>
        <v>0</v>
      </c>
      <c r="BY74" s="513">
        <f t="shared" si="161"/>
        <v>0</v>
      </c>
      <c r="BZ74" s="514">
        <f t="array" ref="BZ74">SUMPRODUCT(AX75:BJ75,TRANSPOSE(EXP(-(IF($C$9=1,k_MSW,k_Indu)))))+SUM(AK74:AW74)</f>
        <v>0</v>
      </c>
      <c r="CA74" s="515">
        <f t="array" ref="CA74">SUMPRODUCT(AX75:BJ75,TRANSPOSE(1-EXP(-(IF($C$9=1,k_MSW,k_Indu)))))</f>
        <v>0</v>
      </c>
      <c r="CB74" s="516">
        <f t="shared" si="93"/>
        <v>0</v>
      </c>
    </row>
    <row r="75" spans="1:80" s="315" customFormat="1" ht="17.25" x14ac:dyDescent="0.3">
      <c r="A75" s="313"/>
      <c r="B75" s="316">
        <f t="shared" si="64"/>
        <v>1954</v>
      </c>
      <c r="C75" s="883"/>
      <c r="D75" s="884"/>
      <c r="E75" s="885"/>
      <c r="F75" s="885"/>
      <c r="G75" s="885"/>
      <c r="H75" s="885"/>
      <c r="I75" s="885"/>
      <c r="J75" s="885"/>
      <c r="K75" s="885"/>
      <c r="L75" s="885"/>
      <c r="M75" s="885"/>
      <c r="N75" s="886"/>
      <c r="O75" s="886"/>
      <c r="P75" s="889"/>
      <c r="Q75" s="890"/>
      <c r="R75" s="814">
        <f t="shared" si="128"/>
        <v>0</v>
      </c>
      <c r="S75" s="815">
        <f t="shared" si="129"/>
        <v>0</v>
      </c>
      <c r="T75" s="816">
        <f t="shared" si="130"/>
        <v>0</v>
      </c>
      <c r="U75" s="817">
        <f t="shared" si="131"/>
        <v>0</v>
      </c>
      <c r="V75" s="566">
        <f t="shared" si="132"/>
        <v>0</v>
      </c>
      <c r="W75" s="562" t="str">
        <f t="shared" si="133"/>
        <v/>
      </c>
      <c r="X75" s="563" t="str">
        <f t="shared" si="134"/>
        <v/>
      </c>
      <c r="Y75" s="563" t="str">
        <f t="shared" si="135"/>
        <v/>
      </c>
      <c r="Z75" s="563" t="str">
        <f t="shared" si="136"/>
        <v/>
      </c>
      <c r="AA75" s="563" t="str">
        <f t="shared" si="137"/>
        <v/>
      </c>
      <c r="AB75" s="563" t="str">
        <f t="shared" si="138"/>
        <v/>
      </c>
      <c r="AC75" s="563" t="str">
        <f t="shared" si="139"/>
        <v/>
      </c>
      <c r="AD75" s="563" t="str">
        <f t="shared" si="140"/>
        <v/>
      </c>
      <c r="AE75" s="563" t="str">
        <f t="shared" si="141"/>
        <v/>
      </c>
      <c r="AF75" s="563" t="str">
        <f t="shared" si="142"/>
        <v/>
      </c>
      <c r="AG75" s="563" t="str">
        <f t="shared" si="143"/>
        <v/>
      </c>
      <c r="AH75" s="563" t="str">
        <f t="shared" si="144"/>
        <v/>
      </c>
      <c r="AI75" s="564" t="str">
        <f t="shared" si="145"/>
        <v/>
      </c>
      <c r="AJ75" s="565">
        <f t="shared" si="146"/>
        <v>0</v>
      </c>
      <c r="AK75" s="517">
        <f t="shared" si="147"/>
        <v>0</v>
      </c>
      <c r="AL75" s="518">
        <f t="shared" si="148"/>
        <v>0</v>
      </c>
      <c r="AM75" s="518">
        <f t="shared" si="149"/>
        <v>0</v>
      </c>
      <c r="AN75" s="518">
        <f t="shared" si="150"/>
        <v>0</v>
      </c>
      <c r="AO75" s="518">
        <f t="shared" si="151"/>
        <v>0</v>
      </c>
      <c r="AP75" s="518">
        <f t="shared" si="152"/>
        <v>0</v>
      </c>
      <c r="AQ75" s="518">
        <f t="shared" si="153"/>
        <v>0</v>
      </c>
      <c r="AR75" s="518">
        <f t="shared" si="154"/>
        <v>0</v>
      </c>
      <c r="AS75" s="518">
        <f t="shared" si="155"/>
        <v>0</v>
      </c>
      <c r="AT75" s="518">
        <f t="shared" si="156"/>
        <v>0</v>
      </c>
      <c r="AU75" s="518">
        <f t="shared" si="157"/>
        <v>0</v>
      </c>
      <c r="AV75" s="563">
        <f t="shared" si="158"/>
        <v>0</v>
      </c>
      <c r="AW75" s="519">
        <f t="shared" si="159"/>
        <v>0</v>
      </c>
      <c r="AX75" s="508">
        <f t="shared" si="67"/>
        <v>0</v>
      </c>
      <c r="AY75" s="518">
        <f t="shared" si="68"/>
        <v>0</v>
      </c>
      <c r="AZ75" s="518">
        <f t="shared" si="69"/>
        <v>0</v>
      </c>
      <c r="BA75" s="518">
        <f t="shared" si="70"/>
        <v>0</v>
      </c>
      <c r="BB75" s="518">
        <f t="shared" si="71"/>
        <v>0</v>
      </c>
      <c r="BC75" s="518">
        <f t="shared" si="72"/>
        <v>0</v>
      </c>
      <c r="BD75" s="518">
        <f t="shared" si="73"/>
        <v>0</v>
      </c>
      <c r="BE75" s="518">
        <f t="shared" si="74"/>
        <v>0</v>
      </c>
      <c r="BF75" s="518">
        <f t="shared" si="75"/>
        <v>0</v>
      </c>
      <c r="BG75" s="518">
        <f t="shared" si="76"/>
        <v>0</v>
      </c>
      <c r="BH75" s="520">
        <f t="shared" si="77"/>
        <v>0</v>
      </c>
      <c r="BI75" s="563">
        <f t="shared" si="78"/>
        <v>0</v>
      </c>
      <c r="BJ75" s="521">
        <f t="shared" si="79"/>
        <v>0</v>
      </c>
      <c r="BK75" s="524">
        <f t="shared" si="160"/>
        <v>0</v>
      </c>
      <c r="BL75" s="512">
        <f t="shared" si="80"/>
        <v>0</v>
      </c>
      <c r="BM75" s="518">
        <f t="shared" si="81"/>
        <v>0</v>
      </c>
      <c r="BN75" s="518">
        <f t="shared" si="82"/>
        <v>0</v>
      </c>
      <c r="BO75" s="518">
        <f t="shared" si="83"/>
        <v>0</v>
      </c>
      <c r="BP75" s="518">
        <f t="shared" si="84"/>
        <v>0</v>
      </c>
      <c r="BQ75" s="518">
        <f t="shared" si="85"/>
        <v>0</v>
      </c>
      <c r="BR75" s="518">
        <f t="shared" si="86"/>
        <v>0</v>
      </c>
      <c r="BS75" s="518">
        <f t="shared" si="87"/>
        <v>0</v>
      </c>
      <c r="BT75" s="518">
        <f t="shared" si="88"/>
        <v>0</v>
      </c>
      <c r="BU75" s="518">
        <f t="shared" si="89"/>
        <v>0</v>
      </c>
      <c r="BV75" s="520">
        <f t="shared" si="90"/>
        <v>0</v>
      </c>
      <c r="BW75" s="563">
        <f t="shared" si="91"/>
        <v>0</v>
      </c>
      <c r="BX75" s="521">
        <f t="shared" si="92"/>
        <v>0</v>
      </c>
      <c r="BY75" s="513">
        <f t="shared" si="161"/>
        <v>0</v>
      </c>
      <c r="BZ75" s="514">
        <f t="array" ref="BZ75">SUMPRODUCT(AX76:BJ76,TRANSPOSE(EXP(-(IF($C$9=1,k_MSW,k_Indu)))))+SUM(AK75:AW75)</f>
        <v>0</v>
      </c>
      <c r="CA75" s="515">
        <f t="array" ref="CA75">SUMPRODUCT(AX76:BJ76,TRANSPOSE(1-EXP(-(IF($C$9=1,k_MSW,k_Indu)))))</f>
        <v>0</v>
      </c>
      <c r="CB75" s="516">
        <f t="shared" si="93"/>
        <v>0</v>
      </c>
    </row>
    <row r="76" spans="1:80" s="315" customFormat="1" ht="17.25" x14ac:dyDescent="0.3">
      <c r="A76" s="313"/>
      <c r="B76" s="316">
        <f t="shared" si="64"/>
        <v>1953</v>
      </c>
      <c r="C76" s="883"/>
      <c r="D76" s="884"/>
      <c r="E76" s="885"/>
      <c r="F76" s="885"/>
      <c r="G76" s="885"/>
      <c r="H76" s="885"/>
      <c r="I76" s="885"/>
      <c r="J76" s="885"/>
      <c r="K76" s="885"/>
      <c r="L76" s="885"/>
      <c r="M76" s="885"/>
      <c r="N76" s="886"/>
      <c r="O76" s="886"/>
      <c r="P76" s="889"/>
      <c r="Q76" s="890"/>
      <c r="R76" s="814">
        <f t="shared" si="128"/>
        <v>0</v>
      </c>
      <c r="S76" s="815">
        <f t="shared" si="129"/>
        <v>0</v>
      </c>
      <c r="T76" s="816">
        <f t="shared" si="130"/>
        <v>0</v>
      </c>
      <c r="U76" s="817">
        <f t="shared" si="131"/>
        <v>0</v>
      </c>
      <c r="V76" s="566">
        <f t="shared" si="132"/>
        <v>0</v>
      </c>
      <c r="W76" s="562" t="str">
        <f t="shared" si="133"/>
        <v/>
      </c>
      <c r="X76" s="563" t="str">
        <f t="shared" si="134"/>
        <v/>
      </c>
      <c r="Y76" s="563" t="str">
        <f t="shared" si="135"/>
        <v/>
      </c>
      <c r="Z76" s="563" t="str">
        <f t="shared" si="136"/>
        <v/>
      </c>
      <c r="AA76" s="563" t="str">
        <f t="shared" si="137"/>
        <v/>
      </c>
      <c r="AB76" s="563" t="str">
        <f t="shared" si="138"/>
        <v/>
      </c>
      <c r="AC76" s="563" t="str">
        <f t="shared" si="139"/>
        <v/>
      </c>
      <c r="AD76" s="563" t="str">
        <f t="shared" si="140"/>
        <v/>
      </c>
      <c r="AE76" s="563" t="str">
        <f t="shared" si="141"/>
        <v/>
      </c>
      <c r="AF76" s="563" t="str">
        <f t="shared" si="142"/>
        <v/>
      </c>
      <c r="AG76" s="563" t="str">
        <f t="shared" si="143"/>
        <v/>
      </c>
      <c r="AH76" s="563" t="str">
        <f t="shared" si="144"/>
        <v/>
      </c>
      <c r="AI76" s="564" t="str">
        <f t="shared" si="145"/>
        <v/>
      </c>
      <c r="AJ76" s="565">
        <f t="shared" si="146"/>
        <v>0</v>
      </c>
      <c r="AK76" s="517">
        <f t="shared" si="147"/>
        <v>0</v>
      </c>
      <c r="AL76" s="518">
        <f t="shared" si="148"/>
        <v>0</v>
      </c>
      <c r="AM76" s="518">
        <f t="shared" si="149"/>
        <v>0</v>
      </c>
      <c r="AN76" s="518">
        <f t="shared" si="150"/>
        <v>0</v>
      </c>
      <c r="AO76" s="518">
        <f t="shared" si="151"/>
        <v>0</v>
      </c>
      <c r="AP76" s="518">
        <f t="shared" si="152"/>
        <v>0</v>
      </c>
      <c r="AQ76" s="518">
        <f t="shared" si="153"/>
        <v>0</v>
      </c>
      <c r="AR76" s="518">
        <f t="shared" si="154"/>
        <v>0</v>
      </c>
      <c r="AS76" s="518">
        <f t="shared" si="155"/>
        <v>0</v>
      </c>
      <c r="AT76" s="518">
        <f t="shared" si="156"/>
        <v>0</v>
      </c>
      <c r="AU76" s="518">
        <f t="shared" si="157"/>
        <v>0</v>
      </c>
      <c r="AV76" s="563">
        <f t="shared" si="158"/>
        <v>0</v>
      </c>
      <c r="AW76" s="519">
        <f t="shared" si="159"/>
        <v>0</v>
      </c>
      <c r="AX76" s="508">
        <f t="shared" si="67"/>
        <v>0</v>
      </c>
      <c r="AY76" s="518">
        <f t="shared" si="68"/>
        <v>0</v>
      </c>
      <c r="AZ76" s="518">
        <f t="shared" si="69"/>
        <v>0</v>
      </c>
      <c r="BA76" s="518">
        <f t="shared" si="70"/>
        <v>0</v>
      </c>
      <c r="BB76" s="518">
        <f t="shared" si="71"/>
        <v>0</v>
      </c>
      <c r="BC76" s="518">
        <f t="shared" si="72"/>
        <v>0</v>
      </c>
      <c r="BD76" s="518">
        <f t="shared" si="73"/>
        <v>0</v>
      </c>
      <c r="BE76" s="518">
        <f t="shared" si="74"/>
        <v>0</v>
      </c>
      <c r="BF76" s="518">
        <f t="shared" si="75"/>
        <v>0</v>
      </c>
      <c r="BG76" s="518">
        <f t="shared" si="76"/>
        <v>0</v>
      </c>
      <c r="BH76" s="520">
        <f t="shared" si="77"/>
        <v>0</v>
      </c>
      <c r="BI76" s="563">
        <f t="shared" si="78"/>
        <v>0</v>
      </c>
      <c r="BJ76" s="521">
        <f t="shared" si="79"/>
        <v>0</v>
      </c>
      <c r="BK76" s="524">
        <f t="shared" si="160"/>
        <v>0</v>
      </c>
      <c r="BL76" s="512">
        <f t="shared" si="80"/>
        <v>0</v>
      </c>
      <c r="BM76" s="518">
        <f t="shared" si="81"/>
        <v>0</v>
      </c>
      <c r="BN76" s="518">
        <f t="shared" si="82"/>
        <v>0</v>
      </c>
      <c r="BO76" s="518">
        <f t="shared" si="83"/>
        <v>0</v>
      </c>
      <c r="BP76" s="518">
        <f t="shared" si="84"/>
        <v>0</v>
      </c>
      <c r="BQ76" s="518">
        <f t="shared" si="85"/>
        <v>0</v>
      </c>
      <c r="BR76" s="518">
        <f t="shared" si="86"/>
        <v>0</v>
      </c>
      <c r="BS76" s="518">
        <f t="shared" si="87"/>
        <v>0</v>
      </c>
      <c r="BT76" s="518">
        <f t="shared" si="88"/>
        <v>0</v>
      </c>
      <c r="BU76" s="518">
        <f t="shared" si="89"/>
        <v>0</v>
      </c>
      <c r="BV76" s="520">
        <f t="shared" si="90"/>
        <v>0</v>
      </c>
      <c r="BW76" s="563">
        <f t="shared" si="91"/>
        <v>0</v>
      </c>
      <c r="BX76" s="521">
        <f t="shared" si="92"/>
        <v>0</v>
      </c>
      <c r="BY76" s="513">
        <f t="shared" si="161"/>
        <v>0</v>
      </c>
      <c r="BZ76" s="514">
        <f t="array" ref="BZ76">SUMPRODUCT(AX77:BJ77,TRANSPOSE(EXP(-(IF($C$9=1,k_MSW,k_Indu)))))+SUM(AK76:AW76)</f>
        <v>0</v>
      </c>
      <c r="CA76" s="515">
        <f t="array" ref="CA76">SUMPRODUCT(AX77:BJ77,TRANSPOSE(1-EXP(-(IF($C$9=1,k_MSW,k_Indu)))))</f>
        <v>0</v>
      </c>
      <c r="CB76" s="516">
        <f t="shared" si="93"/>
        <v>0</v>
      </c>
    </row>
    <row r="77" spans="1:80" s="315" customFormat="1" ht="26.25" customHeight="1" x14ac:dyDescent="0.3">
      <c r="A77" s="313"/>
      <c r="B77" s="317"/>
      <c r="C77" s="689" t="s">
        <v>378</v>
      </c>
      <c r="D77" s="567"/>
      <c r="E77" s="567"/>
      <c r="F77" s="567"/>
      <c r="G77" s="567"/>
      <c r="H77" s="567"/>
      <c r="I77" s="567"/>
      <c r="J77" s="567"/>
      <c r="K77" s="567"/>
      <c r="L77" s="567"/>
      <c r="M77" s="567"/>
      <c r="N77" s="567"/>
      <c r="O77" s="567"/>
      <c r="P77" s="567"/>
      <c r="Q77" s="568"/>
      <c r="R77" s="569"/>
      <c r="S77" s="569"/>
      <c r="T77" s="570"/>
      <c r="U77" s="570"/>
      <c r="V77" s="570"/>
      <c r="W77" s="570"/>
      <c r="X77" s="570"/>
      <c r="Y77" s="570"/>
      <c r="Z77" s="570"/>
      <c r="AA77" s="570"/>
      <c r="AB77" s="570"/>
      <c r="AC77" s="570"/>
      <c r="AD77" s="570"/>
      <c r="AE77" s="571"/>
      <c r="AF77" s="569"/>
      <c r="AG77" s="569"/>
      <c r="AH77" s="569"/>
      <c r="AI77" s="572"/>
      <c r="AJ77" s="572"/>
      <c r="AK77" s="569"/>
      <c r="AL77" s="569"/>
      <c r="AM77" s="569"/>
      <c r="AN77" s="569"/>
      <c r="AO77" s="569"/>
      <c r="AP77" s="569"/>
      <c r="AQ77" s="569"/>
      <c r="AR77" s="569"/>
      <c r="AS77" s="569"/>
      <c r="AT77" s="569"/>
      <c r="AU77" s="569"/>
      <c r="AV77" s="569"/>
      <c r="AW77" s="569"/>
      <c r="AX77" s="569"/>
      <c r="AY77" s="569"/>
      <c r="AZ77" s="569"/>
      <c r="BA77" s="569"/>
      <c r="BB77" s="569"/>
      <c r="BC77" s="569"/>
      <c r="BD77" s="569"/>
      <c r="BE77" s="569"/>
      <c r="BF77" s="569"/>
      <c r="BG77" s="569"/>
      <c r="BH77" s="569"/>
      <c r="BI77" s="569"/>
      <c r="BJ77" s="569"/>
      <c r="BK77" s="573"/>
      <c r="BL77" s="569"/>
      <c r="BM77" s="569"/>
      <c r="BN77" s="569"/>
      <c r="BO77" s="569"/>
      <c r="BP77" s="569"/>
      <c r="BQ77" s="569"/>
      <c r="BR77" s="569"/>
      <c r="BS77" s="569"/>
      <c r="BT77" s="569"/>
      <c r="BU77" s="569"/>
      <c r="BV77" s="569"/>
      <c r="BW77" s="569"/>
      <c r="BX77" s="569"/>
      <c r="BY77" s="569"/>
      <c r="BZ77" s="569"/>
      <c r="CA77" s="569"/>
      <c r="CB77" s="569"/>
    </row>
    <row r="78" spans="1:80" s="315" customFormat="1" ht="26.25" x14ac:dyDescent="0.3">
      <c r="A78" s="313"/>
      <c r="B78" s="319"/>
      <c r="C78" s="318" t="s">
        <v>595</v>
      </c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320"/>
      <c r="S78" s="320"/>
      <c r="T78" s="321"/>
      <c r="U78" s="321"/>
      <c r="V78" s="321"/>
      <c r="W78" s="321"/>
      <c r="X78" s="321"/>
      <c r="Y78" s="321"/>
      <c r="Z78" s="321"/>
      <c r="AA78" s="321"/>
      <c r="AB78" s="321"/>
      <c r="AC78" s="321"/>
      <c r="AD78" s="321"/>
      <c r="AE78" s="263"/>
      <c r="AF78" s="320"/>
      <c r="AG78" s="320"/>
      <c r="AH78" s="320"/>
      <c r="AI78" s="322"/>
      <c r="AJ78" s="322"/>
      <c r="AK78" s="320"/>
      <c r="AL78" s="320"/>
      <c r="AM78" s="320"/>
      <c r="AN78" s="320"/>
      <c r="AO78" s="320"/>
      <c r="AP78" s="320"/>
      <c r="AQ78" s="320"/>
      <c r="AR78" s="320"/>
      <c r="AS78" s="320"/>
      <c r="AT78" s="320"/>
      <c r="AU78" s="320"/>
      <c r="AV78" s="320"/>
      <c r="AW78" s="320"/>
      <c r="AX78" s="320"/>
      <c r="AY78" s="320"/>
      <c r="AZ78" s="320"/>
      <c r="BA78" s="320"/>
      <c r="BB78" s="320"/>
      <c r="BC78" s="320"/>
      <c r="BD78" s="320"/>
      <c r="BE78" s="320"/>
      <c r="BF78" s="320"/>
      <c r="BG78" s="320"/>
      <c r="BH78" s="320"/>
      <c r="BI78" s="320"/>
      <c r="BJ78" s="320"/>
      <c r="BK78" s="320"/>
      <c r="BL78" s="320"/>
      <c r="BM78" s="320"/>
      <c r="BN78" s="320"/>
      <c r="BO78" s="320"/>
      <c r="BP78" s="320"/>
      <c r="BQ78" s="320"/>
      <c r="BR78" s="320"/>
      <c r="BS78" s="320"/>
      <c r="BT78" s="320"/>
      <c r="BU78" s="320"/>
      <c r="BV78" s="320"/>
      <c r="BW78" s="320"/>
      <c r="BX78" s="320"/>
      <c r="BY78" s="320"/>
      <c r="BZ78" s="320"/>
      <c r="CA78" s="320"/>
      <c r="CB78" s="320"/>
    </row>
    <row r="79" spans="1:80" s="315" customFormat="1" ht="26.25" x14ac:dyDescent="0.3">
      <c r="A79" s="313"/>
      <c r="B79" s="319"/>
      <c r="C79" s="550" t="s">
        <v>596</v>
      </c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320"/>
      <c r="S79" s="320"/>
      <c r="T79" s="321"/>
      <c r="U79" s="321"/>
      <c r="V79" s="321"/>
      <c r="W79" s="321"/>
      <c r="X79" s="321"/>
      <c r="Y79" s="321"/>
      <c r="Z79" s="321"/>
      <c r="AA79" s="321"/>
      <c r="AB79" s="321"/>
      <c r="AC79" s="321"/>
      <c r="AD79" s="321"/>
      <c r="AE79" s="263"/>
      <c r="AF79" s="320"/>
      <c r="AG79" s="320"/>
      <c r="AH79" s="320"/>
      <c r="AI79" s="322"/>
      <c r="AJ79" s="322"/>
      <c r="AK79" s="320"/>
      <c r="AL79" s="320"/>
      <c r="AM79" s="320"/>
      <c r="AN79" s="320"/>
      <c r="AO79" s="320"/>
      <c r="AP79" s="320"/>
      <c r="AQ79" s="320"/>
      <c r="AR79" s="320"/>
      <c r="AS79" s="320"/>
      <c r="AT79" s="320"/>
      <c r="AU79" s="320"/>
      <c r="AV79" s="320"/>
      <c r="AW79" s="320"/>
      <c r="AX79" s="320"/>
      <c r="AY79" s="320"/>
      <c r="AZ79" s="320"/>
      <c r="BA79" s="320"/>
      <c r="BB79" s="320"/>
      <c r="BC79" s="320"/>
      <c r="BD79" s="320"/>
      <c r="BE79" s="320"/>
      <c r="BF79" s="320"/>
      <c r="BG79" s="320"/>
      <c r="BH79" s="320"/>
      <c r="BI79" s="320"/>
      <c r="BJ79" s="320"/>
      <c r="BK79" s="320"/>
      <c r="BL79" s="320"/>
      <c r="BM79" s="320"/>
      <c r="BN79" s="320"/>
      <c r="BO79" s="320"/>
      <c r="BP79" s="320"/>
      <c r="BQ79" s="320"/>
      <c r="BR79" s="320"/>
      <c r="BS79" s="320"/>
      <c r="BT79" s="320"/>
      <c r="BU79" s="320"/>
      <c r="BV79" s="320"/>
      <c r="BW79" s="320"/>
      <c r="BX79" s="320"/>
      <c r="BY79" s="320"/>
      <c r="BZ79" s="320"/>
      <c r="CA79" s="320"/>
      <c r="CB79" s="320"/>
    </row>
    <row r="80" spans="1:80" s="315" customFormat="1" ht="19.5" customHeight="1" x14ac:dyDescent="0.3">
      <c r="A80" s="313"/>
      <c r="B80" s="319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320"/>
      <c r="S80" s="320"/>
      <c r="T80" s="321"/>
      <c r="U80" s="321"/>
      <c r="V80" s="321"/>
      <c r="W80" s="321"/>
      <c r="X80" s="321"/>
      <c r="Y80" s="321"/>
      <c r="Z80" s="321"/>
      <c r="AA80" s="321"/>
      <c r="AB80" s="321"/>
      <c r="AC80" s="321"/>
      <c r="AD80" s="321"/>
      <c r="AE80" s="263"/>
      <c r="AF80" s="320"/>
      <c r="AG80" s="320"/>
      <c r="AH80" s="320"/>
      <c r="AI80" s="322"/>
      <c r="AJ80" s="322"/>
      <c r="AK80" s="320"/>
      <c r="AL80" s="320"/>
      <c r="AM80" s="320"/>
      <c r="AN80" s="320"/>
      <c r="AO80" s="320"/>
      <c r="AP80" s="320"/>
      <c r="AQ80" s="320"/>
      <c r="AR80" s="320"/>
      <c r="AS80" s="320"/>
      <c r="AT80" s="320"/>
      <c r="AU80" s="320"/>
      <c r="AV80" s="320"/>
      <c r="AW80" s="320"/>
      <c r="AX80" s="320"/>
      <c r="AY80" s="320"/>
      <c r="AZ80" s="320"/>
      <c r="BA80" s="320"/>
      <c r="BB80" s="320"/>
      <c r="BC80" s="320"/>
      <c r="BD80" s="320"/>
      <c r="BE80" s="320"/>
      <c r="BF80" s="320"/>
      <c r="BG80" s="320"/>
      <c r="BH80" s="320"/>
      <c r="BI80" s="320"/>
      <c r="BJ80" s="320"/>
      <c r="BK80" s="320"/>
      <c r="BL80" s="320"/>
      <c r="BM80" s="320"/>
      <c r="BN80" s="320"/>
      <c r="BO80" s="320"/>
      <c r="BP80" s="320"/>
      <c r="BQ80" s="320"/>
      <c r="BR80" s="320"/>
      <c r="BS80" s="320"/>
      <c r="BT80" s="320"/>
      <c r="BU80" s="320"/>
      <c r="BV80" s="320"/>
      <c r="BW80" s="320"/>
      <c r="BX80" s="320"/>
      <c r="BY80" s="320"/>
      <c r="BZ80" s="320"/>
      <c r="CA80" s="320"/>
      <c r="CB80" s="320"/>
    </row>
    <row r="81" spans="1:80" s="315" customFormat="1" ht="17.25" hidden="1" x14ac:dyDescent="0.3">
      <c r="A81" s="313"/>
      <c r="B81" s="319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320"/>
      <c r="S81" s="320"/>
      <c r="T81" s="321"/>
      <c r="U81" s="321"/>
      <c r="V81" s="321"/>
      <c r="W81" s="321"/>
      <c r="X81" s="321"/>
      <c r="Y81" s="321"/>
      <c r="Z81" s="321"/>
      <c r="AA81" s="321"/>
      <c r="AB81" s="321"/>
      <c r="AC81" s="321"/>
      <c r="AD81" s="321"/>
      <c r="AE81" s="263"/>
      <c r="AF81" s="320"/>
      <c r="AG81" s="320"/>
      <c r="AH81" s="320"/>
      <c r="AI81" s="322"/>
      <c r="AJ81" s="322"/>
      <c r="AK81" s="320"/>
      <c r="AL81" s="320"/>
      <c r="AM81" s="320"/>
      <c r="AN81" s="320"/>
      <c r="AO81" s="320"/>
      <c r="AP81" s="320"/>
      <c r="AQ81" s="320"/>
      <c r="AR81" s="320"/>
      <c r="AS81" s="320"/>
      <c r="AT81" s="320"/>
      <c r="AU81" s="320"/>
      <c r="AV81" s="320"/>
      <c r="AW81" s="320"/>
      <c r="AX81" s="320"/>
      <c r="AY81" s="320"/>
      <c r="AZ81" s="320"/>
      <c r="BA81" s="320"/>
      <c r="BB81" s="320"/>
      <c r="BC81" s="320"/>
      <c r="BD81" s="320"/>
      <c r="BE81" s="320"/>
      <c r="BF81" s="320"/>
      <c r="BG81" s="320"/>
      <c r="BH81" s="320"/>
      <c r="BI81" s="320"/>
      <c r="BJ81" s="320"/>
      <c r="BK81" s="320"/>
      <c r="BL81" s="320"/>
      <c r="BM81" s="320"/>
      <c r="BN81" s="320"/>
      <c r="BO81" s="320"/>
      <c r="BP81" s="320"/>
      <c r="BQ81" s="320"/>
      <c r="BR81" s="320"/>
      <c r="BS81" s="320"/>
      <c r="BT81" s="320"/>
      <c r="BU81" s="320"/>
      <c r="BV81" s="320"/>
      <c r="BW81" s="320"/>
      <c r="BX81" s="320"/>
      <c r="BY81" s="320"/>
      <c r="BZ81" s="320"/>
      <c r="CA81" s="320"/>
      <c r="CB81" s="320"/>
    </row>
    <row r="82" spans="1:80" s="315" customFormat="1" ht="17.25" hidden="1" x14ac:dyDescent="0.3">
      <c r="A82" s="313"/>
      <c r="B82" s="319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320"/>
      <c r="S82" s="320"/>
      <c r="T82" s="321"/>
      <c r="U82" s="321"/>
      <c r="V82" s="321"/>
      <c r="W82" s="321"/>
      <c r="X82" s="321"/>
      <c r="Y82" s="321"/>
      <c r="Z82" s="321"/>
      <c r="AA82" s="321"/>
      <c r="AB82" s="321"/>
      <c r="AC82" s="321"/>
      <c r="AD82" s="321"/>
      <c r="AE82" s="263"/>
      <c r="AF82" s="320"/>
      <c r="AG82" s="320"/>
      <c r="AH82" s="320"/>
      <c r="AI82" s="322"/>
      <c r="AJ82" s="322"/>
      <c r="AK82" s="320"/>
      <c r="AL82" s="320"/>
      <c r="AM82" s="320"/>
      <c r="AN82" s="320"/>
      <c r="AO82" s="320"/>
      <c r="AP82" s="320"/>
      <c r="AQ82" s="320"/>
      <c r="AR82" s="320"/>
      <c r="AS82" s="320"/>
      <c r="AT82" s="320"/>
      <c r="AU82" s="320"/>
      <c r="AV82" s="320"/>
      <c r="AW82" s="320"/>
      <c r="AX82" s="320"/>
      <c r="AY82" s="320"/>
      <c r="AZ82" s="320"/>
      <c r="BA82" s="320"/>
      <c r="BB82" s="320"/>
      <c r="BC82" s="320"/>
      <c r="BD82" s="320"/>
      <c r="BE82" s="320"/>
      <c r="BF82" s="320"/>
      <c r="BG82" s="320"/>
      <c r="BH82" s="320"/>
      <c r="BI82" s="320"/>
      <c r="BJ82" s="320"/>
      <c r="BK82" s="320"/>
      <c r="BL82" s="320"/>
      <c r="BM82" s="320"/>
      <c r="BN82" s="320"/>
      <c r="BO82" s="320"/>
      <c r="BP82" s="320"/>
      <c r="BQ82" s="320"/>
      <c r="BR82" s="320"/>
      <c r="BS82" s="320"/>
      <c r="BT82" s="320"/>
      <c r="BU82" s="320"/>
      <c r="BV82" s="320"/>
      <c r="BW82" s="320"/>
      <c r="BX82" s="320"/>
      <c r="BY82" s="320"/>
      <c r="BZ82" s="320"/>
      <c r="CA82" s="320"/>
      <c r="CB82" s="320"/>
    </row>
    <row r="83" spans="1:80" s="315" customFormat="1" ht="17.25" hidden="1" x14ac:dyDescent="0.3">
      <c r="A83" s="313"/>
      <c r="B83" s="319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320"/>
      <c r="S83" s="320"/>
      <c r="T83" s="321"/>
      <c r="U83" s="321"/>
      <c r="V83" s="321"/>
      <c r="W83" s="321"/>
      <c r="X83" s="321"/>
      <c r="Y83" s="321"/>
      <c r="Z83" s="321"/>
      <c r="AA83" s="321"/>
      <c r="AB83" s="321"/>
      <c r="AC83" s="321"/>
      <c r="AD83" s="321"/>
      <c r="AE83" s="263"/>
      <c r="AF83" s="320"/>
      <c r="AG83" s="320"/>
      <c r="AH83" s="320"/>
      <c r="AI83" s="322"/>
      <c r="AJ83" s="322"/>
      <c r="AK83" s="320"/>
      <c r="AL83" s="320"/>
      <c r="AM83" s="320"/>
      <c r="AN83" s="320"/>
      <c r="AO83" s="320"/>
      <c r="AP83" s="320"/>
      <c r="AQ83" s="320"/>
      <c r="AR83" s="320"/>
      <c r="AS83" s="320"/>
      <c r="AT83" s="320"/>
      <c r="AU83" s="320"/>
      <c r="AV83" s="320"/>
      <c r="AW83" s="320"/>
      <c r="AX83" s="320"/>
      <c r="AY83" s="320"/>
      <c r="AZ83" s="320"/>
      <c r="BA83" s="320"/>
      <c r="BB83" s="320"/>
      <c r="BC83" s="320"/>
      <c r="BD83" s="320"/>
      <c r="BE83" s="320"/>
      <c r="BF83" s="320"/>
      <c r="BG83" s="320"/>
      <c r="BH83" s="320"/>
      <c r="BI83" s="320"/>
      <c r="BJ83" s="320"/>
      <c r="BK83" s="320"/>
      <c r="BL83" s="320"/>
      <c r="BM83" s="320"/>
      <c r="BN83" s="320"/>
      <c r="BO83" s="320"/>
      <c r="BP83" s="320"/>
      <c r="BQ83" s="320"/>
      <c r="BR83" s="320"/>
      <c r="BS83" s="320"/>
      <c r="BT83" s="320"/>
      <c r="BU83" s="320"/>
      <c r="BV83" s="320"/>
      <c r="BW83" s="320"/>
      <c r="BX83" s="320"/>
      <c r="BY83" s="320"/>
      <c r="BZ83" s="320"/>
      <c r="CA83" s="320"/>
      <c r="CB83" s="320"/>
    </row>
    <row r="84" spans="1:80" s="315" customFormat="1" ht="17.25" hidden="1" x14ac:dyDescent="0.3">
      <c r="A84" s="313"/>
      <c r="B84" s="319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320"/>
      <c r="S84" s="320"/>
      <c r="T84" s="321"/>
      <c r="U84" s="321"/>
      <c r="V84" s="321"/>
      <c r="W84" s="321"/>
      <c r="X84" s="321"/>
      <c r="Y84" s="321"/>
      <c r="Z84" s="321"/>
      <c r="AA84" s="321"/>
      <c r="AB84" s="321"/>
      <c r="AC84" s="321"/>
      <c r="AD84" s="321"/>
      <c r="AE84" s="263"/>
      <c r="AF84" s="320"/>
      <c r="AG84" s="320"/>
      <c r="AH84" s="320"/>
      <c r="AI84" s="322"/>
      <c r="AJ84" s="322"/>
      <c r="AK84" s="320"/>
      <c r="AL84" s="320"/>
      <c r="AM84" s="320"/>
      <c r="AN84" s="320"/>
      <c r="AO84" s="320"/>
      <c r="AP84" s="320"/>
      <c r="AQ84" s="320"/>
      <c r="AR84" s="320"/>
      <c r="AS84" s="320"/>
      <c r="AT84" s="320"/>
      <c r="AU84" s="320"/>
      <c r="AV84" s="320"/>
      <c r="AW84" s="320"/>
      <c r="AX84" s="320"/>
      <c r="AY84" s="320"/>
      <c r="AZ84" s="320"/>
      <c r="BA84" s="320"/>
      <c r="BB84" s="320"/>
      <c r="BC84" s="320"/>
      <c r="BD84" s="320"/>
      <c r="BE84" s="320"/>
      <c r="BF84" s="320"/>
      <c r="BG84" s="320"/>
      <c r="BH84" s="320"/>
      <c r="BI84" s="320"/>
      <c r="BJ84" s="320"/>
      <c r="BK84" s="320"/>
      <c r="BL84" s="320"/>
      <c r="BM84" s="320"/>
      <c r="BN84" s="320"/>
      <c r="BO84" s="320"/>
      <c r="BP84" s="320"/>
      <c r="BQ84" s="320"/>
      <c r="BR84" s="320"/>
      <c r="BS84" s="320"/>
      <c r="BT84" s="320"/>
      <c r="BU84" s="320"/>
      <c r="BV84" s="320"/>
      <c r="BW84" s="320"/>
      <c r="BX84" s="320"/>
      <c r="BY84" s="320"/>
      <c r="BZ84" s="320"/>
      <c r="CA84" s="320"/>
      <c r="CB84" s="320"/>
    </row>
    <row r="85" spans="1:80" s="315" customFormat="1" ht="17.25" hidden="1" x14ac:dyDescent="0.3">
      <c r="A85" s="313"/>
      <c r="B85" s="319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320"/>
      <c r="S85" s="320"/>
      <c r="T85" s="321"/>
      <c r="U85" s="321"/>
      <c r="V85" s="321"/>
      <c r="W85" s="321"/>
      <c r="X85" s="321"/>
      <c r="Y85" s="321"/>
      <c r="Z85" s="321"/>
      <c r="AA85" s="321"/>
      <c r="AB85" s="321"/>
      <c r="AC85" s="321"/>
      <c r="AD85" s="321"/>
      <c r="AE85" s="263"/>
      <c r="AF85" s="320"/>
      <c r="AG85" s="320"/>
      <c r="AH85" s="320"/>
      <c r="AI85" s="322"/>
      <c r="AJ85" s="322"/>
      <c r="AK85" s="320"/>
      <c r="AL85" s="320"/>
      <c r="AM85" s="320"/>
      <c r="AN85" s="320"/>
      <c r="AO85" s="320"/>
      <c r="AP85" s="320"/>
      <c r="AQ85" s="320"/>
      <c r="AR85" s="320"/>
      <c r="AS85" s="320"/>
      <c r="AT85" s="320"/>
      <c r="AU85" s="320"/>
      <c r="AV85" s="320"/>
      <c r="AW85" s="320"/>
      <c r="AX85" s="320"/>
      <c r="AY85" s="320"/>
      <c r="AZ85" s="320"/>
      <c r="BA85" s="320"/>
      <c r="BB85" s="320"/>
      <c r="BC85" s="320"/>
      <c r="BD85" s="320"/>
      <c r="BE85" s="320"/>
      <c r="BF85" s="320"/>
      <c r="BG85" s="320"/>
      <c r="BH85" s="320"/>
      <c r="BI85" s="320"/>
      <c r="BJ85" s="320"/>
      <c r="BK85" s="320"/>
      <c r="BL85" s="320"/>
      <c r="BM85" s="320"/>
      <c r="BN85" s="320"/>
      <c r="BO85" s="320"/>
      <c r="BP85" s="320"/>
      <c r="BQ85" s="320"/>
      <c r="BR85" s="320"/>
      <c r="BS85" s="320"/>
      <c r="BT85" s="320"/>
      <c r="BU85" s="320"/>
      <c r="BV85" s="320"/>
      <c r="BW85" s="320"/>
      <c r="BX85" s="320"/>
      <c r="BY85" s="320"/>
      <c r="BZ85" s="320"/>
      <c r="CA85" s="320"/>
      <c r="CB85" s="320"/>
    </row>
    <row r="86" spans="1:80" s="315" customFormat="1" ht="17.25" hidden="1" x14ac:dyDescent="0.3">
      <c r="A86" s="313"/>
      <c r="B86" s="319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320"/>
      <c r="S86" s="320"/>
      <c r="T86" s="321"/>
      <c r="U86" s="321"/>
      <c r="V86" s="321"/>
      <c r="W86" s="321"/>
      <c r="X86" s="321"/>
      <c r="Y86" s="321"/>
      <c r="Z86" s="321"/>
      <c r="AA86" s="321"/>
      <c r="AB86" s="321"/>
      <c r="AC86" s="321"/>
      <c r="AD86" s="321"/>
      <c r="AE86" s="263"/>
      <c r="AF86" s="320"/>
      <c r="AG86" s="320"/>
      <c r="AH86" s="320"/>
      <c r="AI86" s="322"/>
      <c r="AJ86" s="322"/>
      <c r="AK86" s="320"/>
      <c r="AL86" s="320"/>
      <c r="AM86" s="320"/>
      <c r="AN86" s="320"/>
      <c r="AO86" s="320"/>
      <c r="AP86" s="320"/>
      <c r="AQ86" s="320"/>
      <c r="AR86" s="320"/>
      <c r="AS86" s="320"/>
      <c r="AT86" s="320"/>
      <c r="AU86" s="320"/>
      <c r="AV86" s="320"/>
      <c r="AW86" s="320"/>
      <c r="AX86" s="320"/>
      <c r="AY86" s="320"/>
      <c r="AZ86" s="320"/>
      <c r="BA86" s="320"/>
      <c r="BB86" s="320"/>
      <c r="BC86" s="320"/>
      <c r="BD86" s="320"/>
      <c r="BE86" s="320"/>
      <c r="BF86" s="320"/>
      <c r="BG86" s="320"/>
      <c r="BH86" s="320"/>
      <c r="BI86" s="320"/>
      <c r="BJ86" s="320"/>
      <c r="BK86" s="320"/>
      <c r="BL86" s="320"/>
      <c r="BM86" s="320"/>
      <c r="BN86" s="320"/>
      <c r="BO86" s="320"/>
      <c r="BP86" s="320"/>
      <c r="BQ86" s="320"/>
      <c r="BR86" s="320"/>
      <c r="BS86" s="320"/>
      <c r="BT86" s="320"/>
      <c r="BU86" s="320"/>
      <c r="BV86" s="320"/>
      <c r="BW86" s="320"/>
      <c r="BX86" s="320"/>
      <c r="BY86" s="320"/>
      <c r="BZ86" s="320"/>
      <c r="CA86" s="320"/>
      <c r="CB86" s="320"/>
    </row>
    <row r="87" spans="1:80" s="315" customFormat="1" ht="17.25" hidden="1" x14ac:dyDescent="0.3">
      <c r="A87" s="313"/>
      <c r="B87" s="319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320"/>
      <c r="S87" s="320"/>
      <c r="T87" s="321"/>
      <c r="U87" s="321"/>
      <c r="V87" s="321"/>
      <c r="W87" s="321"/>
      <c r="X87" s="321"/>
      <c r="Y87" s="321"/>
      <c r="Z87" s="321"/>
      <c r="AA87" s="321"/>
      <c r="AB87" s="321"/>
      <c r="AC87" s="321"/>
      <c r="AD87" s="321"/>
      <c r="AE87" s="263"/>
      <c r="AF87" s="320"/>
      <c r="AG87" s="320"/>
      <c r="AH87" s="320"/>
      <c r="AI87" s="322"/>
      <c r="AJ87" s="322"/>
      <c r="AK87" s="320"/>
      <c r="AL87" s="320"/>
      <c r="AM87" s="320"/>
      <c r="AN87" s="320"/>
      <c r="AO87" s="320"/>
      <c r="AP87" s="320"/>
      <c r="AQ87" s="320"/>
      <c r="AR87" s="320"/>
      <c r="AS87" s="320"/>
      <c r="AT87" s="320"/>
      <c r="AU87" s="320"/>
      <c r="AV87" s="320"/>
      <c r="AW87" s="320"/>
      <c r="AX87" s="320"/>
      <c r="AY87" s="320"/>
      <c r="AZ87" s="320"/>
      <c r="BA87" s="320"/>
      <c r="BB87" s="320"/>
      <c r="BC87" s="320"/>
      <c r="BD87" s="320"/>
      <c r="BE87" s="320"/>
      <c r="BF87" s="320"/>
      <c r="BG87" s="320"/>
      <c r="BH87" s="320"/>
      <c r="BI87" s="320"/>
      <c r="BJ87" s="320"/>
      <c r="BK87" s="320"/>
      <c r="BL87" s="320"/>
      <c r="BM87" s="320"/>
      <c r="BN87" s="320"/>
      <c r="BO87" s="320"/>
      <c r="BP87" s="320"/>
      <c r="BQ87" s="320"/>
      <c r="BR87" s="320"/>
      <c r="BS87" s="320"/>
      <c r="BT87" s="320"/>
      <c r="BU87" s="320"/>
      <c r="BV87" s="320"/>
      <c r="BW87" s="320"/>
      <c r="BX87" s="320"/>
      <c r="BY87" s="320"/>
      <c r="BZ87" s="320"/>
      <c r="CA87" s="320"/>
      <c r="CB87" s="320"/>
    </row>
    <row r="88" spans="1:80" s="315" customFormat="1" ht="17.25" hidden="1" x14ac:dyDescent="0.3">
      <c r="A88" s="313"/>
      <c r="B88" s="319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320"/>
      <c r="S88" s="320"/>
      <c r="T88" s="321"/>
      <c r="U88" s="321"/>
      <c r="V88" s="321"/>
      <c r="W88" s="321"/>
      <c r="X88" s="321"/>
      <c r="Y88" s="321"/>
      <c r="Z88" s="321"/>
      <c r="AA88" s="321"/>
      <c r="AB88" s="321"/>
      <c r="AC88" s="321"/>
      <c r="AD88" s="321"/>
      <c r="AE88" s="263"/>
      <c r="AF88" s="320"/>
      <c r="AG88" s="320"/>
      <c r="AH88" s="320"/>
      <c r="AI88" s="322"/>
      <c r="AJ88" s="322"/>
      <c r="AK88" s="320"/>
      <c r="AL88" s="320"/>
      <c r="AM88" s="320"/>
      <c r="AN88" s="320"/>
      <c r="AO88" s="320"/>
      <c r="AP88" s="320"/>
      <c r="AQ88" s="320"/>
      <c r="AR88" s="320"/>
      <c r="AS88" s="320"/>
      <c r="AT88" s="320"/>
      <c r="AU88" s="320"/>
      <c r="AV88" s="320"/>
      <c r="AW88" s="320"/>
      <c r="AX88" s="320"/>
      <c r="AY88" s="320"/>
      <c r="AZ88" s="320"/>
      <c r="BA88" s="320"/>
      <c r="BB88" s="320"/>
      <c r="BC88" s="320"/>
      <c r="BD88" s="320"/>
      <c r="BE88" s="320"/>
      <c r="BF88" s="320"/>
      <c r="BG88" s="320"/>
      <c r="BH88" s="320"/>
      <c r="BI88" s="320"/>
      <c r="BJ88" s="320"/>
      <c r="BK88" s="320"/>
      <c r="BL88" s="320"/>
      <c r="BM88" s="320"/>
      <c r="BN88" s="320"/>
      <c r="BO88" s="320"/>
      <c r="BP88" s="320"/>
      <c r="BQ88" s="320"/>
      <c r="BR88" s="320"/>
      <c r="BS88" s="320"/>
      <c r="BT88" s="320"/>
      <c r="BU88" s="320"/>
      <c r="BV88" s="320"/>
      <c r="BW88" s="320"/>
      <c r="BX88" s="320"/>
      <c r="BY88" s="320"/>
      <c r="BZ88" s="320"/>
      <c r="CA88" s="320"/>
      <c r="CB88" s="320"/>
    </row>
    <row r="89" spans="1:80" s="315" customFormat="1" ht="17.25" hidden="1" x14ac:dyDescent="0.3">
      <c r="A89" s="313"/>
      <c r="B89" s="319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320"/>
      <c r="S89" s="320"/>
      <c r="T89" s="321"/>
      <c r="U89" s="321"/>
      <c r="V89" s="321"/>
      <c r="W89" s="321"/>
      <c r="X89" s="321"/>
      <c r="Y89" s="321"/>
      <c r="Z89" s="321"/>
      <c r="AA89" s="321"/>
      <c r="AB89" s="321"/>
      <c r="AC89" s="321"/>
      <c r="AD89" s="321"/>
      <c r="AE89" s="263"/>
      <c r="AF89" s="320"/>
      <c r="AG89" s="320"/>
      <c r="AH89" s="320"/>
      <c r="AI89" s="322"/>
      <c r="AJ89" s="322"/>
      <c r="AK89" s="320"/>
      <c r="AL89" s="320"/>
      <c r="AM89" s="320"/>
      <c r="AN89" s="320"/>
      <c r="AO89" s="320"/>
      <c r="AP89" s="320"/>
      <c r="AQ89" s="320"/>
      <c r="AR89" s="320"/>
      <c r="AS89" s="320"/>
      <c r="AT89" s="320"/>
      <c r="AU89" s="320"/>
      <c r="AV89" s="320"/>
      <c r="AW89" s="320"/>
      <c r="AX89" s="320"/>
      <c r="AY89" s="320"/>
      <c r="AZ89" s="320"/>
      <c r="BA89" s="320"/>
      <c r="BB89" s="320"/>
      <c r="BC89" s="320"/>
      <c r="BD89" s="320"/>
      <c r="BE89" s="320"/>
      <c r="BF89" s="320"/>
      <c r="BG89" s="320"/>
      <c r="BH89" s="320"/>
      <c r="BI89" s="320"/>
      <c r="BJ89" s="320"/>
      <c r="BK89" s="320"/>
      <c r="BL89" s="320"/>
      <c r="BM89" s="320"/>
      <c r="BN89" s="320"/>
      <c r="BO89" s="320"/>
      <c r="BP89" s="320"/>
      <c r="BQ89" s="320"/>
      <c r="BR89" s="320"/>
      <c r="BS89" s="320"/>
      <c r="BT89" s="320"/>
      <c r="BU89" s="320"/>
      <c r="BV89" s="320"/>
      <c r="BW89" s="320"/>
      <c r="BX89" s="320"/>
      <c r="BY89" s="320"/>
      <c r="BZ89" s="320"/>
      <c r="CA89" s="320"/>
      <c r="CB89" s="320"/>
    </row>
    <row r="90" spans="1:80" s="315" customFormat="1" ht="17.25" hidden="1" x14ac:dyDescent="0.3">
      <c r="A90" s="313"/>
      <c r="B90" s="319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320"/>
      <c r="S90" s="320"/>
      <c r="T90" s="321"/>
      <c r="U90" s="321"/>
      <c r="V90" s="321"/>
      <c r="W90" s="321"/>
      <c r="X90" s="321"/>
      <c r="Y90" s="321"/>
      <c r="Z90" s="321"/>
      <c r="AA90" s="321"/>
      <c r="AB90" s="321"/>
      <c r="AC90" s="321"/>
      <c r="AD90" s="321"/>
      <c r="AE90" s="263"/>
      <c r="AF90" s="320"/>
      <c r="AG90" s="320"/>
      <c r="AH90" s="320"/>
      <c r="AI90" s="322"/>
      <c r="AJ90" s="322"/>
      <c r="AK90" s="320"/>
      <c r="AL90" s="320"/>
      <c r="AM90" s="320"/>
      <c r="AN90" s="320"/>
      <c r="AO90" s="320"/>
      <c r="AP90" s="320"/>
      <c r="AQ90" s="320"/>
      <c r="AR90" s="320"/>
      <c r="AS90" s="320"/>
      <c r="AT90" s="320"/>
      <c r="AU90" s="320"/>
      <c r="AV90" s="320"/>
      <c r="AW90" s="320"/>
      <c r="AX90" s="320"/>
      <c r="AY90" s="320"/>
      <c r="AZ90" s="320"/>
      <c r="BA90" s="320"/>
      <c r="BB90" s="320"/>
      <c r="BC90" s="320"/>
      <c r="BD90" s="320"/>
      <c r="BE90" s="320"/>
      <c r="BF90" s="320"/>
      <c r="BG90" s="320"/>
      <c r="BH90" s="320"/>
      <c r="BI90" s="320"/>
      <c r="BJ90" s="320"/>
      <c r="BK90" s="320"/>
      <c r="BL90" s="320"/>
      <c r="BM90" s="320"/>
      <c r="BN90" s="320"/>
      <c r="BO90" s="320"/>
      <c r="BP90" s="320"/>
      <c r="BQ90" s="320"/>
      <c r="BR90" s="320"/>
      <c r="BS90" s="320"/>
      <c r="BT90" s="320"/>
      <c r="BU90" s="320"/>
      <c r="BV90" s="320"/>
      <c r="BW90" s="320"/>
      <c r="BX90" s="320"/>
      <c r="BY90" s="320"/>
      <c r="BZ90" s="320"/>
      <c r="CA90" s="320"/>
      <c r="CB90" s="320"/>
    </row>
    <row r="91" spans="1:80" s="315" customFormat="1" ht="17.25" hidden="1" x14ac:dyDescent="0.3">
      <c r="A91" s="313"/>
      <c r="B91" s="319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320"/>
      <c r="S91" s="320"/>
      <c r="T91" s="321"/>
      <c r="U91" s="321"/>
      <c r="V91" s="321"/>
      <c r="W91" s="321"/>
      <c r="X91" s="321"/>
      <c r="Y91" s="321"/>
      <c r="Z91" s="321"/>
      <c r="AA91" s="321"/>
      <c r="AB91" s="321"/>
      <c r="AC91" s="321"/>
      <c r="AD91" s="321"/>
      <c r="AE91" s="263"/>
      <c r="AF91" s="320"/>
      <c r="AG91" s="320"/>
      <c r="AH91" s="320"/>
      <c r="AI91" s="322"/>
      <c r="AJ91" s="322"/>
      <c r="AK91" s="320"/>
      <c r="AL91" s="320"/>
      <c r="AM91" s="320"/>
      <c r="AN91" s="320"/>
      <c r="AO91" s="320"/>
      <c r="AP91" s="320"/>
      <c r="AQ91" s="320"/>
      <c r="AR91" s="320"/>
      <c r="AS91" s="320"/>
      <c r="AT91" s="320"/>
      <c r="AU91" s="320"/>
      <c r="AV91" s="320"/>
      <c r="AW91" s="320"/>
      <c r="AX91" s="320"/>
      <c r="AY91" s="320"/>
      <c r="AZ91" s="320"/>
      <c r="BA91" s="320"/>
      <c r="BB91" s="320"/>
      <c r="BC91" s="320"/>
      <c r="BD91" s="320"/>
      <c r="BE91" s="320"/>
      <c r="BF91" s="320"/>
      <c r="BG91" s="320"/>
      <c r="BH91" s="320"/>
      <c r="BI91" s="320"/>
      <c r="BJ91" s="320"/>
      <c r="BK91" s="320"/>
      <c r="BL91" s="320"/>
      <c r="BM91" s="320"/>
      <c r="BN91" s="320"/>
      <c r="BO91" s="320"/>
      <c r="BP91" s="320"/>
      <c r="BQ91" s="320"/>
      <c r="BR91" s="320"/>
      <c r="BS91" s="320"/>
      <c r="BT91" s="320"/>
      <c r="BU91" s="320"/>
      <c r="BV91" s="320"/>
      <c r="BW91" s="320"/>
      <c r="BX91" s="320"/>
      <c r="BY91" s="320"/>
      <c r="BZ91" s="320"/>
      <c r="CA91" s="320"/>
      <c r="CB91" s="320"/>
    </row>
    <row r="92" spans="1:80" s="315" customFormat="1" ht="17.25" hidden="1" x14ac:dyDescent="0.3">
      <c r="A92" s="313"/>
      <c r="B92" s="319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320"/>
      <c r="S92" s="320"/>
      <c r="T92" s="321"/>
      <c r="U92" s="321"/>
      <c r="V92" s="321"/>
      <c r="W92" s="321"/>
      <c r="X92" s="321"/>
      <c r="Y92" s="321"/>
      <c r="Z92" s="321"/>
      <c r="AA92" s="321"/>
      <c r="AB92" s="321"/>
      <c r="AC92" s="321"/>
      <c r="AD92" s="321"/>
      <c r="AE92" s="263"/>
      <c r="AF92" s="320"/>
      <c r="AG92" s="320"/>
      <c r="AH92" s="320"/>
      <c r="AI92" s="322"/>
      <c r="AJ92" s="322"/>
      <c r="AK92" s="320"/>
      <c r="AL92" s="320"/>
      <c r="AM92" s="320"/>
      <c r="AN92" s="320"/>
      <c r="AO92" s="320"/>
      <c r="AP92" s="320"/>
      <c r="AQ92" s="320"/>
      <c r="AR92" s="320"/>
      <c r="AS92" s="320"/>
      <c r="AT92" s="320"/>
      <c r="AU92" s="320"/>
      <c r="AV92" s="320"/>
      <c r="AW92" s="320"/>
      <c r="AX92" s="320"/>
      <c r="AY92" s="320"/>
      <c r="AZ92" s="320"/>
      <c r="BA92" s="320"/>
      <c r="BB92" s="320"/>
      <c r="BC92" s="320"/>
      <c r="BD92" s="320"/>
      <c r="BE92" s="320"/>
      <c r="BF92" s="320"/>
      <c r="BG92" s="320"/>
      <c r="BH92" s="320"/>
      <c r="BI92" s="320"/>
      <c r="BJ92" s="320"/>
      <c r="BK92" s="320"/>
      <c r="BL92" s="320"/>
      <c r="BM92" s="320"/>
      <c r="BN92" s="320"/>
      <c r="BO92" s="320"/>
      <c r="BP92" s="320"/>
      <c r="BQ92" s="320"/>
      <c r="BR92" s="320"/>
      <c r="BS92" s="320"/>
      <c r="BT92" s="320"/>
      <c r="BU92" s="320"/>
      <c r="BV92" s="320"/>
      <c r="BW92" s="320"/>
      <c r="BX92" s="320"/>
      <c r="BY92" s="320"/>
      <c r="BZ92" s="320"/>
      <c r="CA92" s="320"/>
      <c r="CB92" s="320"/>
    </row>
    <row r="93" spans="1:80" s="315" customFormat="1" ht="17.25" hidden="1" x14ac:dyDescent="0.3">
      <c r="A93" s="313"/>
      <c r="B93" s="319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320"/>
      <c r="S93" s="320"/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263"/>
      <c r="AF93" s="320"/>
      <c r="AG93" s="320"/>
      <c r="AH93" s="320"/>
      <c r="AI93" s="322"/>
      <c r="AJ93" s="322"/>
      <c r="AK93" s="320"/>
      <c r="AL93" s="320"/>
      <c r="AM93" s="320"/>
      <c r="AN93" s="320"/>
      <c r="AO93" s="320"/>
      <c r="AP93" s="320"/>
      <c r="AQ93" s="320"/>
      <c r="AR93" s="320"/>
      <c r="AS93" s="320"/>
      <c r="AT93" s="320"/>
      <c r="AU93" s="320"/>
      <c r="AV93" s="320"/>
      <c r="AW93" s="320"/>
      <c r="AX93" s="320"/>
      <c r="AY93" s="320"/>
      <c r="AZ93" s="320"/>
      <c r="BA93" s="320"/>
      <c r="BB93" s="320"/>
      <c r="BC93" s="320"/>
      <c r="BD93" s="320"/>
      <c r="BE93" s="320"/>
      <c r="BF93" s="320"/>
      <c r="BG93" s="320"/>
      <c r="BH93" s="320"/>
      <c r="BI93" s="320"/>
      <c r="BJ93" s="320"/>
      <c r="BK93" s="320"/>
      <c r="BL93" s="320"/>
      <c r="BM93" s="320"/>
      <c r="BN93" s="320"/>
      <c r="BO93" s="320"/>
      <c r="BP93" s="320"/>
      <c r="BQ93" s="320"/>
      <c r="BR93" s="320"/>
      <c r="BS93" s="320"/>
      <c r="BT93" s="320"/>
      <c r="BU93" s="320"/>
      <c r="BV93" s="320"/>
      <c r="BW93" s="320"/>
      <c r="BX93" s="320"/>
      <c r="BY93" s="320"/>
      <c r="BZ93" s="320"/>
      <c r="CA93" s="320"/>
      <c r="CB93" s="320"/>
    </row>
    <row r="94" spans="1:80" s="315" customFormat="1" ht="17.25" hidden="1" x14ac:dyDescent="0.3">
      <c r="A94" s="313"/>
      <c r="B94" s="319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320"/>
      <c r="S94" s="320"/>
      <c r="T94" s="321"/>
      <c r="U94" s="321"/>
      <c r="V94" s="321"/>
      <c r="W94" s="321"/>
      <c r="X94" s="321"/>
      <c r="Y94" s="321"/>
      <c r="Z94" s="321"/>
      <c r="AA94" s="321"/>
      <c r="AB94" s="321"/>
      <c r="AC94" s="321"/>
      <c r="AD94" s="321"/>
      <c r="AE94" s="263"/>
      <c r="AF94" s="320"/>
      <c r="AG94" s="320"/>
      <c r="AH94" s="320"/>
      <c r="AI94" s="322"/>
      <c r="AJ94" s="322"/>
      <c r="AK94" s="320"/>
      <c r="AL94" s="320"/>
      <c r="AM94" s="320"/>
      <c r="AN94" s="320"/>
      <c r="AO94" s="320"/>
      <c r="AP94" s="320"/>
      <c r="AQ94" s="320"/>
      <c r="AR94" s="320"/>
      <c r="AS94" s="320"/>
      <c r="AT94" s="320"/>
      <c r="AU94" s="320"/>
      <c r="AV94" s="320"/>
      <c r="AW94" s="320"/>
      <c r="AX94" s="320"/>
      <c r="AY94" s="320"/>
      <c r="AZ94" s="320"/>
      <c r="BA94" s="320"/>
      <c r="BB94" s="320"/>
      <c r="BC94" s="320"/>
      <c r="BD94" s="320"/>
      <c r="BE94" s="320"/>
      <c r="BF94" s="320"/>
      <c r="BG94" s="320"/>
      <c r="BH94" s="320"/>
      <c r="BI94" s="320"/>
      <c r="BJ94" s="320"/>
      <c r="BK94" s="320"/>
      <c r="BL94" s="320"/>
      <c r="BM94" s="320"/>
      <c r="BN94" s="320"/>
      <c r="BO94" s="320"/>
      <c r="BP94" s="320"/>
      <c r="BQ94" s="320"/>
      <c r="BR94" s="320"/>
      <c r="BS94" s="320"/>
      <c r="BT94" s="320"/>
      <c r="BU94" s="320"/>
      <c r="BV94" s="320"/>
      <c r="BW94" s="320"/>
      <c r="BX94" s="320"/>
      <c r="BY94" s="320"/>
      <c r="BZ94" s="320"/>
      <c r="CA94" s="320"/>
      <c r="CB94" s="320"/>
    </row>
    <row r="95" spans="1:80" s="315" customFormat="1" ht="17.25" hidden="1" x14ac:dyDescent="0.3">
      <c r="A95" s="313"/>
      <c r="B95" s="319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320"/>
      <c r="S95" s="320"/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263"/>
      <c r="AF95" s="320"/>
      <c r="AG95" s="320"/>
      <c r="AH95" s="320"/>
      <c r="AI95" s="322"/>
      <c r="AJ95" s="322"/>
      <c r="AK95" s="320"/>
      <c r="AL95" s="320"/>
      <c r="AM95" s="320"/>
      <c r="AN95" s="320"/>
      <c r="AO95" s="320"/>
      <c r="AP95" s="320"/>
      <c r="AQ95" s="320"/>
      <c r="AR95" s="320"/>
      <c r="AS95" s="320"/>
      <c r="AT95" s="320"/>
      <c r="AU95" s="320"/>
      <c r="AV95" s="320"/>
      <c r="AW95" s="320"/>
      <c r="AX95" s="320"/>
      <c r="AY95" s="320"/>
      <c r="AZ95" s="320"/>
      <c r="BA95" s="320"/>
      <c r="BB95" s="320"/>
      <c r="BC95" s="320"/>
      <c r="BD95" s="320"/>
      <c r="BE95" s="320"/>
      <c r="BF95" s="320"/>
      <c r="BG95" s="320"/>
      <c r="BH95" s="320"/>
      <c r="BI95" s="320"/>
      <c r="BJ95" s="320"/>
      <c r="BK95" s="320"/>
      <c r="BL95" s="320"/>
      <c r="BM95" s="320"/>
      <c r="BN95" s="320"/>
      <c r="BO95" s="320"/>
      <c r="BP95" s="320"/>
      <c r="BQ95" s="320"/>
      <c r="BR95" s="320"/>
      <c r="BS95" s="320"/>
      <c r="BT95" s="320"/>
      <c r="BU95" s="320"/>
      <c r="BV95" s="320"/>
      <c r="BW95" s="320"/>
      <c r="BX95" s="320"/>
      <c r="BY95" s="320"/>
      <c r="BZ95" s="320"/>
      <c r="CA95" s="320"/>
      <c r="CB95" s="320"/>
    </row>
    <row r="96" spans="1:80" s="315" customFormat="1" ht="17.25" hidden="1" x14ac:dyDescent="0.3">
      <c r="A96" s="313"/>
      <c r="B96" s="319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320"/>
      <c r="S96" s="320"/>
      <c r="T96" s="321"/>
      <c r="U96" s="321"/>
      <c r="V96" s="321"/>
      <c r="W96" s="321"/>
      <c r="X96" s="321"/>
      <c r="Y96" s="321"/>
      <c r="Z96" s="321"/>
      <c r="AA96" s="321"/>
      <c r="AB96" s="321"/>
      <c r="AC96" s="321"/>
      <c r="AD96" s="321"/>
      <c r="AE96" s="263"/>
      <c r="AF96" s="320"/>
      <c r="AG96" s="320"/>
      <c r="AH96" s="320"/>
      <c r="AI96" s="322"/>
      <c r="AJ96" s="322"/>
      <c r="AK96" s="320"/>
      <c r="AL96" s="320"/>
      <c r="AM96" s="320"/>
      <c r="AN96" s="320"/>
      <c r="AO96" s="320"/>
      <c r="AP96" s="320"/>
      <c r="AQ96" s="320"/>
      <c r="AR96" s="320"/>
      <c r="AS96" s="320"/>
      <c r="AT96" s="320"/>
      <c r="AU96" s="320"/>
      <c r="AV96" s="320"/>
      <c r="AW96" s="320"/>
      <c r="AX96" s="320"/>
      <c r="AY96" s="320"/>
      <c r="AZ96" s="320"/>
      <c r="BA96" s="320"/>
      <c r="BB96" s="320"/>
      <c r="BC96" s="320"/>
      <c r="BD96" s="320"/>
      <c r="BE96" s="320"/>
      <c r="BF96" s="320"/>
      <c r="BG96" s="320"/>
      <c r="BH96" s="320"/>
      <c r="BI96" s="320"/>
      <c r="BJ96" s="320"/>
      <c r="BK96" s="320"/>
      <c r="BL96" s="320"/>
      <c r="BM96" s="320"/>
      <c r="BN96" s="320"/>
      <c r="BO96" s="320"/>
      <c r="BP96" s="320"/>
      <c r="BQ96" s="320"/>
      <c r="BR96" s="320"/>
      <c r="BS96" s="320"/>
      <c r="BT96" s="320"/>
      <c r="BU96" s="320"/>
      <c r="BV96" s="320"/>
      <c r="BW96" s="320"/>
      <c r="BX96" s="320"/>
      <c r="BY96" s="320"/>
      <c r="BZ96" s="320"/>
      <c r="CA96" s="320"/>
      <c r="CB96" s="320"/>
    </row>
    <row r="97" spans="1:80" s="263" customFormat="1" ht="17.25" hidden="1" x14ac:dyDescent="0.3">
      <c r="A97" s="323"/>
      <c r="B97" s="319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320"/>
      <c r="S97" s="320"/>
      <c r="T97" s="321"/>
      <c r="U97" s="321"/>
      <c r="V97" s="321"/>
      <c r="W97" s="321"/>
      <c r="X97" s="321"/>
      <c r="Y97" s="321"/>
      <c r="Z97" s="321"/>
      <c r="AA97" s="321"/>
      <c r="AB97" s="321"/>
      <c r="AC97" s="321"/>
      <c r="AD97" s="321"/>
      <c r="AF97" s="320"/>
      <c r="AG97" s="320"/>
      <c r="AH97" s="320"/>
      <c r="AI97" s="322"/>
      <c r="AJ97" s="322"/>
      <c r="AK97" s="320"/>
      <c r="AL97" s="320"/>
      <c r="AM97" s="320"/>
      <c r="AN97" s="320"/>
      <c r="AO97" s="320"/>
      <c r="AP97" s="320"/>
      <c r="AQ97" s="320"/>
      <c r="AR97" s="320"/>
      <c r="AS97" s="320"/>
      <c r="AT97" s="320"/>
      <c r="AU97" s="320"/>
      <c r="AV97" s="320"/>
      <c r="AW97" s="320"/>
      <c r="AX97" s="320"/>
      <c r="AY97" s="320"/>
      <c r="AZ97" s="320"/>
      <c r="BA97" s="320"/>
      <c r="BB97" s="320"/>
      <c r="BC97" s="320"/>
      <c r="BD97" s="320"/>
      <c r="BE97" s="320"/>
      <c r="BF97" s="320"/>
      <c r="BG97" s="320"/>
      <c r="BH97" s="320"/>
      <c r="BI97" s="320"/>
      <c r="BJ97" s="320"/>
      <c r="BK97" s="320"/>
      <c r="BL97" s="320"/>
      <c r="BM97" s="320"/>
      <c r="BN97" s="320"/>
      <c r="BO97" s="320"/>
      <c r="BP97" s="320"/>
      <c r="BQ97" s="320"/>
      <c r="BR97" s="320"/>
      <c r="BS97" s="320"/>
      <c r="BT97" s="320"/>
      <c r="BU97" s="320"/>
      <c r="BV97" s="320"/>
      <c r="BW97" s="320"/>
      <c r="BX97" s="320"/>
      <c r="BY97" s="320"/>
      <c r="BZ97" s="320"/>
      <c r="CA97" s="320"/>
      <c r="CB97" s="320"/>
    </row>
  </sheetData>
  <mergeCells count="24">
    <mergeCell ref="C14:P14"/>
    <mergeCell ref="B13:B14"/>
    <mergeCell ref="R13:U13"/>
    <mergeCell ref="B15:B16"/>
    <mergeCell ref="C15:C16"/>
    <mergeCell ref="C13:P13"/>
    <mergeCell ref="B1:C1"/>
    <mergeCell ref="B2:C2"/>
    <mergeCell ref="B3:C3"/>
    <mergeCell ref="D3:J3"/>
    <mergeCell ref="D2:J2"/>
    <mergeCell ref="D1:J1"/>
    <mergeCell ref="BZ13:CB13"/>
    <mergeCell ref="W14:AJ14"/>
    <mergeCell ref="BL13:BY13"/>
    <mergeCell ref="AX14:BK14"/>
    <mergeCell ref="BL14:BY14"/>
    <mergeCell ref="AK14:AW14"/>
    <mergeCell ref="AK16:AW16"/>
    <mergeCell ref="AX16:BK16"/>
    <mergeCell ref="BL16:BY16"/>
    <mergeCell ref="W13:AJ13"/>
    <mergeCell ref="AK13:AW13"/>
    <mergeCell ref="AX13:BK13"/>
  </mergeCells>
  <phoneticPr fontId="2" type="noConversion"/>
  <conditionalFormatting sqref="V17:V76 C17:P76">
    <cfRule type="expression" dxfId="18" priority="20" stopIfTrue="1">
      <formula>OR($C17&lt;&gt;$V17,$C17&lt;&gt;SUM($D17:$P17))</formula>
    </cfRule>
  </conditionalFormatting>
  <conditionalFormatting sqref="C17:P76">
    <cfRule type="expression" dxfId="17" priority="12" stopIfTrue="1">
      <formula>C$15="-"</formula>
    </cfRule>
  </conditionalFormatting>
  <conditionalFormatting sqref="AH15:AH76">
    <cfRule type="expression" dxfId="16" priority="11" stopIfTrue="1">
      <formula>AH$15="-"</formula>
    </cfRule>
  </conditionalFormatting>
  <conditionalFormatting sqref="AV15">
    <cfRule type="expression" dxfId="15" priority="10" stopIfTrue="1">
      <formula>AV$15="-"</formula>
    </cfRule>
  </conditionalFormatting>
  <conditionalFormatting sqref="AV17:AV76">
    <cfRule type="expression" dxfId="14" priority="9" stopIfTrue="1">
      <formula>AV$15="-"</formula>
    </cfRule>
  </conditionalFormatting>
  <conditionalFormatting sqref="BI15">
    <cfRule type="expression" dxfId="13" priority="8" stopIfTrue="1">
      <formula>BI$15="-"</formula>
    </cfRule>
  </conditionalFormatting>
  <conditionalFormatting sqref="BI17:BI76">
    <cfRule type="expression" dxfId="12" priority="7" stopIfTrue="1">
      <formula>BI$15="-"</formula>
    </cfRule>
  </conditionalFormatting>
  <conditionalFormatting sqref="BW15">
    <cfRule type="expression" dxfId="11" priority="6" stopIfTrue="1">
      <formula>BW$15="-"</formula>
    </cfRule>
  </conditionalFormatting>
  <conditionalFormatting sqref="BW17:BW76">
    <cfRule type="expression" dxfId="10" priority="5" stopIfTrue="1">
      <formula>BW$15="-"</formula>
    </cfRule>
  </conditionalFormatting>
  <conditionalFormatting sqref="AV17:AV76">
    <cfRule type="expression" dxfId="9" priority="4" stopIfTrue="1">
      <formula>AV$15="-"</formula>
    </cfRule>
  </conditionalFormatting>
  <conditionalFormatting sqref="BI17:BI76">
    <cfRule type="expression" dxfId="8" priority="3" stopIfTrue="1">
      <formula>BI$15="-"</formula>
    </cfRule>
  </conditionalFormatting>
  <conditionalFormatting sqref="BW17:BW76">
    <cfRule type="expression" dxfId="7" priority="2" stopIfTrue="1">
      <formula>BW$15="-"</formula>
    </cfRule>
  </conditionalFormatting>
  <conditionalFormatting sqref="AW4:AW6">
    <cfRule type="expression" dxfId="6" priority="1" stopIfTrue="1">
      <formula>AW$4="-"</formula>
    </cfRule>
  </conditionalFormatting>
  <dataValidations disablePrompts="1" count="2">
    <dataValidation type="custom" allowBlank="1" showInputMessage="1" showErrorMessage="1" errorTitle="매립년도 확인" error="매립시작 및 매립종료 년도 입력을 확인하세요 " sqref="V22" xr:uid="{00000000-0002-0000-0400-000000000000}">
      <formula1>IF(AND(C22&lt;&gt;0,V22=0),FALSE,TRUE)</formula1>
    </dataValidation>
    <dataValidation type="custom" errorStyle="warning" allowBlank="1" showInputMessage="1" errorTitle="매립년도 확인" error="매립시작 및 매립종료 연도를 확인하세요._x000a_매립시작연도 이전과 매립종료년도 이후는 매립량 합계가 0으로 처리됩니다." promptTitle="[매립 총량 입력]" prompt="각 년도별 폐기물 매립 총량(입력 조성별 매립량 합계)을 입력하세요." sqref="C17:C76" xr:uid="{00000000-0002-0000-0400-000001000000}">
      <formula1>AND(V17&lt;&gt;0,SUM(D17:P17)&lt;&gt;0)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40" orientation="landscape" blackAndWhite="1" horizontalDpi="300" verticalDpi="300" r:id="rId1"/>
  <ignoredErrors>
    <ignoredError sqref="V17:V46" formulaRange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Drop Down 8">
              <controlPr defaultSize="0" autoLine="0" autoPict="0" altText="단위">
                <anchor moveWithCells="1">
                  <from>
                    <xdr:col>2</xdr:col>
                    <xdr:colOff>0</xdr:colOff>
                    <xdr:row>7</xdr:row>
                    <xdr:rowOff>295275</xdr:rowOff>
                  </from>
                  <to>
                    <xdr:col>2</xdr:col>
                    <xdr:colOff>1076325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Drop Down 34">
              <controlPr defaultSize="0" autoLine="0" autoPict="0" altText="단위">
                <anchor moveWithCells="1">
                  <from>
                    <xdr:col>2</xdr:col>
                    <xdr:colOff>0</xdr:colOff>
                    <xdr:row>8</xdr:row>
                    <xdr:rowOff>304800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8" r:id="rId6" name="Drop Down 1304">
              <controlPr defaultSize="0" autoLine="0" autoPict="0" altText="단위">
                <anchor moveWithCells="1">
                  <from>
                    <xdr:col>2</xdr:col>
                    <xdr:colOff>0</xdr:colOff>
                    <xdr:row>9</xdr:row>
                    <xdr:rowOff>304800</xdr:rowOff>
                  </from>
                  <to>
                    <xdr:col>3</xdr:col>
                    <xdr:colOff>742950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pageSetUpPr fitToPage="1"/>
  </sheetPr>
  <dimension ref="A1:Q27"/>
  <sheetViews>
    <sheetView tabSelected="1" zoomScale="80" zoomScaleNormal="80" workbookViewId="0">
      <selection activeCell="G21" sqref="G21"/>
    </sheetView>
  </sheetViews>
  <sheetFormatPr defaultColWidth="0" defaultRowHeight="16.5" zeroHeight="1" x14ac:dyDescent="0.3"/>
  <cols>
    <col min="1" max="1" width="3.375" style="23" customWidth="1"/>
    <col min="2" max="2" width="17.75" style="23" bestFit="1" customWidth="1"/>
    <col min="3" max="3" width="19.625" style="23" customWidth="1"/>
    <col min="4" max="4" width="13" style="23" bestFit="1" customWidth="1"/>
    <col min="5" max="5" width="14.125" style="23" customWidth="1"/>
    <col min="6" max="6" width="16.75" style="23" customWidth="1"/>
    <col min="7" max="7" width="16.125" style="23" customWidth="1"/>
    <col min="8" max="8" width="21.125" style="23" customWidth="1"/>
    <col min="9" max="9" width="23.5" style="23" bestFit="1" customWidth="1"/>
    <col min="10" max="12" width="18.75" style="23" customWidth="1"/>
    <col min="13" max="13" width="4" style="23" customWidth="1"/>
    <col min="14" max="16384" width="9" style="23" hidden="1"/>
  </cols>
  <sheetData>
    <row r="1" spans="1:17" s="22" customFormat="1" ht="26.25" customHeight="1" x14ac:dyDescent="0.3">
      <c r="A1" s="21"/>
      <c r="B1" s="1114" t="s">
        <v>29</v>
      </c>
      <c r="C1" s="1114"/>
      <c r="D1" s="1115" t="s">
        <v>28</v>
      </c>
      <c r="E1" s="1115"/>
      <c r="F1" s="1133"/>
      <c r="G1" s="1133"/>
    </row>
    <row r="2" spans="1:17" s="22" customFormat="1" ht="26.25" customHeight="1" x14ac:dyDescent="0.3">
      <c r="A2" s="21"/>
      <c r="B2" s="1114" t="s">
        <v>30</v>
      </c>
      <c r="C2" s="1114"/>
      <c r="D2" s="1115" t="s">
        <v>33</v>
      </c>
      <c r="E2" s="1115"/>
      <c r="F2" s="1133"/>
      <c r="G2" s="1133"/>
    </row>
    <row r="3" spans="1:17" s="22" customFormat="1" ht="26.25" customHeight="1" x14ac:dyDescent="0.3">
      <c r="A3" s="21"/>
      <c r="B3" s="1114" t="s">
        <v>58</v>
      </c>
      <c r="C3" s="1114"/>
      <c r="D3" s="1115" t="s">
        <v>31</v>
      </c>
      <c r="E3" s="1115"/>
      <c r="F3" s="1133"/>
      <c r="G3" s="1133"/>
    </row>
    <row r="4" spans="1:17" ht="17.25" thickBot="1" x14ac:dyDescent="0.35"/>
    <row r="5" spans="1:17" ht="22.5" customHeight="1" x14ac:dyDescent="0.3">
      <c r="A5" s="394" t="s">
        <v>233</v>
      </c>
      <c r="B5" s="395" t="s">
        <v>61</v>
      </c>
      <c r="C5" s="3">
        <v>1</v>
      </c>
      <c r="E5" s="382" t="s">
        <v>467</v>
      </c>
      <c r="F5" s="396"/>
      <c r="G5" s="396"/>
      <c r="H5" s="396"/>
      <c r="I5" s="396"/>
      <c r="J5" s="397"/>
      <c r="K5" s="398"/>
      <c r="L5" s="399"/>
    </row>
    <row r="6" spans="1:17" ht="22.5" customHeight="1" x14ac:dyDescent="0.3">
      <c r="A6" s="123"/>
      <c r="B6" s="400"/>
      <c r="C6" s="401"/>
      <c r="D6" s="123"/>
      <c r="E6" s="383" t="s">
        <v>592</v>
      </c>
      <c r="F6" s="402"/>
      <c r="G6" s="402"/>
      <c r="H6" s="402"/>
      <c r="I6" s="402"/>
      <c r="J6" s="403"/>
      <c r="K6" s="404"/>
      <c r="L6" s="405"/>
      <c r="M6" s="406"/>
      <c r="N6" s="406"/>
      <c r="O6" s="406"/>
      <c r="P6" s="406"/>
    </row>
    <row r="7" spans="1:17" ht="22.5" customHeight="1" x14ac:dyDescent="0.3">
      <c r="A7" s="123"/>
      <c r="B7" s="407"/>
      <c r="C7" s="401"/>
      <c r="D7" s="123"/>
      <c r="E7" s="383" t="s">
        <v>468</v>
      </c>
      <c r="F7" s="402"/>
      <c r="G7" s="402"/>
      <c r="H7" s="402"/>
      <c r="I7" s="402"/>
      <c r="J7" s="403"/>
      <c r="K7" s="404"/>
      <c r="L7" s="405"/>
      <c r="M7" s="406"/>
      <c r="N7" s="406"/>
      <c r="O7" s="406"/>
      <c r="P7" s="406"/>
    </row>
    <row r="8" spans="1:17" ht="22.5" customHeight="1" thickBot="1" x14ac:dyDescent="0.35">
      <c r="E8" s="384" t="s">
        <v>323</v>
      </c>
      <c r="F8" s="408"/>
      <c r="G8" s="408"/>
      <c r="H8" s="408"/>
      <c r="I8" s="408"/>
      <c r="J8" s="409"/>
      <c r="K8" s="410"/>
      <c r="L8" s="411"/>
      <c r="M8" s="406"/>
      <c r="N8" s="406"/>
      <c r="O8" s="406"/>
      <c r="P8" s="406"/>
    </row>
    <row r="9" spans="1:17" ht="17.25" thickBot="1" x14ac:dyDescent="0.35">
      <c r="M9" s="406"/>
      <c r="N9" s="406"/>
      <c r="O9" s="406"/>
      <c r="P9" s="406"/>
    </row>
    <row r="10" spans="1:17" ht="27" customHeight="1" x14ac:dyDescent="0.3">
      <c r="B10" s="1137" t="s">
        <v>204</v>
      </c>
      <c r="C10" s="1138"/>
      <c r="D10" s="1143" t="s">
        <v>236</v>
      </c>
      <c r="E10" s="1144"/>
      <c r="F10" s="1134" t="s">
        <v>237</v>
      </c>
      <c r="G10" s="1134"/>
      <c r="H10" s="1127" t="s">
        <v>283</v>
      </c>
      <c r="I10" s="1128"/>
      <c r="J10" s="1129"/>
      <c r="K10" s="1129"/>
      <c r="L10" s="1130"/>
      <c r="N10" s="406"/>
      <c r="O10" s="406"/>
      <c r="P10" s="406"/>
      <c r="Q10" s="406"/>
    </row>
    <row r="11" spans="1:17" ht="27" customHeight="1" x14ac:dyDescent="0.3">
      <c r="B11" s="1139"/>
      <c r="C11" s="1140"/>
      <c r="D11" s="378" t="s">
        <v>340</v>
      </c>
      <c r="E11" s="412" t="s">
        <v>341</v>
      </c>
      <c r="F11" s="413" t="s">
        <v>342</v>
      </c>
      <c r="G11" s="414" t="s">
        <v>343</v>
      </c>
      <c r="H11" s="415" t="s">
        <v>40</v>
      </c>
      <c r="I11" s="414" t="s">
        <v>41</v>
      </c>
      <c r="J11" s="416" t="s">
        <v>78</v>
      </c>
      <c r="K11" s="417" t="s">
        <v>42</v>
      </c>
      <c r="L11" s="418" t="s">
        <v>288</v>
      </c>
      <c r="N11" s="406"/>
      <c r="O11" s="406"/>
      <c r="P11" s="406"/>
      <c r="Q11" s="406"/>
    </row>
    <row r="12" spans="1:17" ht="34.5" x14ac:dyDescent="0.3">
      <c r="B12" s="1141"/>
      <c r="C12" s="1142"/>
      <c r="D12" s="419" t="s">
        <v>205</v>
      </c>
      <c r="E12" s="420" t="s">
        <v>324</v>
      </c>
      <c r="F12" s="178" t="s">
        <v>365</v>
      </c>
      <c r="G12" s="31" t="s">
        <v>364</v>
      </c>
      <c r="H12" s="421" t="s">
        <v>670</v>
      </c>
      <c r="I12" s="34" t="s">
        <v>362</v>
      </c>
      <c r="J12" s="422" t="s">
        <v>659</v>
      </c>
      <c r="K12" s="423" t="s">
        <v>661</v>
      </c>
      <c r="L12" s="424" t="s">
        <v>363</v>
      </c>
      <c r="N12" s="406"/>
      <c r="O12" s="406"/>
      <c r="P12" s="406"/>
      <c r="Q12" s="406"/>
    </row>
    <row r="13" spans="1:17" ht="69.75" thickBot="1" x14ac:dyDescent="0.35">
      <c r="B13" s="425"/>
      <c r="C13" s="426"/>
      <c r="D13" s="427"/>
      <c r="E13" s="428"/>
      <c r="F13" s="428"/>
      <c r="G13" s="428"/>
      <c r="H13" s="429" t="s">
        <v>669</v>
      </c>
      <c r="I13" s="430" t="s">
        <v>671</v>
      </c>
      <c r="J13" s="416" t="s">
        <v>658</v>
      </c>
      <c r="K13" s="417" t="s">
        <v>660</v>
      </c>
      <c r="L13" s="781" t="s">
        <v>662</v>
      </c>
      <c r="N13" s="406"/>
      <c r="O13" s="406"/>
      <c r="P13" s="406"/>
      <c r="Q13" s="406"/>
    </row>
    <row r="14" spans="1:17" s="20" customFormat="1" ht="26.25" customHeight="1" thickBot="1" x14ac:dyDescent="0.35">
      <c r="B14" s="1135" t="s">
        <v>206</v>
      </c>
      <c r="C14" s="1136"/>
      <c r="D14" s="614"/>
      <c r="E14" s="615"/>
      <c r="F14" s="616"/>
      <c r="G14" s="616"/>
      <c r="H14" s="782">
        <f>SUM(H15:H26)</f>
        <v>272.423</v>
      </c>
      <c r="I14" s="783">
        <f>SUM(I15:I26)</f>
        <v>276.96666666666664</v>
      </c>
      <c r="J14" s="801">
        <f>SUM(J15:J26)</f>
        <v>169966.66666666666</v>
      </c>
      <c r="K14" s="784">
        <f>SUM(K15:K26)</f>
        <v>13432</v>
      </c>
      <c r="L14" s="785">
        <f>SUM(L15:L26)</f>
        <v>7733.2199999999993</v>
      </c>
    </row>
    <row r="15" spans="1:17" s="20" customFormat="1" ht="21" customHeight="1" x14ac:dyDescent="0.3">
      <c r="B15" s="1131" t="s">
        <v>207</v>
      </c>
      <c r="C15" s="431" t="s">
        <v>208</v>
      </c>
      <c r="D15" s="845">
        <f>46*365</f>
        <v>16790</v>
      </c>
      <c r="E15" s="846">
        <v>50</v>
      </c>
      <c r="F15" s="617">
        <f>EF_Comp_CH4</f>
        <v>10</v>
      </c>
      <c r="G15" s="618">
        <f>EF_Comp_N2O</f>
        <v>0.6</v>
      </c>
      <c r="H15" s="786">
        <f t="shared" ref="H15:H26" si="0">$D15*F15*10^-3</f>
        <v>167.9</v>
      </c>
      <c r="I15" s="787">
        <f t="shared" ref="I15:I26" si="1">IF(H15*0.75&gt;=$E15,$H15,$E15*(1/0.75))</f>
        <v>167.9</v>
      </c>
      <c r="J15" s="788">
        <f t="shared" ref="J15:J26" si="2">(I15-E15)*10^3</f>
        <v>117900</v>
      </c>
      <c r="K15" s="789">
        <f>$D15*G15</f>
        <v>10074</v>
      </c>
      <c r="L15" s="790">
        <f t="shared" ref="L15:L26" si="3">(J15*GWP_CH4+K15*GWP_N2O)*10^-3</f>
        <v>5598.84</v>
      </c>
    </row>
    <row r="16" spans="1:17" s="20" customFormat="1" ht="21" customHeight="1" x14ac:dyDescent="0.3">
      <c r="B16" s="1131"/>
      <c r="C16" s="432"/>
      <c r="D16" s="847"/>
      <c r="E16" s="848"/>
      <c r="F16" s="619">
        <f>EF_Comp_CH4</f>
        <v>10</v>
      </c>
      <c r="G16" s="620">
        <f>EF_Comp_N2O</f>
        <v>0.6</v>
      </c>
      <c r="H16" s="791">
        <f t="shared" si="0"/>
        <v>0</v>
      </c>
      <c r="I16" s="792">
        <f t="shared" si="1"/>
        <v>0</v>
      </c>
      <c r="J16" s="793">
        <f t="shared" si="2"/>
        <v>0</v>
      </c>
      <c r="K16" s="794">
        <f t="shared" ref="K16:K26" si="4">$D16*G16</f>
        <v>0</v>
      </c>
      <c r="L16" s="795">
        <f t="shared" si="3"/>
        <v>0</v>
      </c>
    </row>
    <row r="17" spans="2:12" s="20" customFormat="1" ht="21" customHeight="1" x14ac:dyDescent="0.3">
      <c r="B17" s="1131"/>
      <c r="C17" s="432"/>
      <c r="D17" s="847"/>
      <c r="E17" s="848"/>
      <c r="F17" s="619">
        <f>EF_Comp_CH4</f>
        <v>10</v>
      </c>
      <c r="G17" s="620">
        <f>EF_Comp_N2O</f>
        <v>0.6</v>
      </c>
      <c r="H17" s="791">
        <f t="shared" si="0"/>
        <v>0</v>
      </c>
      <c r="I17" s="792">
        <f t="shared" si="1"/>
        <v>0</v>
      </c>
      <c r="J17" s="793">
        <f t="shared" si="2"/>
        <v>0</v>
      </c>
      <c r="K17" s="794">
        <f t="shared" si="4"/>
        <v>0</v>
      </c>
      <c r="L17" s="795">
        <f t="shared" si="3"/>
        <v>0</v>
      </c>
    </row>
    <row r="18" spans="2:12" s="20" customFormat="1" ht="21" customHeight="1" x14ac:dyDescent="0.3">
      <c r="B18" s="1131"/>
      <c r="C18" s="432"/>
      <c r="D18" s="847">
        <v>16790</v>
      </c>
      <c r="E18" s="848">
        <v>50</v>
      </c>
      <c r="F18" s="621">
        <v>3.7</v>
      </c>
      <c r="G18" s="622">
        <v>0.2</v>
      </c>
      <c r="H18" s="791">
        <f t="shared" si="0"/>
        <v>62.123000000000005</v>
      </c>
      <c r="I18" s="792">
        <f t="shared" si="1"/>
        <v>66.666666666666657</v>
      </c>
      <c r="J18" s="793">
        <f t="shared" si="2"/>
        <v>16666.666666666657</v>
      </c>
      <c r="K18" s="794">
        <f t="shared" si="4"/>
        <v>3358</v>
      </c>
      <c r="L18" s="795">
        <f t="shared" si="3"/>
        <v>1390.9799999999998</v>
      </c>
    </row>
    <row r="19" spans="2:12" s="20" customFormat="1" ht="21" customHeight="1" x14ac:dyDescent="0.3">
      <c r="B19" s="1131"/>
      <c r="C19" s="432"/>
      <c r="D19" s="847"/>
      <c r="E19" s="848"/>
      <c r="F19" s="621"/>
      <c r="G19" s="622"/>
      <c r="H19" s="791">
        <f t="shared" si="0"/>
        <v>0</v>
      </c>
      <c r="I19" s="792">
        <f t="shared" si="1"/>
        <v>0</v>
      </c>
      <c r="J19" s="793">
        <f t="shared" si="2"/>
        <v>0</v>
      </c>
      <c r="K19" s="794">
        <f t="shared" si="4"/>
        <v>0</v>
      </c>
      <c r="L19" s="795">
        <f t="shared" si="3"/>
        <v>0</v>
      </c>
    </row>
    <row r="20" spans="2:12" s="20" customFormat="1" ht="21" customHeight="1" thickBot="1" x14ac:dyDescent="0.35">
      <c r="B20" s="1131"/>
      <c r="C20" s="433"/>
      <c r="D20" s="849"/>
      <c r="E20" s="850"/>
      <c r="F20" s="623"/>
      <c r="G20" s="624"/>
      <c r="H20" s="796">
        <f t="shared" si="0"/>
        <v>0</v>
      </c>
      <c r="I20" s="797">
        <f t="shared" si="1"/>
        <v>0</v>
      </c>
      <c r="J20" s="798">
        <f t="shared" si="2"/>
        <v>0</v>
      </c>
      <c r="K20" s="799">
        <f t="shared" si="4"/>
        <v>0</v>
      </c>
      <c r="L20" s="800">
        <f t="shared" si="3"/>
        <v>0</v>
      </c>
    </row>
    <row r="21" spans="2:12" s="20" customFormat="1" ht="21" customHeight="1" x14ac:dyDescent="0.3">
      <c r="B21" s="1131"/>
      <c r="C21" s="431" t="s">
        <v>209</v>
      </c>
      <c r="D21" s="845">
        <v>21200</v>
      </c>
      <c r="E21" s="846">
        <v>7</v>
      </c>
      <c r="F21" s="617">
        <f>EF_Digest_CH4</f>
        <v>2</v>
      </c>
      <c r="G21" s="625">
        <f>EF_Digest_N2O</f>
        <v>0</v>
      </c>
      <c r="H21" s="786">
        <f t="shared" si="0"/>
        <v>42.4</v>
      </c>
      <c r="I21" s="787">
        <f t="shared" si="1"/>
        <v>42.4</v>
      </c>
      <c r="J21" s="788">
        <f t="shared" si="2"/>
        <v>35400</v>
      </c>
      <c r="K21" s="789">
        <f t="shared" si="4"/>
        <v>0</v>
      </c>
      <c r="L21" s="790">
        <f t="shared" si="3"/>
        <v>743.4</v>
      </c>
    </row>
    <row r="22" spans="2:12" s="20" customFormat="1" ht="21" customHeight="1" x14ac:dyDescent="0.3">
      <c r="B22" s="1131"/>
      <c r="C22" s="432"/>
      <c r="D22" s="847"/>
      <c r="E22" s="848"/>
      <c r="F22" s="619">
        <f>EF_Digest_CH4</f>
        <v>2</v>
      </c>
      <c r="G22" s="626">
        <f>EF_Digest_N2O</f>
        <v>0</v>
      </c>
      <c r="H22" s="791">
        <f t="shared" si="0"/>
        <v>0</v>
      </c>
      <c r="I22" s="792">
        <f t="shared" si="1"/>
        <v>0</v>
      </c>
      <c r="J22" s="793">
        <f t="shared" si="2"/>
        <v>0</v>
      </c>
      <c r="K22" s="794">
        <f t="shared" si="4"/>
        <v>0</v>
      </c>
      <c r="L22" s="795">
        <f t="shared" si="3"/>
        <v>0</v>
      </c>
    </row>
    <row r="23" spans="2:12" s="20" customFormat="1" ht="21" customHeight="1" x14ac:dyDescent="0.3">
      <c r="B23" s="1131"/>
      <c r="C23" s="432"/>
      <c r="D23" s="847"/>
      <c r="E23" s="848"/>
      <c r="F23" s="619">
        <f>EF_Digest_CH4</f>
        <v>2</v>
      </c>
      <c r="G23" s="626">
        <f>EF_Digest_N2O</f>
        <v>0</v>
      </c>
      <c r="H23" s="791">
        <f t="shared" si="0"/>
        <v>0</v>
      </c>
      <c r="I23" s="792">
        <f t="shared" si="1"/>
        <v>0</v>
      </c>
      <c r="J23" s="793">
        <f t="shared" si="2"/>
        <v>0</v>
      </c>
      <c r="K23" s="794">
        <f t="shared" si="4"/>
        <v>0</v>
      </c>
      <c r="L23" s="795">
        <f t="shared" si="3"/>
        <v>0</v>
      </c>
    </row>
    <row r="24" spans="2:12" s="20" customFormat="1" ht="21" customHeight="1" x14ac:dyDescent="0.3">
      <c r="B24" s="1131"/>
      <c r="C24" s="432"/>
      <c r="D24" s="847"/>
      <c r="E24" s="848"/>
      <c r="F24" s="621"/>
      <c r="G24" s="622"/>
      <c r="H24" s="791">
        <f t="shared" si="0"/>
        <v>0</v>
      </c>
      <c r="I24" s="792">
        <f t="shared" si="1"/>
        <v>0</v>
      </c>
      <c r="J24" s="793">
        <f t="shared" si="2"/>
        <v>0</v>
      </c>
      <c r="K24" s="794">
        <f t="shared" si="4"/>
        <v>0</v>
      </c>
      <c r="L24" s="795">
        <f t="shared" si="3"/>
        <v>0</v>
      </c>
    </row>
    <row r="25" spans="2:12" s="20" customFormat="1" ht="21" customHeight="1" x14ac:dyDescent="0.3">
      <c r="B25" s="1131"/>
      <c r="C25" s="432"/>
      <c r="D25" s="847"/>
      <c r="E25" s="848"/>
      <c r="F25" s="621"/>
      <c r="G25" s="622"/>
      <c r="H25" s="791">
        <f t="shared" si="0"/>
        <v>0</v>
      </c>
      <c r="I25" s="792">
        <f t="shared" si="1"/>
        <v>0</v>
      </c>
      <c r="J25" s="793">
        <f t="shared" si="2"/>
        <v>0</v>
      </c>
      <c r="K25" s="794">
        <f t="shared" si="4"/>
        <v>0</v>
      </c>
      <c r="L25" s="795">
        <f t="shared" si="3"/>
        <v>0</v>
      </c>
    </row>
    <row r="26" spans="2:12" s="20" customFormat="1" ht="21" customHeight="1" thickBot="1" x14ac:dyDescent="0.35">
      <c r="B26" s="1132"/>
      <c r="C26" s="433"/>
      <c r="D26" s="849"/>
      <c r="E26" s="850"/>
      <c r="F26" s="623"/>
      <c r="G26" s="624"/>
      <c r="H26" s="796">
        <f t="shared" si="0"/>
        <v>0</v>
      </c>
      <c r="I26" s="797">
        <f t="shared" si="1"/>
        <v>0</v>
      </c>
      <c r="J26" s="798">
        <f t="shared" si="2"/>
        <v>0</v>
      </c>
      <c r="K26" s="799">
        <f t="shared" si="4"/>
        <v>0</v>
      </c>
      <c r="L26" s="800">
        <f t="shared" si="3"/>
        <v>0</v>
      </c>
    </row>
    <row r="27" spans="2:12" x14ac:dyDescent="0.3"/>
  </sheetData>
  <mergeCells count="12">
    <mergeCell ref="H10:L10"/>
    <mergeCell ref="B15:B26"/>
    <mergeCell ref="D1:G1"/>
    <mergeCell ref="D2:G2"/>
    <mergeCell ref="D3:G3"/>
    <mergeCell ref="F10:G10"/>
    <mergeCell ref="B14:C14"/>
    <mergeCell ref="B1:C1"/>
    <mergeCell ref="B10:C12"/>
    <mergeCell ref="B2:C2"/>
    <mergeCell ref="B3:C3"/>
    <mergeCell ref="D10:E10"/>
  </mergeCells>
  <phoneticPr fontId="2" type="noConversion"/>
  <conditionalFormatting sqref="D15:D26">
    <cfRule type="expression" dxfId="5" priority="1" stopIfTrue="1">
      <formula>SUM($D$15:$D$35)&lt;1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62" orientation="landscape" blackAndWhite="1" horizontalDpi="300" verticalDpi="300" r:id="rId1"/>
  <ignoredErrors>
    <ignoredError sqref="D15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 altText="단위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IV28"/>
  <sheetViews>
    <sheetView zoomScale="80" zoomScaleNormal="80" workbookViewId="0">
      <selection activeCell="N16" sqref="N16"/>
    </sheetView>
  </sheetViews>
  <sheetFormatPr defaultColWidth="0" defaultRowHeight="13.5" zeroHeight="1" x14ac:dyDescent="0.3"/>
  <cols>
    <col min="1" max="1" width="3.125" style="11" bestFit="1" customWidth="1"/>
    <col min="2" max="2" width="16.375" style="11" bestFit="1" customWidth="1"/>
    <col min="3" max="3" width="24" style="11" customWidth="1"/>
    <col min="4" max="4" width="17.375" style="11" customWidth="1"/>
    <col min="5" max="5" width="9.5" style="11" customWidth="1"/>
    <col min="6" max="6" width="13.25" style="11" customWidth="1"/>
    <col min="7" max="7" width="9.625" style="11" bestFit="1" customWidth="1"/>
    <col min="8" max="8" width="13.125" style="11" customWidth="1"/>
    <col min="9" max="10" width="8" style="11" bestFit="1" customWidth="1"/>
    <col min="11" max="11" width="15.625" style="11" bestFit="1" customWidth="1"/>
    <col min="12" max="13" width="8" style="11" bestFit="1" customWidth="1"/>
    <col min="14" max="14" width="19.875" style="11" customWidth="1"/>
    <col min="15" max="16" width="16" style="11" customWidth="1"/>
    <col min="17" max="17" width="18.625" style="11" bestFit="1" customWidth="1"/>
    <col min="18" max="18" width="9" style="11" customWidth="1"/>
    <col min="19" max="255" width="9" style="11" hidden="1"/>
    <col min="256" max="256" width="2.875" style="11" hidden="1" customWidth="1"/>
    <col min="257" max="16384" width="9" style="11" hidden="1"/>
  </cols>
  <sheetData>
    <row r="1" spans="1:17" s="10" customFormat="1" ht="26.25" customHeight="1" x14ac:dyDescent="0.3">
      <c r="A1" s="8"/>
      <c r="B1" s="1114" t="s">
        <v>52</v>
      </c>
      <c r="C1" s="1114"/>
      <c r="D1" s="1115" t="s">
        <v>53</v>
      </c>
      <c r="E1" s="1115"/>
      <c r="F1" s="1115"/>
      <c r="G1" s="1115"/>
      <c r="H1" s="1115"/>
      <c r="I1" s="1150"/>
      <c r="J1" s="1150"/>
      <c r="K1" s="9"/>
      <c r="L1" s="9"/>
      <c r="M1" s="9"/>
    </row>
    <row r="2" spans="1:17" s="10" customFormat="1" ht="26.25" customHeight="1" x14ac:dyDescent="0.3">
      <c r="A2" s="8"/>
      <c r="B2" s="1114" t="s">
        <v>54</v>
      </c>
      <c r="C2" s="1114"/>
      <c r="D2" s="1115" t="s">
        <v>55</v>
      </c>
      <c r="E2" s="1115"/>
      <c r="F2" s="1115"/>
      <c r="G2" s="1115"/>
      <c r="H2" s="1115"/>
      <c r="I2" s="1150"/>
      <c r="J2" s="1150"/>
      <c r="K2" s="9"/>
      <c r="L2" s="9"/>
      <c r="M2" s="9"/>
    </row>
    <row r="3" spans="1:17" s="10" customFormat="1" ht="26.25" customHeight="1" x14ac:dyDescent="0.3">
      <c r="A3" s="8"/>
      <c r="B3" s="1114" t="s">
        <v>59</v>
      </c>
      <c r="C3" s="1114"/>
      <c r="D3" s="1115" t="s">
        <v>56</v>
      </c>
      <c r="E3" s="1115"/>
      <c r="F3" s="1115"/>
      <c r="G3" s="1115"/>
      <c r="H3" s="1115"/>
      <c r="I3" s="1150"/>
      <c r="J3" s="1150"/>
      <c r="K3" s="9"/>
      <c r="L3" s="9"/>
      <c r="M3" s="9"/>
    </row>
    <row r="4" spans="1:17" ht="14.25" thickBot="1" x14ac:dyDescent="0.35">
      <c r="B4" s="12"/>
      <c r="C4" s="13"/>
    </row>
    <row r="5" spans="1:17" ht="24" customHeight="1" x14ac:dyDescent="0.3">
      <c r="A5" s="14" t="s">
        <v>231</v>
      </c>
      <c r="B5" s="216" t="s">
        <v>43</v>
      </c>
      <c r="C5" s="437">
        <v>2</v>
      </c>
      <c r="D5" s="218" t="s">
        <v>441</v>
      </c>
      <c r="F5" s="434" t="s">
        <v>285</v>
      </c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30"/>
    </row>
    <row r="6" spans="1:17" ht="24" customHeight="1" x14ac:dyDescent="0.3">
      <c r="B6" s="217" t="s">
        <v>439</v>
      </c>
      <c r="C6" s="438">
        <v>3</v>
      </c>
      <c r="D6" s="218" t="s">
        <v>442</v>
      </c>
      <c r="F6" s="435" t="s">
        <v>286</v>
      </c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31"/>
    </row>
    <row r="7" spans="1:17" ht="24" customHeight="1" x14ac:dyDescent="0.3">
      <c r="B7" s="217" t="s">
        <v>440</v>
      </c>
      <c r="C7" s="438">
        <v>1</v>
      </c>
      <c r="D7" s="218" t="s">
        <v>443</v>
      </c>
      <c r="F7" s="435" t="s">
        <v>326</v>
      </c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31"/>
    </row>
    <row r="8" spans="1:17" ht="22.5" customHeight="1" thickBot="1" x14ac:dyDescent="0.35">
      <c r="F8" s="436" t="s">
        <v>287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32"/>
    </row>
    <row r="9" spans="1:17" x14ac:dyDescent="0.3"/>
    <row r="10" spans="1:17" ht="24" customHeight="1" x14ac:dyDescent="0.3">
      <c r="B10" s="1153" t="s">
        <v>45</v>
      </c>
      <c r="C10" s="1154"/>
      <c r="D10" s="1161" t="s">
        <v>238</v>
      </c>
      <c r="E10" s="1162"/>
      <c r="F10" s="1148" t="s">
        <v>239</v>
      </c>
      <c r="G10" s="1149"/>
      <c r="H10" s="1149"/>
      <c r="I10" s="1149"/>
      <c r="J10" s="1149"/>
      <c r="K10" s="1149"/>
      <c r="L10" s="1149"/>
      <c r="M10" s="1149"/>
      <c r="N10" s="1145" t="s">
        <v>240</v>
      </c>
      <c r="O10" s="1146"/>
      <c r="P10" s="1146"/>
      <c r="Q10" s="1147"/>
    </row>
    <row r="11" spans="1:17" ht="24" customHeight="1" x14ac:dyDescent="0.3">
      <c r="B11" s="1155"/>
      <c r="C11" s="1156"/>
      <c r="D11" s="1151" t="s">
        <v>36</v>
      </c>
      <c r="E11" s="1152"/>
      <c r="F11" s="212" t="s">
        <v>37</v>
      </c>
      <c r="G11" s="16" t="s">
        <v>38</v>
      </c>
      <c r="H11" s="16" t="s">
        <v>39</v>
      </c>
      <c r="I11" s="16" t="s">
        <v>40</v>
      </c>
      <c r="J11" s="152" t="s">
        <v>41</v>
      </c>
      <c r="K11" s="156" t="s">
        <v>78</v>
      </c>
      <c r="L11" s="145" t="s">
        <v>42</v>
      </c>
      <c r="M11" s="152" t="s">
        <v>288</v>
      </c>
      <c r="N11" s="214" t="s">
        <v>366</v>
      </c>
      <c r="O11" s="16" t="s">
        <v>367</v>
      </c>
      <c r="P11" s="16" t="s">
        <v>368</v>
      </c>
      <c r="Q11" s="16" t="s">
        <v>369</v>
      </c>
    </row>
    <row r="12" spans="1:17" ht="57.75" customHeight="1" x14ac:dyDescent="0.3">
      <c r="B12" s="1155"/>
      <c r="C12" s="1156"/>
      <c r="D12" s="144" t="s">
        <v>46</v>
      </c>
      <c r="E12" s="146" t="s">
        <v>284</v>
      </c>
      <c r="F12" s="213" t="s">
        <v>47</v>
      </c>
      <c r="G12" s="17" t="s">
        <v>48</v>
      </c>
      <c r="H12" s="17" t="s">
        <v>49</v>
      </c>
      <c r="I12" s="17" t="s">
        <v>50</v>
      </c>
      <c r="J12" s="144" t="s">
        <v>51</v>
      </c>
      <c r="K12" s="153" t="s">
        <v>304</v>
      </c>
      <c r="L12" s="18" t="s">
        <v>664</v>
      </c>
      <c r="M12" s="144" t="s">
        <v>663</v>
      </c>
      <c r="N12" s="215" t="s">
        <v>305</v>
      </c>
      <c r="O12" s="17" t="s">
        <v>668</v>
      </c>
      <c r="P12" s="17" t="s">
        <v>661</v>
      </c>
      <c r="Q12" s="19" t="s">
        <v>292</v>
      </c>
    </row>
    <row r="13" spans="1:17" ht="32.25" customHeight="1" thickBot="1" x14ac:dyDescent="0.35">
      <c r="B13" s="1157"/>
      <c r="C13" s="1158"/>
      <c r="D13" s="165"/>
      <c r="E13" s="166"/>
      <c r="F13" s="169"/>
      <c r="G13" s="167"/>
      <c r="H13" s="167"/>
      <c r="I13" s="167"/>
      <c r="J13" s="167"/>
      <c r="K13" s="156" t="s">
        <v>289</v>
      </c>
      <c r="L13" s="169"/>
      <c r="M13" s="167"/>
      <c r="N13" s="214" t="s">
        <v>290</v>
      </c>
      <c r="O13" s="16" t="s">
        <v>665</v>
      </c>
      <c r="P13" s="16" t="s">
        <v>666</v>
      </c>
      <c r="Q13" s="802" t="s">
        <v>667</v>
      </c>
    </row>
    <row r="14" spans="1:17" s="20" customFormat="1" ht="26.25" customHeight="1" thickBot="1" x14ac:dyDescent="0.35">
      <c r="B14" s="1159" t="s">
        <v>291</v>
      </c>
      <c r="C14" s="1160"/>
      <c r="D14" s="851">
        <f>IF($C$5=1,SUM(D15:D25),SUM(D15:D27))</f>
        <v>82</v>
      </c>
      <c r="E14" s="154">
        <f>IF($C$5=1,SUM(E15:E25),SUM(E15:E27))</f>
        <v>1</v>
      </c>
      <c r="F14" s="151"/>
      <c r="G14" s="150"/>
      <c r="H14" s="150"/>
      <c r="I14" s="150"/>
      <c r="J14" s="150"/>
      <c r="K14" s="168"/>
      <c r="L14" s="613">
        <f>EF_inciner_CH4</f>
        <v>6.0000000000000001E-3</v>
      </c>
      <c r="M14" s="953">
        <f>EF_inciner_N2O</f>
        <v>39.799999999999997</v>
      </c>
      <c r="N14" s="803">
        <f>IF($C$5=1,SUM(N15:N25),SUM(N15:N27))</f>
        <v>59.837726666666669</v>
      </c>
      <c r="O14" s="807">
        <f>D14*L14</f>
        <v>0.49199999999999999</v>
      </c>
      <c r="P14" s="808">
        <f>D14*M14*10^-3</f>
        <v>3.2635999999999998</v>
      </c>
      <c r="Q14" s="809">
        <f>N14*GWP_CO2+(O14*GWP_CH4+P14*GWP_N2O)*10^-3</f>
        <v>60.859774666666667</v>
      </c>
    </row>
    <row r="15" spans="1:17" s="20" customFormat="1" ht="35.25" customHeight="1" x14ac:dyDescent="0.3">
      <c r="A15" s="202"/>
      <c r="B15" s="541" t="str">
        <f t="array" ref="B15:B27">IF($C$5=1,성상_MSW,성상_Indu_Inci)</f>
        <v>음식물</v>
      </c>
      <c r="C15" s="544" t="str">
        <f t="shared" ref="C15:C27" si="0">VLOOKUP($B15,IF($C$5=1,Param_MSW,Param_Indu_Inci),9,0)</f>
        <v>음식, 음료, 담배 등</v>
      </c>
      <c r="D15" s="852">
        <v>10</v>
      </c>
      <c r="E15" s="594">
        <f>D15/$D$14</f>
        <v>0.12195121951219512</v>
      </c>
      <c r="F15" s="595">
        <f t="shared" ref="F15:F27" si="1">VLOOKUP($B15,IF($C$5=1,Param_MSW,Param_Indu_Inci),4,0)</f>
        <v>0.4</v>
      </c>
      <c r="G15" s="596">
        <f t="shared" ref="G15:G27" si="2">VLOOKUP($B15,IF($C$5=1,Param_MSW,Param_Indu_Inci),5,0)</f>
        <v>0.15</v>
      </c>
      <c r="H15" s="596">
        <f t="shared" ref="H15:H27" si="3">VLOOKUP($B15,IF($C$5=1,Param_MSW,Param_Indu_Inci),6,0)</f>
        <v>0</v>
      </c>
      <c r="I15" s="596">
        <f t="shared" ref="I15:I27" si="4">OF</f>
        <v>1</v>
      </c>
      <c r="J15" s="597">
        <f>44/12</f>
        <v>3.6666666666666665</v>
      </c>
      <c r="K15" s="1211">
        <f>F15*G15*H15*I15*J15</f>
        <v>0</v>
      </c>
      <c r="L15" s="598"/>
      <c r="M15" s="598"/>
      <c r="N15" s="804">
        <f t="shared" ref="N15:N26" si="5">D15*F15*G15*H15*I15*J15</f>
        <v>0</v>
      </c>
      <c r="O15" s="599"/>
      <c r="P15" s="600"/>
      <c r="Q15" s="601"/>
    </row>
    <row r="16" spans="1:17" s="20" customFormat="1" ht="35.25" customHeight="1" x14ac:dyDescent="0.3">
      <c r="B16" s="542" t="str">
        <v>섬유</v>
      </c>
      <c r="C16" s="545" t="str">
        <f t="shared" si="0"/>
        <v>섬유, 폐섬유 등</v>
      </c>
      <c r="D16" s="853">
        <v>20</v>
      </c>
      <c r="E16" s="602">
        <f t="shared" ref="E16:E26" si="6">D16/$D$14</f>
        <v>0.24390243902439024</v>
      </c>
      <c r="F16" s="603">
        <f t="shared" si="1"/>
        <v>0.8</v>
      </c>
      <c r="G16" s="604">
        <f t="shared" si="2"/>
        <v>0.4</v>
      </c>
      <c r="H16" s="604">
        <f t="shared" si="3"/>
        <v>0.16</v>
      </c>
      <c r="I16" s="604">
        <f t="shared" si="4"/>
        <v>1</v>
      </c>
      <c r="J16" s="605">
        <f t="shared" ref="J16:J27" si="7">44/12</f>
        <v>3.6666666666666665</v>
      </c>
      <c r="K16" s="1212">
        <f t="shared" ref="K16:K24" si="8">F16*G16*H16*I16*J16</f>
        <v>0.18773333333333336</v>
      </c>
      <c r="L16" s="606"/>
      <c r="M16" s="606"/>
      <c r="N16" s="805">
        <f>D16*F16*G16*H16*I16*J16</f>
        <v>3.7546666666666666</v>
      </c>
      <c r="O16" s="607"/>
      <c r="P16" s="608"/>
      <c r="Q16" s="601"/>
    </row>
    <row r="17" spans="2:17" s="20" customFormat="1" ht="35.25" customHeight="1" x14ac:dyDescent="0.3">
      <c r="B17" s="542" t="str">
        <v>폐목재</v>
      </c>
      <c r="C17" s="545" t="str">
        <f t="shared" si="0"/>
        <v>목재(최종 목재 제품으로 사용된), 폐목재</v>
      </c>
      <c r="D17" s="853">
        <v>0</v>
      </c>
      <c r="E17" s="602">
        <f t="shared" si="6"/>
        <v>0</v>
      </c>
      <c r="F17" s="603">
        <f t="shared" si="1"/>
        <v>0.85</v>
      </c>
      <c r="G17" s="604">
        <f t="shared" si="2"/>
        <v>0.43</v>
      </c>
      <c r="H17" s="604">
        <f t="shared" si="3"/>
        <v>0</v>
      </c>
      <c r="I17" s="604">
        <f t="shared" si="4"/>
        <v>1</v>
      </c>
      <c r="J17" s="605">
        <f t="shared" si="7"/>
        <v>3.6666666666666665</v>
      </c>
      <c r="K17" s="1212">
        <f t="shared" si="8"/>
        <v>0</v>
      </c>
      <c r="L17" s="606"/>
      <c r="M17" s="606"/>
      <c r="N17" s="805">
        <f t="shared" si="5"/>
        <v>0</v>
      </c>
      <c r="O17" s="607"/>
      <c r="P17" s="608"/>
      <c r="Q17" s="601"/>
    </row>
    <row r="18" spans="2:17" s="20" customFormat="1" ht="35.25" customHeight="1" x14ac:dyDescent="0.3">
      <c r="B18" s="542" t="str">
        <v>제지</v>
      </c>
      <c r="C18" s="545" t="str">
        <f t="shared" si="0"/>
        <v>제지, 폐지 등</v>
      </c>
      <c r="D18" s="853">
        <v>10</v>
      </c>
      <c r="E18" s="602">
        <f t="shared" si="6"/>
        <v>0.12195121951219512</v>
      </c>
      <c r="F18" s="603">
        <f t="shared" si="1"/>
        <v>0.9</v>
      </c>
      <c r="G18" s="604">
        <f t="shared" si="2"/>
        <v>0.41</v>
      </c>
      <c r="H18" s="604">
        <f t="shared" si="3"/>
        <v>0.01</v>
      </c>
      <c r="I18" s="604">
        <f t="shared" si="4"/>
        <v>1</v>
      </c>
      <c r="J18" s="605">
        <f t="shared" si="7"/>
        <v>3.6666666666666665</v>
      </c>
      <c r="K18" s="1212">
        <f t="shared" si="8"/>
        <v>1.353E-2</v>
      </c>
      <c r="L18" s="606"/>
      <c r="M18" s="606"/>
      <c r="N18" s="805">
        <f t="shared" si="5"/>
        <v>0.1353</v>
      </c>
      <c r="O18" s="607"/>
      <c r="P18" s="608"/>
      <c r="Q18" s="601"/>
    </row>
    <row r="19" spans="2:17" s="20" customFormat="1" ht="35.25" customHeight="1" x14ac:dyDescent="0.3">
      <c r="B19" s="542" t="str">
        <v>석유제품</v>
      </c>
      <c r="C19" s="545" t="str">
        <f t="shared" si="0"/>
        <v>석유제품, 용매, 플라스틱 등</v>
      </c>
      <c r="D19" s="853">
        <v>10</v>
      </c>
      <c r="E19" s="602">
        <f t="shared" si="6"/>
        <v>0.12195121951219512</v>
      </c>
      <c r="F19" s="603">
        <f t="shared" si="1"/>
        <v>1</v>
      </c>
      <c r="G19" s="604">
        <f t="shared" si="2"/>
        <v>0.8</v>
      </c>
      <c r="H19" s="604">
        <f t="shared" si="3"/>
        <v>0.8</v>
      </c>
      <c r="I19" s="604">
        <f t="shared" si="4"/>
        <v>1</v>
      </c>
      <c r="J19" s="605">
        <f t="shared" si="7"/>
        <v>3.6666666666666665</v>
      </c>
      <c r="K19" s="1212">
        <f t="shared" si="8"/>
        <v>2.3466666666666671</v>
      </c>
      <c r="L19" s="606"/>
      <c r="M19" s="606"/>
      <c r="N19" s="805">
        <f t="shared" si="5"/>
        <v>23.466666666666669</v>
      </c>
      <c r="O19" s="607"/>
      <c r="P19" s="608"/>
      <c r="Q19" s="601"/>
    </row>
    <row r="20" spans="2:17" s="20" customFormat="1" ht="35.25" customHeight="1" x14ac:dyDescent="0.3">
      <c r="B20" s="542" t="str">
        <v>고무</v>
      </c>
      <c r="C20" s="545" t="str">
        <f t="shared" si="0"/>
        <v>폐합성고무(천연고무가 아닌)</v>
      </c>
      <c r="D20" s="853">
        <v>10</v>
      </c>
      <c r="E20" s="602">
        <f t="shared" si="6"/>
        <v>0.12195121951219512</v>
      </c>
      <c r="F20" s="603">
        <f t="shared" si="1"/>
        <v>0.84</v>
      </c>
      <c r="G20" s="604">
        <f t="shared" si="2"/>
        <v>0.56000000000000005</v>
      </c>
      <c r="H20" s="604">
        <f t="shared" si="3"/>
        <v>0.17</v>
      </c>
      <c r="I20" s="604">
        <f t="shared" si="4"/>
        <v>1</v>
      </c>
      <c r="J20" s="605">
        <f t="shared" si="7"/>
        <v>3.6666666666666665</v>
      </c>
      <c r="K20" s="1212">
        <f t="shared" si="8"/>
        <v>0.29321600000000003</v>
      </c>
      <c r="L20" s="606"/>
      <c r="M20" s="606"/>
      <c r="N20" s="805">
        <f t="shared" si="5"/>
        <v>2.9321600000000005</v>
      </c>
      <c r="O20" s="607"/>
      <c r="P20" s="608"/>
      <c r="Q20" s="601"/>
    </row>
    <row r="21" spans="2:17" s="20" customFormat="1" ht="35.25" customHeight="1" x14ac:dyDescent="0.3">
      <c r="B21" s="542" t="str">
        <v>건설폐기물</v>
      </c>
      <c r="C21" s="545" t="str">
        <f t="shared" si="0"/>
        <v>건설 및 파쇄 잔재 등</v>
      </c>
      <c r="D21" s="853">
        <v>1</v>
      </c>
      <c r="E21" s="602">
        <f t="shared" si="6"/>
        <v>1.2195121951219513E-2</v>
      </c>
      <c r="F21" s="603">
        <f t="shared" si="1"/>
        <v>1</v>
      </c>
      <c r="G21" s="604">
        <f t="shared" si="2"/>
        <v>0.24</v>
      </c>
      <c r="H21" s="604">
        <f t="shared" si="3"/>
        <v>0.2</v>
      </c>
      <c r="I21" s="604">
        <f t="shared" si="4"/>
        <v>1</v>
      </c>
      <c r="J21" s="605">
        <f t="shared" si="7"/>
        <v>3.6666666666666665</v>
      </c>
      <c r="K21" s="1212">
        <f t="shared" si="8"/>
        <v>0.17599999999999999</v>
      </c>
      <c r="L21" s="606"/>
      <c r="M21" s="606"/>
      <c r="N21" s="805">
        <f t="shared" si="5"/>
        <v>0.17599999999999999</v>
      </c>
      <c r="O21" s="607"/>
      <c r="P21" s="608"/>
      <c r="Q21" s="601"/>
    </row>
    <row r="22" spans="2:17" s="20" customFormat="1" ht="35.25" customHeight="1" x14ac:dyDescent="0.3">
      <c r="B22" s="542" t="str">
        <v>하수슬러지</v>
      </c>
      <c r="C22" s="545" t="str">
        <f t="shared" si="0"/>
        <v>하수오니, 정수처리오니, 유기성하수오니 등</v>
      </c>
      <c r="D22" s="853">
        <v>1</v>
      </c>
      <c r="E22" s="602">
        <f t="shared" si="6"/>
        <v>1.2195121951219513E-2</v>
      </c>
      <c r="F22" s="603">
        <f t="shared" si="1"/>
        <v>0.1</v>
      </c>
      <c r="G22" s="604">
        <f t="shared" si="2"/>
        <v>0.45</v>
      </c>
      <c r="H22" s="604">
        <f t="shared" si="3"/>
        <v>0</v>
      </c>
      <c r="I22" s="604">
        <f t="shared" si="4"/>
        <v>1</v>
      </c>
      <c r="J22" s="605">
        <f t="shared" si="7"/>
        <v>3.6666666666666665</v>
      </c>
      <c r="K22" s="1212">
        <f t="shared" si="8"/>
        <v>0</v>
      </c>
      <c r="L22" s="606"/>
      <c r="M22" s="606"/>
      <c r="N22" s="805">
        <f t="shared" si="5"/>
        <v>0</v>
      </c>
      <c r="O22" s="607"/>
      <c r="P22" s="608"/>
      <c r="Q22" s="601"/>
    </row>
    <row r="23" spans="2:17" s="20" customFormat="1" ht="35.25" customHeight="1" x14ac:dyDescent="0.3">
      <c r="B23" s="542" t="str">
        <v>폐수슬러지</v>
      </c>
      <c r="C23" s="545" t="str">
        <f t="shared" si="0"/>
        <v>폐수처리오니, 공정오니 등</v>
      </c>
      <c r="D23" s="853">
        <v>0</v>
      </c>
      <c r="E23" s="602">
        <f t="shared" si="6"/>
        <v>0</v>
      </c>
      <c r="F23" s="603">
        <f t="shared" si="1"/>
        <v>0.35</v>
      </c>
      <c r="G23" s="604">
        <f t="shared" si="2"/>
        <v>0.45</v>
      </c>
      <c r="H23" s="604">
        <f t="shared" si="3"/>
        <v>0</v>
      </c>
      <c r="I23" s="604">
        <f t="shared" si="4"/>
        <v>1</v>
      </c>
      <c r="J23" s="605">
        <f t="shared" si="7"/>
        <v>3.6666666666666665</v>
      </c>
      <c r="K23" s="1212">
        <f t="shared" si="8"/>
        <v>0</v>
      </c>
      <c r="L23" s="606"/>
      <c r="M23" s="606"/>
      <c r="N23" s="805">
        <f t="shared" si="5"/>
        <v>0</v>
      </c>
      <c r="O23" s="607"/>
      <c r="P23" s="608"/>
      <c r="Q23" s="601"/>
    </row>
    <row r="24" spans="2:17" s="20" customFormat="1" ht="35.25" customHeight="1" x14ac:dyDescent="0.3">
      <c r="B24" s="542" t="str">
        <v>병원성폐기물</v>
      </c>
      <c r="C24" s="545" t="str">
        <f t="shared" si="0"/>
        <v>감염성폐기물, 동식물성 폐잔재물 등</v>
      </c>
      <c r="D24" s="853">
        <v>0</v>
      </c>
      <c r="E24" s="602">
        <f t="shared" si="6"/>
        <v>0</v>
      </c>
      <c r="F24" s="603">
        <f t="shared" si="1"/>
        <v>0.65</v>
      </c>
      <c r="G24" s="604">
        <f t="shared" si="2"/>
        <v>0.4</v>
      </c>
      <c r="H24" s="604">
        <f t="shared" si="3"/>
        <v>0.25</v>
      </c>
      <c r="I24" s="604">
        <f t="shared" si="4"/>
        <v>1</v>
      </c>
      <c r="J24" s="605">
        <f t="shared" si="7"/>
        <v>3.6666666666666665</v>
      </c>
      <c r="K24" s="1212">
        <f t="shared" si="8"/>
        <v>0.23833333333333334</v>
      </c>
      <c r="L24" s="606"/>
      <c r="M24" s="606"/>
      <c r="N24" s="805">
        <f t="shared" si="5"/>
        <v>0</v>
      </c>
      <c r="O24" s="607"/>
      <c r="P24" s="608"/>
      <c r="Q24" s="601"/>
    </row>
    <row r="25" spans="2:17" s="20" customFormat="1" ht="35.25" customHeight="1" x14ac:dyDescent="0.3">
      <c r="B25" s="543" t="str">
        <v>폐피혁</v>
      </c>
      <c r="C25" s="545" t="str">
        <f t="shared" si="0"/>
        <v>피혁, 폐피혁 등</v>
      </c>
      <c r="D25" s="854">
        <v>0</v>
      </c>
      <c r="E25" s="609">
        <f t="shared" si="6"/>
        <v>0</v>
      </c>
      <c r="F25" s="603">
        <f t="shared" si="1"/>
        <v>0.84</v>
      </c>
      <c r="G25" s="604">
        <f t="shared" si="2"/>
        <v>0.67</v>
      </c>
      <c r="H25" s="604">
        <f t="shared" si="3"/>
        <v>0.2</v>
      </c>
      <c r="I25" s="611">
        <f t="shared" si="4"/>
        <v>1</v>
      </c>
      <c r="J25" s="612">
        <f t="shared" si="7"/>
        <v>3.6666666666666665</v>
      </c>
      <c r="K25" s="1213">
        <f>F25*G25*H25*I25*J25</f>
        <v>0.41271999999999998</v>
      </c>
      <c r="L25" s="606"/>
      <c r="M25" s="606"/>
      <c r="N25" s="806">
        <f t="shared" si="5"/>
        <v>0</v>
      </c>
      <c r="O25" s="607"/>
      <c r="P25" s="608"/>
      <c r="Q25" s="601"/>
    </row>
    <row r="26" spans="2:17" s="20" customFormat="1" ht="35.25" customHeight="1" x14ac:dyDescent="0.3">
      <c r="B26" s="990" t="str">
        <v>기타</v>
      </c>
      <c r="C26" s="546" t="str">
        <f t="shared" si="0"/>
        <v>기타</v>
      </c>
      <c r="D26" s="991">
        <v>10</v>
      </c>
      <c r="E26" s="992">
        <f t="shared" si="6"/>
        <v>0.12195121951219512</v>
      </c>
      <c r="F26" s="610">
        <f t="shared" si="1"/>
        <v>0.9</v>
      </c>
      <c r="G26" s="611">
        <f t="shared" si="2"/>
        <v>0.04</v>
      </c>
      <c r="H26" s="611">
        <f t="shared" si="3"/>
        <v>0.03</v>
      </c>
      <c r="I26" s="993">
        <f t="shared" si="4"/>
        <v>1</v>
      </c>
      <c r="J26" s="994">
        <f t="shared" si="7"/>
        <v>3.6666666666666665</v>
      </c>
      <c r="K26" s="995">
        <f>F26*G26*H26*I26*J26</f>
        <v>3.96E-3</v>
      </c>
      <c r="L26" s="996"/>
      <c r="M26" s="996"/>
      <c r="N26" s="999">
        <f t="shared" si="5"/>
        <v>3.9599999999999996E-2</v>
      </c>
      <c r="O26" s="1000"/>
      <c r="P26" s="1001"/>
      <c r="Q26" s="1002"/>
    </row>
    <row r="27" spans="2:17" ht="38.25" customHeight="1" x14ac:dyDescent="0.3">
      <c r="B27" s="896" t="str">
        <v>액상폐기물</v>
      </c>
      <c r="C27" s="1003" t="str">
        <f t="shared" si="0"/>
        <v>화석 액체 폐기물</v>
      </c>
      <c r="D27" s="895">
        <v>10</v>
      </c>
      <c r="E27" s="155">
        <f t="shared" ref="E27" si="9">D27/$D$14</f>
        <v>0.12195121951219512</v>
      </c>
      <c r="F27" s="1004" t="str">
        <f t="shared" si="1"/>
        <v>-</v>
      </c>
      <c r="G27" s="1005">
        <f t="shared" si="2"/>
        <v>0.8</v>
      </c>
      <c r="H27" s="1005">
        <f t="shared" si="3"/>
        <v>1</v>
      </c>
      <c r="I27" s="160">
        <f t="shared" si="4"/>
        <v>1</v>
      </c>
      <c r="J27" s="161">
        <f t="shared" si="7"/>
        <v>3.6666666666666665</v>
      </c>
      <c r="K27" s="162">
        <f>G27*H27*I27*J27</f>
        <v>2.9333333333333336</v>
      </c>
      <c r="L27" s="997"/>
      <c r="M27" s="998"/>
      <c r="N27" s="989">
        <f>D27*G27*H27*I27*J27</f>
        <v>29.333333333333332</v>
      </c>
      <c r="O27" s="147"/>
      <c r="P27" s="148"/>
      <c r="Q27" s="149"/>
    </row>
    <row r="28" spans="2:17" x14ac:dyDescent="0.3"/>
  </sheetData>
  <mergeCells count="12">
    <mergeCell ref="D1:J1"/>
    <mergeCell ref="B1:C1"/>
    <mergeCell ref="B2:C2"/>
    <mergeCell ref="B3:C3"/>
    <mergeCell ref="B14:C14"/>
    <mergeCell ref="D10:E10"/>
    <mergeCell ref="D2:J2"/>
    <mergeCell ref="N10:Q10"/>
    <mergeCell ref="F10:M10"/>
    <mergeCell ref="D3:J3"/>
    <mergeCell ref="D11:E11"/>
    <mergeCell ref="B10:C13"/>
  </mergeCells>
  <phoneticPr fontId="2" type="noConversion"/>
  <conditionalFormatting sqref="B26:B27 D26:E27 I26:Q27">
    <cfRule type="expression" dxfId="4" priority="3" stopIfTrue="1">
      <formula>$B26="-"</formula>
    </cfRule>
  </conditionalFormatting>
  <conditionalFormatting sqref="B26:Q27">
    <cfRule type="expression" dxfId="3" priority="2">
      <formula>$C$5=1</formula>
    </cfRule>
  </conditionalFormatting>
  <conditionalFormatting sqref="B25:Q25">
    <cfRule type="expression" dxfId="2" priority="1">
      <formula>$C$5=1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7" orientation="landscape" blackAndWhite="1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3" r:id="rId4" name="Drop Down 11">
              <controlPr defaultSize="0" autoLine="0" autoPict="0" altText="단위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2</xdr:col>
                    <xdr:colOff>1514475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5" name="Drop Down 12">
              <controlPr defaultSize="0" autoLine="0" autoPict="0" altText="단위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2</xdr:col>
                    <xdr:colOff>1514475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6" name="Drop Down 13">
              <controlPr defaultSize="0" autoLine="0" autoPict="0" altText="단위">
                <anchor moveWithCells="1">
                  <from>
                    <xdr:col>2</xdr:col>
                    <xdr:colOff>0</xdr:colOff>
                    <xdr:row>6</xdr:row>
                    <xdr:rowOff>9525</xdr:rowOff>
                  </from>
                  <to>
                    <xdr:col>2</xdr:col>
                    <xdr:colOff>1514475</xdr:colOff>
                    <xdr:row>6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R22"/>
  <sheetViews>
    <sheetView zoomScale="80" zoomScaleNormal="80" workbookViewId="0">
      <selection activeCell="H17" sqref="H17"/>
    </sheetView>
  </sheetViews>
  <sheetFormatPr defaultColWidth="0" defaultRowHeight="16.5" zeroHeight="1" x14ac:dyDescent="0.3"/>
  <cols>
    <col min="1" max="1" width="3.375" style="23" customWidth="1"/>
    <col min="2" max="2" width="11.75" style="23" bestFit="1" customWidth="1"/>
    <col min="3" max="3" width="15.125" style="23" bestFit="1" customWidth="1"/>
    <col min="4" max="4" width="16.25" style="23" customWidth="1"/>
    <col min="5" max="5" width="11.25" style="23" bestFit="1" customWidth="1"/>
    <col min="6" max="6" width="13.75" style="23" customWidth="1"/>
    <col min="7" max="7" width="13.875" style="23" customWidth="1"/>
    <col min="8" max="8" width="11.25" style="23" bestFit="1" customWidth="1"/>
    <col min="9" max="9" width="11.375" style="23" bestFit="1" customWidth="1"/>
    <col min="10" max="10" width="14.25" style="23" customWidth="1"/>
    <col min="11" max="11" width="12" style="23" bestFit="1" customWidth="1"/>
    <col min="12" max="12" width="23.375" style="23" customWidth="1"/>
    <col min="13" max="13" width="24.875" style="23" customWidth="1"/>
    <col min="14" max="16" width="18.75" style="23" customWidth="1"/>
    <col min="17" max="17" width="3.125" style="23" customWidth="1"/>
    <col min="18" max="18" width="0" style="23" hidden="1" customWidth="1"/>
    <col min="19" max="16384" width="9" style="23" hidden="1"/>
  </cols>
  <sheetData>
    <row r="1" spans="1:16" s="22" customFormat="1" ht="26.25" customHeight="1" x14ac:dyDescent="0.3">
      <c r="A1" s="21"/>
      <c r="B1" s="1114" t="s">
        <v>29</v>
      </c>
      <c r="C1" s="1114"/>
      <c r="D1" s="1115" t="s">
        <v>28</v>
      </c>
      <c r="E1" s="1115"/>
      <c r="F1" s="1115"/>
      <c r="G1" s="1115"/>
      <c r="H1" s="1115"/>
      <c r="I1" s="1115"/>
      <c r="J1" s="1115"/>
      <c r="K1" s="1115"/>
      <c r="L1" s="1115"/>
      <c r="M1" s="1115"/>
      <c r="N1" s="1115"/>
      <c r="O1" s="1115"/>
    </row>
    <row r="2" spans="1:16" s="22" customFormat="1" ht="26.25" customHeight="1" x14ac:dyDescent="0.3">
      <c r="A2" s="21"/>
      <c r="B2" s="1114" t="s">
        <v>30</v>
      </c>
      <c r="C2" s="1114"/>
      <c r="D2" s="1115" t="s">
        <v>610</v>
      </c>
      <c r="E2" s="1115"/>
      <c r="F2" s="1115"/>
      <c r="G2" s="1115"/>
      <c r="H2" s="1115"/>
      <c r="I2" s="1115"/>
      <c r="J2" s="1115"/>
      <c r="K2" s="1115"/>
      <c r="L2" s="1115"/>
      <c r="M2" s="1115"/>
      <c r="N2" s="1115"/>
      <c r="O2" s="1115"/>
    </row>
    <row r="3" spans="1:16" s="22" customFormat="1" ht="26.25" customHeight="1" x14ac:dyDescent="0.3">
      <c r="A3" s="21"/>
      <c r="B3" s="1114" t="s">
        <v>58</v>
      </c>
      <c r="C3" s="1114"/>
      <c r="D3" s="1115" t="s">
        <v>32</v>
      </c>
      <c r="E3" s="1115"/>
      <c r="F3" s="1115"/>
      <c r="G3" s="1115"/>
      <c r="H3" s="1115"/>
      <c r="I3" s="1115"/>
      <c r="J3" s="1115"/>
      <c r="K3" s="1115"/>
      <c r="L3" s="1115"/>
      <c r="M3" s="1115"/>
      <c r="N3" s="1115"/>
      <c r="O3" s="1115"/>
    </row>
    <row r="4" spans="1:16" ht="17.25" thickBot="1" x14ac:dyDescent="0.35"/>
    <row r="5" spans="1:16" ht="23.25" customHeight="1" x14ac:dyDescent="0.3">
      <c r="F5" s="434" t="s">
        <v>463</v>
      </c>
      <c r="G5" s="224"/>
      <c r="H5" s="224"/>
      <c r="I5" s="224"/>
      <c r="J5" s="224"/>
      <c r="K5" s="224"/>
      <c r="L5" s="224"/>
      <c r="M5" s="224"/>
      <c r="N5" s="224"/>
      <c r="O5" s="224"/>
      <c r="P5" s="225"/>
    </row>
    <row r="6" spans="1:16" ht="23.25" customHeight="1" x14ac:dyDescent="0.3">
      <c r="F6" s="435" t="s">
        <v>464</v>
      </c>
      <c r="G6" s="226"/>
      <c r="H6" s="226"/>
      <c r="I6" s="226"/>
      <c r="J6" s="226"/>
      <c r="K6" s="226"/>
      <c r="L6" s="226"/>
      <c r="M6" s="226"/>
      <c r="N6" s="226"/>
      <c r="O6" s="226"/>
      <c r="P6" s="227"/>
    </row>
    <row r="7" spans="1:16" ht="23.25" customHeight="1" x14ac:dyDescent="0.3">
      <c r="F7" s="435" t="s">
        <v>327</v>
      </c>
      <c r="G7" s="226"/>
      <c r="H7" s="226"/>
      <c r="I7" s="226"/>
      <c r="J7" s="226"/>
      <c r="K7" s="226"/>
      <c r="L7" s="226"/>
      <c r="M7" s="226"/>
      <c r="N7" s="226"/>
      <c r="O7" s="226"/>
      <c r="P7" s="227"/>
    </row>
    <row r="8" spans="1:16" ht="23.25" customHeight="1" thickBot="1" x14ac:dyDescent="0.35">
      <c r="F8" s="436"/>
      <c r="G8" s="228"/>
      <c r="H8" s="228"/>
      <c r="I8" s="228"/>
      <c r="J8" s="228"/>
      <c r="K8" s="228"/>
      <c r="L8" s="228"/>
      <c r="M8" s="228"/>
      <c r="N8" s="228"/>
      <c r="O8" s="228"/>
      <c r="P8" s="229"/>
    </row>
    <row r="9" spans="1:16" x14ac:dyDescent="0.3"/>
    <row r="10" spans="1:16" s="20" customFormat="1" ht="24" customHeight="1" x14ac:dyDescent="0.3">
      <c r="B10" s="1163" t="s">
        <v>80</v>
      </c>
      <c r="C10" s="1163"/>
      <c r="D10" s="1074" t="s">
        <v>242</v>
      </c>
      <c r="E10" s="1075"/>
      <c r="F10" s="1075"/>
      <c r="G10" s="1075"/>
      <c r="H10" s="1075"/>
      <c r="I10" s="1165"/>
      <c r="J10" s="1166" t="s">
        <v>75</v>
      </c>
      <c r="K10" s="1167"/>
      <c r="L10" s="1146" t="s">
        <v>241</v>
      </c>
      <c r="M10" s="1146"/>
      <c r="N10" s="1146"/>
      <c r="O10" s="1146"/>
      <c r="P10" s="1147"/>
    </row>
    <row r="11" spans="1:16" s="20" customFormat="1" ht="59.25" customHeight="1" x14ac:dyDescent="0.3">
      <c r="B11" s="1163"/>
      <c r="C11" s="1163"/>
      <c r="D11" s="24" t="s">
        <v>76</v>
      </c>
      <c r="E11" s="25" t="s">
        <v>77</v>
      </c>
      <c r="F11" s="24" t="s">
        <v>62</v>
      </c>
      <c r="G11" s="26" t="s">
        <v>63</v>
      </c>
      <c r="H11" s="27" t="s">
        <v>64</v>
      </c>
      <c r="I11" s="26" t="s">
        <v>65</v>
      </c>
      <c r="J11" s="28" t="s">
        <v>78</v>
      </c>
      <c r="K11" s="208" t="s">
        <v>79</v>
      </c>
      <c r="L11" s="28" t="s">
        <v>288</v>
      </c>
      <c r="M11" s="24" t="s">
        <v>366</v>
      </c>
      <c r="N11" s="24" t="s">
        <v>367</v>
      </c>
      <c r="O11" s="29" t="s">
        <v>368</v>
      </c>
      <c r="P11" s="24" t="s">
        <v>369</v>
      </c>
    </row>
    <row r="12" spans="1:16" s="20" customFormat="1" ht="49.5" x14ac:dyDescent="0.3">
      <c r="B12" s="1163"/>
      <c r="C12" s="1163"/>
      <c r="D12" s="30" t="s">
        <v>170</v>
      </c>
      <c r="E12" s="31" t="s">
        <v>171</v>
      </c>
      <c r="F12" s="30" t="s">
        <v>172</v>
      </c>
      <c r="G12" s="32" t="s">
        <v>173</v>
      </c>
      <c r="H12" s="33" t="s">
        <v>174</v>
      </c>
      <c r="I12" s="32" t="s">
        <v>370</v>
      </c>
      <c r="J12" s="178" t="s">
        <v>372</v>
      </c>
      <c r="K12" s="209" t="s">
        <v>373</v>
      </c>
      <c r="L12" s="439" t="s">
        <v>325</v>
      </c>
      <c r="M12" s="34" t="s">
        <v>362</v>
      </c>
      <c r="N12" s="34" t="s">
        <v>675</v>
      </c>
      <c r="O12" s="34" t="s">
        <v>678</v>
      </c>
      <c r="P12" s="34" t="s">
        <v>292</v>
      </c>
    </row>
    <row r="13" spans="1:16" s="20" customFormat="1" ht="66" x14ac:dyDescent="0.3">
      <c r="B13" s="1163"/>
      <c r="C13" s="1163"/>
      <c r="D13" s="175"/>
      <c r="E13" s="176"/>
      <c r="F13" s="176"/>
      <c r="G13" s="176"/>
      <c r="H13" s="176"/>
      <c r="I13" s="176"/>
      <c r="J13" s="177"/>
      <c r="K13" s="210"/>
      <c r="L13" s="440" t="s">
        <v>677</v>
      </c>
      <c r="M13" s="441" t="s">
        <v>371</v>
      </c>
      <c r="N13" s="24" t="s">
        <v>676</v>
      </c>
      <c r="O13" s="24" t="s">
        <v>679</v>
      </c>
      <c r="P13" s="24" t="s">
        <v>684</v>
      </c>
    </row>
    <row r="14" spans="1:16" s="20" customFormat="1" ht="23.25" customHeight="1" thickBot="1" x14ac:dyDescent="0.35">
      <c r="B14" s="1168" t="s">
        <v>82</v>
      </c>
      <c r="C14" s="1136"/>
      <c r="D14" s="170"/>
      <c r="E14" s="171"/>
      <c r="F14" s="172"/>
      <c r="G14" s="35"/>
      <c r="H14" s="173"/>
      <c r="I14" s="35"/>
      <c r="J14" s="174"/>
      <c r="K14" s="211"/>
      <c r="L14" s="827">
        <f>SUM(L15:L20)</f>
        <v>472.46879999999999</v>
      </c>
      <c r="M14" s="828">
        <f>SUM(M15:M20)</f>
        <v>472.46879999999999</v>
      </c>
      <c r="N14" s="829">
        <f>SUM(N15:N20)</f>
        <v>172468.8</v>
      </c>
      <c r="O14" s="829">
        <f>SUM(O15:O20)</f>
        <v>37714.285714285717</v>
      </c>
      <c r="P14" s="829">
        <f>SUM(P15:P20)</f>
        <v>15313.273371428571</v>
      </c>
    </row>
    <row r="15" spans="1:16" s="20" customFormat="1" ht="23.25" customHeight="1" x14ac:dyDescent="0.3">
      <c r="B15" s="1164" t="s">
        <v>81</v>
      </c>
      <c r="C15" s="574" t="s">
        <v>83</v>
      </c>
      <c r="D15" s="855">
        <v>120000000</v>
      </c>
      <c r="E15" s="856">
        <v>300</v>
      </c>
      <c r="F15" s="855">
        <v>260</v>
      </c>
      <c r="G15" s="857">
        <v>3</v>
      </c>
      <c r="H15" s="858">
        <v>50</v>
      </c>
      <c r="I15" s="857">
        <v>10</v>
      </c>
      <c r="J15" s="575">
        <f t="shared" ref="J15:J20" si="0">EF_WWater_CH4</f>
        <v>1.532E-2</v>
      </c>
      <c r="K15" s="576">
        <f t="shared" ref="K15:K20" si="1">EF_WWater_N2O</f>
        <v>5.0000000000000001E-3</v>
      </c>
      <c r="L15" s="818">
        <f t="shared" ref="L15:L20" si="2">(F15-G15)*D15*J15*(10^-6)</f>
        <v>472.46879999999999</v>
      </c>
      <c r="M15" s="819">
        <f t="shared" ref="M15:M20" si="3">IF($L15*0.75&gt;=$E15,$L15,$E15*(1/0.75))</f>
        <v>472.46879999999999</v>
      </c>
      <c r="N15" s="820">
        <f t="shared" ref="N15:N20" si="4">(M15-E15)*10^3</f>
        <v>172468.8</v>
      </c>
      <c r="O15" s="820">
        <f t="shared" ref="O15:O20" si="5">D15*(H15-I15)*K15*(10^-3)*44/28</f>
        <v>37714.285714285717</v>
      </c>
      <c r="P15" s="820">
        <f t="shared" ref="P15:P20" si="6">(N15*GWP_CH4+O15*GWP_N2O)*10^-3</f>
        <v>15313.273371428571</v>
      </c>
    </row>
    <row r="16" spans="1:16" s="20" customFormat="1" ht="23.25" customHeight="1" x14ac:dyDescent="0.3">
      <c r="B16" s="1164"/>
      <c r="C16" s="577" t="s">
        <v>84</v>
      </c>
      <c r="D16" s="859"/>
      <c r="E16" s="853"/>
      <c r="F16" s="859"/>
      <c r="G16" s="860"/>
      <c r="H16" s="861"/>
      <c r="I16" s="860"/>
      <c r="J16" s="578">
        <f t="shared" si="0"/>
        <v>1.532E-2</v>
      </c>
      <c r="K16" s="579">
        <f t="shared" si="1"/>
        <v>5.0000000000000001E-3</v>
      </c>
      <c r="L16" s="821">
        <f t="shared" si="2"/>
        <v>0</v>
      </c>
      <c r="M16" s="822">
        <f t="shared" si="3"/>
        <v>0</v>
      </c>
      <c r="N16" s="823">
        <f t="shared" si="4"/>
        <v>0</v>
      </c>
      <c r="O16" s="823">
        <f t="shared" si="5"/>
        <v>0</v>
      </c>
      <c r="P16" s="823">
        <f t="shared" si="6"/>
        <v>0</v>
      </c>
    </row>
    <row r="17" spans="2:16" s="20" customFormat="1" ht="23.25" customHeight="1" x14ac:dyDescent="0.3">
      <c r="B17" s="1164"/>
      <c r="C17" s="577"/>
      <c r="D17" s="859"/>
      <c r="E17" s="853"/>
      <c r="F17" s="859"/>
      <c r="G17" s="860"/>
      <c r="H17" s="861"/>
      <c r="I17" s="860"/>
      <c r="J17" s="578">
        <f t="shared" si="0"/>
        <v>1.532E-2</v>
      </c>
      <c r="K17" s="579">
        <f t="shared" si="1"/>
        <v>5.0000000000000001E-3</v>
      </c>
      <c r="L17" s="821">
        <f t="shared" si="2"/>
        <v>0</v>
      </c>
      <c r="M17" s="822">
        <f t="shared" si="3"/>
        <v>0</v>
      </c>
      <c r="N17" s="823">
        <f t="shared" si="4"/>
        <v>0</v>
      </c>
      <c r="O17" s="823">
        <f t="shared" si="5"/>
        <v>0</v>
      </c>
      <c r="P17" s="823">
        <f t="shared" si="6"/>
        <v>0</v>
      </c>
    </row>
    <row r="18" spans="2:16" s="20" customFormat="1" ht="23.25" customHeight="1" x14ac:dyDescent="0.3">
      <c r="B18" s="1164"/>
      <c r="C18" s="577"/>
      <c r="D18" s="859"/>
      <c r="E18" s="853"/>
      <c r="F18" s="859"/>
      <c r="G18" s="860"/>
      <c r="H18" s="861"/>
      <c r="I18" s="860"/>
      <c r="J18" s="578">
        <f t="shared" si="0"/>
        <v>1.532E-2</v>
      </c>
      <c r="K18" s="579">
        <f t="shared" si="1"/>
        <v>5.0000000000000001E-3</v>
      </c>
      <c r="L18" s="821">
        <f t="shared" si="2"/>
        <v>0</v>
      </c>
      <c r="M18" s="822">
        <f t="shared" si="3"/>
        <v>0</v>
      </c>
      <c r="N18" s="823">
        <f t="shared" si="4"/>
        <v>0</v>
      </c>
      <c r="O18" s="823">
        <f t="shared" si="5"/>
        <v>0</v>
      </c>
      <c r="P18" s="823">
        <f t="shared" si="6"/>
        <v>0</v>
      </c>
    </row>
    <row r="19" spans="2:16" s="20" customFormat="1" ht="23.25" customHeight="1" x14ac:dyDescent="0.3">
      <c r="B19" s="1164"/>
      <c r="C19" s="577"/>
      <c r="D19" s="859"/>
      <c r="E19" s="853"/>
      <c r="F19" s="859"/>
      <c r="G19" s="860"/>
      <c r="H19" s="861"/>
      <c r="I19" s="860"/>
      <c r="J19" s="578">
        <f t="shared" si="0"/>
        <v>1.532E-2</v>
      </c>
      <c r="K19" s="579">
        <f t="shared" si="1"/>
        <v>5.0000000000000001E-3</v>
      </c>
      <c r="L19" s="821">
        <f t="shared" si="2"/>
        <v>0</v>
      </c>
      <c r="M19" s="822">
        <f t="shared" si="3"/>
        <v>0</v>
      </c>
      <c r="N19" s="823">
        <f t="shared" si="4"/>
        <v>0</v>
      </c>
      <c r="O19" s="823">
        <f t="shared" si="5"/>
        <v>0</v>
      </c>
      <c r="P19" s="823">
        <f t="shared" si="6"/>
        <v>0</v>
      </c>
    </row>
    <row r="20" spans="2:16" s="20" customFormat="1" ht="23.25" customHeight="1" x14ac:dyDescent="0.3">
      <c r="B20" s="1164"/>
      <c r="C20" s="580"/>
      <c r="D20" s="862"/>
      <c r="E20" s="863"/>
      <c r="F20" s="862"/>
      <c r="G20" s="864"/>
      <c r="H20" s="865"/>
      <c r="I20" s="864"/>
      <c r="J20" s="581">
        <f t="shared" si="0"/>
        <v>1.532E-2</v>
      </c>
      <c r="K20" s="582">
        <f t="shared" si="1"/>
        <v>5.0000000000000001E-3</v>
      </c>
      <c r="L20" s="824">
        <f t="shared" si="2"/>
        <v>0</v>
      </c>
      <c r="M20" s="825">
        <f t="shared" si="3"/>
        <v>0</v>
      </c>
      <c r="N20" s="826">
        <f t="shared" si="4"/>
        <v>0</v>
      </c>
      <c r="O20" s="826">
        <f t="shared" si="5"/>
        <v>0</v>
      </c>
      <c r="P20" s="826">
        <f t="shared" si="6"/>
        <v>0</v>
      </c>
    </row>
    <row r="21" spans="2:16" x14ac:dyDescent="0.3"/>
    <row r="22" spans="2:16" hidden="1" x14ac:dyDescent="0.3">
      <c r="N22" s="36"/>
      <c r="O22" s="37"/>
      <c r="P22" s="38"/>
    </row>
  </sheetData>
  <mergeCells count="12">
    <mergeCell ref="L10:P10"/>
    <mergeCell ref="B10:C13"/>
    <mergeCell ref="B15:B20"/>
    <mergeCell ref="D10:I10"/>
    <mergeCell ref="J10:K10"/>
    <mergeCell ref="B14:C14"/>
    <mergeCell ref="B1:C1"/>
    <mergeCell ref="B2:C2"/>
    <mergeCell ref="B3:C3"/>
    <mergeCell ref="D3:O3"/>
    <mergeCell ref="D2:O2"/>
    <mergeCell ref="D1:O1"/>
  </mergeCells>
  <phoneticPr fontId="2" type="noConversion"/>
  <conditionalFormatting sqref="D15:D20">
    <cfRule type="expression" dxfId="1" priority="1" stopIfTrue="1">
      <formula>SUM($D$15:$D$29)&lt;1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2" orientation="landscape" blackAndWhite="1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1:L21"/>
  <sheetViews>
    <sheetView zoomScale="80" zoomScaleNormal="80" workbookViewId="0">
      <selection activeCell="H17" sqref="H17"/>
    </sheetView>
  </sheetViews>
  <sheetFormatPr defaultColWidth="0" defaultRowHeight="16.5" zeroHeight="1" x14ac:dyDescent="0.3"/>
  <cols>
    <col min="1" max="1" width="3.375" style="23" customWidth="1"/>
    <col min="2" max="2" width="14.375" style="23" bestFit="1" customWidth="1"/>
    <col min="3" max="3" width="20.375" style="23" customWidth="1"/>
    <col min="4" max="7" width="12.75" style="23" customWidth="1"/>
    <col min="8" max="8" width="13.625" style="23" customWidth="1"/>
    <col min="9" max="9" width="20.625" style="23" customWidth="1"/>
    <col min="10" max="10" width="25.375" style="23" customWidth="1"/>
    <col min="11" max="12" width="14.5" style="23" customWidth="1"/>
    <col min="13" max="13" width="3.125" style="23" customWidth="1"/>
    <col min="14" max="16384" width="0" style="23" hidden="1"/>
  </cols>
  <sheetData>
    <row r="1" spans="1:12" s="22" customFormat="1" ht="26.25" customHeight="1" x14ac:dyDescent="0.3">
      <c r="A1" s="21"/>
      <c r="B1" s="1114" t="s">
        <v>29</v>
      </c>
      <c r="C1" s="1114"/>
      <c r="D1" s="1115" t="s">
        <v>28</v>
      </c>
      <c r="E1" s="1115"/>
      <c r="F1" s="1115"/>
      <c r="G1" s="1115"/>
      <c r="H1" s="1115"/>
    </row>
    <row r="2" spans="1:12" s="22" customFormat="1" ht="26.25" customHeight="1" x14ac:dyDescent="0.3">
      <c r="A2" s="21"/>
      <c r="B2" s="1114" t="s">
        <v>30</v>
      </c>
      <c r="C2" s="1114"/>
      <c r="D2" s="1115" t="s">
        <v>611</v>
      </c>
      <c r="E2" s="1115"/>
      <c r="F2" s="1115"/>
      <c r="G2" s="1115"/>
      <c r="H2" s="1115"/>
    </row>
    <row r="3" spans="1:12" s="22" customFormat="1" ht="26.25" customHeight="1" x14ac:dyDescent="0.3">
      <c r="A3" s="21"/>
      <c r="B3" s="1114" t="s">
        <v>58</v>
      </c>
      <c r="C3" s="1114"/>
      <c r="D3" s="1115" t="s">
        <v>32</v>
      </c>
      <c r="E3" s="1115"/>
      <c r="F3" s="1115"/>
      <c r="G3" s="1115"/>
      <c r="H3" s="1115"/>
    </row>
    <row r="4" spans="1:12" ht="17.25" thickBot="1" x14ac:dyDescent="0.35"/>
    <row r="5" spans="1:12" ht="21.75" customHeight="1" x14ac:dyDescent="0.3">
      <c r="A5" s="14" t="s">
        <v>233</v>
      </c>
      <c r="B5" s="15" t="s">
        <v>85</v>
      </c>
      <c r="C5" s="442">
        <v>2</v>
      </c>
      <c r="E5" s="434" t="s">
        <v>465</v>
      </c>
      <c r="F5" s="224"/>
      <c r="G5" s="224"/>
      <c r="H5" s="224"/>
      <c r="I5" s="224"/>
      <c r="J5" s="224"/>
      <c r="K5" s="224"/>
      <c r="L5" s="225"/>
    </row>
    <row r="6" spans="1:12" ht="25.5" customHeight="1" x14ac:dyDescent="0.3">
      <c r="E6" s="435" t="s">
        <v>466</v>
      </c>
      <c r="F6" s="226"/>
      <c r="G6" s="226"/>
      <c r="H6" s="226"/>
      <c r="I6" s="226"/>
      <c r="J6" s="226"/>
      <c r="K6" s="226"/>
      <c r="L6" s="227"/>
    </row>
    <row r="7" spans="1:12" ht="25.5" customHeight="1" x14ac:dyDescent="0.3">
      <c r="E7" s="435" t="s">
        <v>328</v>
      </c>
      <c r="F7" s="226"/>
      <c r="G7" s="226"/>
      <c r="H7" s="226"/>
      <c r="I7" s="226"/>
      <c r="J7" s="226"/>
      <c r="K7" s="226"/>
      <c r="L7" s="227"/>
    </row>
    <row r="8" spans="1:12" ht="17.25" thickBot="1" x14ac:dyDescent="0.35">
      <c r="E8" s="436"/>
      <c r="F8" s="228"/>
      <c r="G8" s="228"/>
      <c r="H8" s="228"/>
      <c r="I8" s="228"/>
      <c r="J8" s="228"/>
      <c r="K8" s="228"/>
      <c r="L8" s="229"/>
    </row>
    <row r="9" spans="1:12" x14ac:dyDescent="0.3"/>
    <row r="10" spans="1:12" ht="17.25" x14ac:dyDescent="0.3">
      <c r="B10" s="1070" t="s">
        <v>178</v>
      </c>
      <c r="C10" s="1070"/>
      <c r="D10" s="1075" t="s">
        <v>244</v>
      </c>
      <c r="E10" s="1075"/>
      <c r="F10" s="1075"/>
      <c r="G10" s="1075"/>
      <c r="H10" s="204" t="s">
        <v>376</v>
      </c>
      <c r="I10" s="1075" t="s">
        <v>243</v>
      </c>
      <c r="J10" s="1075"/>
      <c r="K10" s="1075"/>
      <c r="L10" s="1076"/>
    </row>
    <row r="11" spans="1:12" ht="18.75" customHeight="1" x14ac:dyDescent="0.3">
      <c r="B11" s="1070"/>
      <c r="C11" s="1070"/>
      <c r="D11" s="41" t="s">
        <v>175</v>
      </c>
      <c r="E11" s="40" t="s">
        <v>176</v>
      </c>
      <c r="F11" s="39" t="s">
        <v>62</v>
      </c>
      <c r="G11" s="40" t="s">
        <v>63</v>
      </c>
      <c r="H11" s="205" t="s">
        <v>177</v>
      </c>
      <c r="I11" s="28" t="s">
        <v>41</v>
      </c>
      <c r="J11" s="24" t="s">
        <v>78</v>
      </c>
      <c r="K11" s="179" t="s">
        <v>42</v>
      </c>
      <c r="L11" s="179" t="s">
        <v>288</v>
      </c>
    </row>
    <row r="12" spans="1:12" ht="51.75" x14ac:dyDescent="0.3">
      <c r="B12" s="1070"/>
      <c r="C12" s="1070"/>
      <c r="D12" s="44" t="s">
        <v>179</v>
      </c>
      <c r="E12" s="43" t="s">
        <v>324</v>
      </c>
      <c r="F12" s="42" t="s">
        <v>180</v>
      </c>
      <c r="G12" s="181" t="s">
        <v>375</v>
      </c>
      <c r="H12" s="206" t="s">
        <v>377</v>
      </c>
      <c r="I12" s="439" t="s">
        <v>325</v>
      </c>
      <c r="J12" s="34" t="s">
        <v>362</v>
      </c>
      <c r="K12" s="368" t="s">
        <v>680</v>
      </c>
      <c r="L12" s="45" t="s">
        <v>293</v>
      </c>
    </row>
    <row r="13" spans="1:12" ht="66" x14ac:dyDescent="0.3">
      <c r="B13" s="1070"/>
      <c r="C13" s="1070"/>
      <c r="D13" s="182"/>
      <c r="E13" s="182"/>
      <c r="F13" s="182"/>
      <c r="G13" s="182"/>
      <c r="H13" s="207"/>
      <c r="I13" s="440" t="s">
        <v>374</v>
      </c>
      <c r="J13" s="441" t="s">
        <v>371</v>
      </c>
      <c r="K13" s="179" t="s">
        <v>682</v>
      </c>
      <c r="L13" s="179" t="s">
        <v>681</v>
      </c>
    </row>
    <row r="14" spans="1:12" ht="18" thickBot="1" x14ac:dyDescent="0.35">
      <c r="B14" s="1067" t="s">
        <v>181</v>
      </c>
      <c r="C14" s="1082"/>
      <c r="D14" s="583"/>
      <c r="E14" s="584"/>
      <c r="F14" s="585"/>
      <c r="G14" s="586"/>
      <c r="H14" s="587"/>
      <c r="I14" s="875">
        <f>SUM(I15:I20)</f>
        <v>265.511439</v>
      </c>
      <c r="J14" s="876">
        <f>SUM(J15:J20)</f>
        <v>266.08905283333331</v>
      </c>
      <c r="K14" s="738">
        <f>SUM(K15:K20)</f>
        <v>71089.05283333332</v>
      </c>
      <c r="L14" s="738">
        <f>SUM(L15:L20)</f>
        <v>1492.8701094999997</v>
      </c>
    </row>
    <row r="15" spans="1:12" ht="21.75" customHeight="1" x14ac:dyDescent="0.3">
      <c r="B15" s="1169" t="s">
        <v>182</v>
      </c>
      <c r="C15" s="588" t="s">
        <v>183</v>
      </c>
      <c r="D15" s="869">
        <v>26657775</v>
      </c>
      <c r="E15" s="870">
        <v>100</v>
      </c>
      <c r="F15" s="869">
        <v>29.9</v>
      </c>
      <c r="G15" s="870">
        <v>5</v>
      </c>
      <c r="H15" s="589">
        <f t="shared" ref="H15:H20" si="0">EF_IWWater_CH4</f>
        <v>0.2</v>
      </c>
      <c r="I15" s="818">
        <f t="shared" ref="I15:I20" si="1">(F15-G15)*D15*H15*(10^-6)</f>
        <v>132.7557195</v>
      </c>
      <c r="J15" s="819">
        <f t="shared" ref="J15:J20" si="2">IF($I15*0.75&gt;=$E15,$I15,$E15*(1/0.75))</f>
        <v>133.33333333333331</v>
      </c>
      <c r="K15" s="877">
        <f t="shared" ref="K15:K20" si="3">(J15-E15)*10^3</f>
        <v>33333.333333333314</v>
      </c>
      <c r="L15" s="877">
        <f t="shared" ref="L15:L20" si="4">K15*GWP_CH4*10^-3</f>
        <v>699.99999999999955</v>
      </c>
    </row>
    <row r="16" spans="1:12" ht="21.75" customHeight="1" x14ac:dyDescent="0.3">
      <c r="B16" s="1169"/>
      <c r="C16" s="590" t="s">
        <v>184</v>
      </c>
      <c r="D16" s="871">
        <v>26657775</v>
      </c>
      <c r="E16" s="872">
        <v>95</v>
      </c>
      <c r="F16" s="871">
        <v>29.9</v>
      </c>
      <c r="G16" s="872">
        <v>5</v>
      </c>
      <c r="H16" s="591">
        <f t="shared" si="0"/>
        <v>0.2</v>
      </c>
      <c r="I16" s="821">
        <f t="shared" si="1"/>
        <v>132.7557195</v>
      </c>
      <c r="J16" s="822">
        <f t="shared" si="2"/>
        <v>132.7557195</v>
      </c>
      <c r="K16" s="878">
        <f t="shared" si="3"/>
        <v>37755.719499999999</v>
      </c>
      <c r="L16" s="878">
        <f t="shared" si="4"/>
        <v>792.87010950000001</v>
      </c>
    </row>
    <row r="17" spans="2:12" ht="21.75" customHeight="1" x14ac:dyDescent="0.3">
      <c r="B17" s="1169"/>
      <c r="C17" s="590"/>
      <c r="D17" s="871"/>
      <c r="E17" s="872"/>
      <c r="F17" s="871"/>
      <c r="G17" s="872"/>
      <c r="H17" s="591">
        <f t="shared" si="0"/>
        <v>0.2</v>
      </c>
      <c r="I17" s="821">
        <f t="shared" si="1"/>
        <v>0</v>
      </c>
      <c r="J17" s="822">
        <f t="shared" si="2"/>
        <v>0</v>
      </c>
      <c r="K17" s="878">
        <f t="shared" si="3"/>
        <v>0</v>
      </c>
      <c r="L17" s="878">
        <f t="shared" si="4"/>
        <v>0</v>
      </c>
    </row>
    <row r="18" spans="2:12" ht="21.75" customHeight="1" x14ac:dyDescent="0.3">
      <c r="B18" s="1169"/>
      <c r="C18" s="590"/>
      <c r="D18" s="871"/>
      <c r="E18" s="872"/>
      <c r="F18" s="871"/>
      <c r="G18" s="872"/>
      <c r="H18" s="591">
        <f t="shared" si="0"/>
        <v>0.2</v>
      </c>
      <c r="I18" s="821">
        <f t="shared" si="1"/>
        <v>0</v>
      </c>
      <c r="J18" s="822">
        <f t="shared" si="2"/>
        <v>0</v>
      </c>
      <c r="K18" s="878">
        <f t="shared" si="3"/>
        <v>0</v>
      </c>
      <c r="L18" s="878">
        <f t="shared" si="4"/>
        <v>0</v>
      </c>
    </row>
    <row r="19" spans="2:12" ht="21.75" customHeight="1" x14ac:dyDescent="0.3">
      <c r="B19" s="1169"/>
      <c r="C19" s="590"/>
      <c r="D19" s="871"/>
      <c r="E19" s="872"/>
      <c r="F19" s="871"/>
      <c r="G19" s="872"/>
      <c r="H19" s="591">
        <f t="shared" si="0"/>
        <v>0.2</v>
      </c>
      <c r="I19" s="821">
        <f t="shared" si="1"/>
        <v>0</v>
      </c>
      <c r="J19" s="822">
        <f t="shared" si="2"/>
        <v>0</v>
      </c>
      <c r="K19" s="878">
        <f t="shared" si="3"/>
        <v>0</v>
      </c>
      <c r="L19" s="878">
        <f t="shared" si="4"/>
        <v>0</v>
      </c>
    </row>
    <row r="20" spans="2:12" ht="21.75" customHeight="1" x14ac:dyDescent="0.3">
      <c r="B20" s="1169"/>
      <c r="C20" s="592"/>
      <c r="D20" s="873"/>
      <c r="E20" s="874"/>
      <c r="F20" s="873"/>
      <c r="G20" s="874"/>
      <c r="H20" s="593">
        <f t="shared" si="0"/>
        <v>0.2</v>
      </c>
      <c r="I20" s="824">
        <f t="shared" si="1"/>
        <v>0</v>
      </c>
      <c r="J20" s="825">
        <f t="shared" si="2"/>
        <v>0</v>
      </c>
      <c r="K20" s="879">
        <f t="shared" si="3"/>
        <v>0</v>
      </c>
      <c r="L20" s="879">
        <f t="shared" si="4"/>
        <v>0</v>
      </c>
    </row>
    <row r="21" spans="2:12" x14ac:dyDescent="0.3">
      <c r="I21" s="180"/>
      <c r="J21" s="180"/>
    </row>
  </sheetData>
  <mergeCells count="11">
    <mergeCell ref="I10:L10"/>
    <mergeCell ref="B10:C13"/>
    <mergeCell ref="D1:H1"/>
    <mergeCell ref="B15:B20"/>
    <mergeCell ref="D10:G10"/>
    <mergeCell ref="B14:C14"/>
    <mergeCell ref="B1:C1"/>
    <mergeCell ref="B2:C2"/>
    <mergeCell ref="B3:C3"/>
    <mergeCell ref="D3:H3"/>
    <mergeCell ref="D2:H2"/>
  </mergeCells>
  <phoneticPr fontId="9" type="noConversion"/>
  <conditionalFormatting sqref="D15:D20">
    <cfRule type="expression" dxfId="0" priority="1" stopIfTrue="1">
      <formula>SUM($D$15:$D$29)&lt;1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70" orientation="landscape" blackAndWhite="1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Drop Down 1">
              <controlPr defaultSize="0" autoLine="0" autoPict="0" altText="단위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2</xdr:col>
                    <xdr:colOff>1524000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pageSetUpPr fitToPage="1"/>
  </sheetPr>
  <dimension ref="A1:AF80"/>
  <sheetViews>
    <sheetView zoomScale="115" zoomScaleNormal="115" workbookViewId="0">
      <selection activeCell="F35" sqref="F35"/>
    </sheetView>
  </sheetViews>
  <sheetFormatPr defaultColWidth="0" defaultRowHeight="12" zeroHeight="1" x14ac:dyDescent="0.3"/>
  <cols>
    <col min="1" max="1" width="34.625" style="141" bestFit="1" customWidth="1"/>
    <col min="2" max="2" width="8.125" style="46" bestFit="1" customWidth="1"/>
    <col min="3" max="4" width="1.875" style="46" customWidth="1"/>
    <col min="5" max="5" width="12.125" style="46" bestFit="1" customWidth="1"/>
    <col min="6" max="6" width="34" style="46" customWidth="1"/>
    <col min="7" max="7" width="10.625" style="46" bestFit="1" customWidth="1"/>
    <col min="8" max="8" width="13.375" style="46" customWidth="1"/>
    <col min="9" max="9" width="8.875" style="46" customWidth="1"/>
    <col min="10" max="10" width="7.5" style="46" bestFit="1" customWidth="1"/>
    <col min="11" max="12" width="6.75" style="46" bestFit="1" customWidth="1"/>
    <col min="13" max="13" width="15.75" style="46" bestFit="1" customWidth="1"/>
    <col min="14" max="14" width="52.875" style="46" bestFit="1" customWidth="1"/>
    <col min="15" max="15" width="5.75" style="46" customWidth="1"/>
    <col min="16" max="16" width="15.625" style="46" customWidth="1"/>
    <col min="17" max="17" width="9.125" style="46" bestFit="1" customWidth="1"/>
    <col min="18" max="18" width="10.875" style="46" bestFit="1" customWidth="1"/>
    <col min="19" max="19" width="11.25" style="46" bestFit="1" customWidth="1"/>
    <col min="20" max="20" width="9.125" style="46" bestFit="1" customWidth="1"/>
    <col min="21" max="22" width="16" style="46" customWidth="1"/>
    <col min="23" max="24" width="8.25" style="46" customWidth="1"/>
    <col min="25" max="25" width="13" style="46" bestFit="1" customWidth="1"/>
    <col min="26" max="31" width="11.5" style="46" customWidth="1"/>
    <col min="32" max="32" width="9" style="46" customWidth="1"/>
    <col min="33" max="16384" width="0" style="46" hidden="1"/>
  </cols>
  <sheetData>
    <row r="1" spans="1:31" ht="34.5" customHeight="1" x14ac:dyDescent="0.3">
      <c r="A1" s="1188" t="s">
        <v>593</v>
      </c>
      <c r="B1" s="1188"/>
      <c r="C1" s="1188"/>
      <c r="D1" s="1188"/>
      <c r="E1" s="1188"/>
      <c r="F1" s="1188"/>
      <c r="G1" s="1188"/>
      <c r="H1" s="50"/>
      <c r="I1" s="50"/>
      <c r="J1" s="50"/>
    </row>
    <row r="2" spans="1:31" ht="15.75" customHeight="1" x14ac:dyDescent="0.3">
      <c r="E2" s="49"/>
      <c r="F2" s="49"/>
      <c r="G2" s="50"/>
      <c r="H2" s="50"/>
      <c r="I2" s="50"/>
      <c r="J2" s="50"/>
      <c r="X2" s="924">
        <f>T25*W25/X25</f>
        <v>1.4997989601386481</v>
      </c>
    </row>
    <row r="3" spans="1:31" ht="21" thickBot="1" x14ac:dyDescent="0.35">
      <c r="A3" s="1209" t="s">
        <v>532</v>
      </c>
      <c r="B3" s="1209"/>
      <c r="E3" s="1210" t="s">
        <v>533</v>
      </c>
      <c r="F3" s="1210"/>
      <c r="H3" s="46" t="s">
        <v>16</v>
      </c>
      <c r="P3" s="344" t="s">
        <v>534</v>
      </c>
      <c r="Q3" s="52"/>
      <c r="R3" s="52"/>
      <c r="S3" s="52"/>
      <c r="T3" s="52"/>
      <c r="U3" s="344" t="s">
        <v>535</v>
      </c>
      <c r="V3" s="51"/>
      <c r="W3" s="123"/>
      <c r="X3" s="52"/>
    </row>
    <row r="4" spans="1:31" ht="17.25" thickBot="1" x14ac:dyDescent="0.35">
      <c r="A4" s="1182" t="s">
        <v>578</v>
      </c>
      <c r="B4" s="1183"/>
      <c r="E4" s="456"/>
      <c r="F4" s="458" t="s">
        <v>569</v>
      </c>
      <c r="G4" s="457" t="s">
        <v>561</v>
      </c>
      <c r="H4" s="458" t="s">
        <v>562</v>
      </c>
      <c r="I4" s="459" t="s">
        <v>563</v>
      </c>
      <c r="J4" s="459" t="s">
        <v>564</v>
      </c>
      <c r="K4" s="459" t="s">
        <v>565</v>
      </c>
      <c r="L4" s="460" t="s">
        <v>568</v>
      </c>
      <c r="M4" s="461" t="s">
        <v>566</v>
      </c>
      <c r="N4" s="462" t="s">
        <v>567</v>
      </c>
      <c r="O4" s="164"/>
      <c r="P4" s="1205" t="s">
        <v>100</v>
      </c>
      <c r="Q4" s="1207" t="s">
        <v>101</v>
      </c>
      <c r="R4" s="1195" t="s">
        <v>102</v>
      </c>
      <c r="S4" s="1196"/>
      <c r="T4" s="1197" t="s">
        <v>590</v>
      </c>
      <c r="U4" s="1201" t="s">
        <v>582</v>
      </c>
      <c r="V4" s="1203" t="s">
        <v>583</v>
      </c>
      <c r="W4" s="492" t="s">
        <v>154</v>
      </c>
      <c r="X4" s="493" t="s">
        <v>155</v>
      </c>
      <c r="Y4" s="1199" t="s">
        <v>297</v>
      </c>
      <c r="Z4" s="1189" t="s">
        <v>331</v>
      </c>
      <c r="AA4" s="1190"/>
      <c r="AB4" s="1190"/>
      <c r="AC4" s="1191"/>
      <c r="AD4" s="1189" t="s">
        <v>310</v>
      </c>
      <c r="AE4" s="1194"/>
    </row>
    <row r="5" spans="1:31" ht="16.5" x14ac:dyDescent="0.3">
      <c r="A5" s="325" t="s">
        <v>493</v>
      </c>
      <c r="B5" s="338">
        <v>0.1</v>
      </c>
      <c r="E5" s="54" t="s">
        <v>3</v>
      </c>
      <c r="F5" s="183" t="s">
        <v>0</v>
      </c>
      <c r="G5" s="184">
        <v>0.15</v>
      </c>
      <c r="H5" s="185">
        <v>0.185</v>
      </c>
      <c r="I5" s="186">
        <v>0.4</v>
      </c>
      <c r="J5" s="186">
        <v>0.38</v>
      </c>
      <c r="K5" s="186">
        <v>0</v>
      </c>
      <c r="L5" s="57">
        <f>EXP(-H5)</f>
        <v>0.83110428385212565</v>
      </c>
      <c r="M5" s="201" t="s">
        <v>413</v>
      </c>
      <c r="N5" s="203" t="s">
        <v>433</v>
      </c>
      <c r="O5" s="50"/>
      <c r="P5" s="1206"/>
      <c r="Q5" s="1208"/>
      <c r="R5" s="494" t="s">
        <v>103</v>
      </c>
      <c r="S5" s="494" t="s">
        <v>104</v>
      </c>
      <c r="T5" s="1198"/>
      <c r="U5" s="1202"/>
      <c r="V5" s="1204"/>
      <c r="W5" s="495"/>
      <c r="X5" s="496"/>
      <c r="Y5" s="1200"/>
      <c r="Z5" s="497" t="s">
        <v>584</v>
      </c>
      <c r="AA5" s="497" t="s">
        <v>585</v>
      </c>
      <c r="AB5" s="497" t="s">
        <v>586</v>
      </c>
      <c r="AC5" s="497" t="s">
        <v>587</v>
      </c>
      <c r="AD5" s="497" t="s">
        <v>588</v>
      </c>
      <c r="AE5" s="498" t="s">
        <v>589</v>
      </c>
    </row>
    <row r="6" spans="1:31" ht="17.25" thickBot="1" x14ac:dyDescent="0.35">
      <c r="A6" s="337" t="s">
        <v>494</v>
      </c>
      <c r="B6" s="339">
        <v>0</v>
      </c>
      <c r="E6" s="113"/>
      <c r="F6" s="187" t="s">
        <v>1</v>
      </c>
      <c r="G6" s="188">
        <v>0.24</v>
      </c>
      <c r="H6" s="189">
        <v>0.06</v>
      </c>
      <c r="I6" s="190">
        <v>0.8</v>
      </c>
      <c r="J6" s="190">
        <v>0.5</v>
      </c>
      <c r="K6" s="190">
        <v>0.2</v>
      </c>
      <c r="L6" s="58">
        <f t="shared" ref="L6:L30" si="0">EXP(-H6)</f>
        <v>0.94176453358424872</v>
      </c>
      <c r="M6" s="199" t="s">
        <v>414</v>
      </c>
      <c r="N6" s="198" t="s">
        <v>434</v>
      </c>
      <c r="O6" s="50"/>
      <c r="P6" s="59" t="s">
        <v>105</v>
      </c>
      <c r="Q6" s="60" t="s">
        <v>106</v>
      </c>
      <c r="R6" s="963">
        <v>10080</v>
      </c>
      <c r="S6" s="965">
        <v>42.2</v>
      </c>
      <c r="T6" s="974">
        <v>1.008</v>
      </c>
      <c r="U6" s="61" t="s">
        <v>132</v>
      </c>
      <c r="V6" s="61" t="s">
        <v>148</v>
      </c>
      <c r="W6" s="942">
        <v>44.9</v>
      </c>
      <c r="X6" s="943">
        <v>42.2</v>
      </c>
      <c r="Y6" s="64">
        <v>73300</v>
      </c>
      <c r="Z6" s="64">
        <v>3</v>
      </c>
      <c r="AA6" s="65">
        <v>3</v>
      </c>
      <c r="AB6" s="65">
        <v>10</v>
      </c>
      <c r="AC6" s="65">
        <v>10</v>
      </c>
      <c r="AD6" s="66">
        <v>0.6</v>
      </c>
      <c r="AE6" s="67">
        <v>0.6</v>
      </c>
    </row>
    <row r="7" spans="1:31" ht="16.5" x14ac:dyDescent="0.3">
      <c r="A7" s="487" t="s">
        <v>579</v>
      </c>
      <c r="B7" s="342"/>
      <c r="E7" s="113"/>
      <c r="F7" s="187" t="s">
        <v>379</v>
      </c>
      <c r="G7" s="188">
        <v>0.43</v>
      </c>
      <c r="H7" s="196">
        <v>0.03</v>
      </c>
      <c r="I7" s="190">
        <v>0.85</v>
      </c>
      <c r="J7" s="190">
        <v>0.5</v>
      </c>
      <c r="K7" s="190">
        <v>0</v>
      </c>
      <c r="L7" s="58">
        <f t="shared" si="0"/>
        <v>0.97044553354850815</v>
      </c>
      <c r="M7" s="199" t="s">
        <v>415</v>
      </c>
      <c r="N7" s="198" t="s">
        <v>432</v>
      </c>
      <c r="O7" s="50"/>
      <c r="P7" s="129" t="s">
        <v>107</v>
      </c>
      <c r="Q7" s="130" t="s">
        <v>108</v>
      </c>
      <c r="R7" s="964">
        <v>7230</v>
      </c>
      <c r="S7" s="966">
        <v>30.3</v>
      </c>
      <c r="T7" s="975">
        <v>0.72299999999999998</v>
      </c>
      <c r="U7" s="131" t="s">
        <v>133</v>
      </c>
      <c r="V7" s="131" t="s">
        <v>150</v>
      </c>
      <c r="W7" s="944">
        <v>32.6</v>
      </c>
      <c r="X7" s="945">
        <v>30.3</v>
      </c>
      <c r="Y7" s="133">
        <v>69300</v>
      </c>
      <c r="Z7" s="133">
        <v>3</v>
      </c>
      <c r="AA7" s="134">
        <v>3</v>
      </c>
      <c r="AB7" s="134">
        <v>10</v>
      </c>
      <c r="AC7" s="134">
        <v>10</v>
      </c>
      <c r="AD7" s="135">
        <v>0.6</v>
      </c>
      <c r="AE7" s="136">
        <v>0.6</v>
      </c>
    </row>
    <row r="8" spans="1:31" ht="16.5" x14ac:dyDescent="0.3">
      <c r="A8" s="340" t="s">
        <v>495</v>
      </c>
      <c r="B8" s="342"/>
      <c r="E8" s="113"/>
      <c r="F8" s="187" t="s">
        <v>380</v>
      </c>
      <c r="G8" s="188">
        <v>0.4</v>
      </c>
      <c r="H8" s="189">
        <v>0.06</v>
      </c>
      <c r="I8" s="190">
        <v>0.9</v>
      </c>
      <c r="J8" s="190">
        <v>0.46</v>
      </c>
      <c r="K8" s="190">
        <v>0.01</v>
      </c>
      <c r="L8" s="58">
        <f t="shared" si="0"/>
        <v>0.94176453358424872</v>
      </c>
      <c r="M8" s="199" t="s">
        <v>416</v>
      </c>
      <c r="N8" s="198" t="s">
        <v>435</v>
      </c>
      <c r="O8" s="50"/>
      <c r="P8" s="926" t="s">
        <v>730</v>
      </c>
      <c r="Q8" s="69" t="s">
        <v>108</v>
      </c>
      <c r="R8" s="70">
        <v>8200</v>
      </c>
      <c r="S8" s="969">
        <v>34.299999999999997</v>
      </c>
      <c r="T8" s="976">
        <v>0.82</v>
      </c>
      <c r="U8" s="71" t="s">
        <v>134</v>
      </c>
      <c r="V8" s="71" t="s">
        <v>149</v>
      </c>
      <c r="W8" s="62">
        <v>36.799999999999997</v>
      </c>
      <c r="X8" s="63">
        <v>34.299999999999997</v>
      </c>
      <c r="Y8" s="64">
        <v>71900</v>
      </c>
      <c r="Z8" s="64">
        <v>3</v>
      </c>
      <c r="AA8" s="65">
        <v>3</v>
      </c>
      <c r="AB8" s="65">
        <v>10</v>
      </c>
      <c r="AC8" s="65">
        <v>10</v>
      </c>
      <c r="AD8" s="66">
        <v>0.6</v>
      </c>
      <c r="AE8" s="67">
        <v>0.6</v>
      </c>
    </row>
    <row r="9" spans="1:31" ht="17.25" thickBot="1" x14ac:dyDescent="0.35">
      <c r="A9" s="341" t="s">
        <v>496</v>
      </c>
      <c r="B9" s="342"/>
      <c r="E9" s="113"/>
      <c r="F9" s="187" t="s">
        <v>2</v>
      </c>
      <c r="G9" s="188">
        <v>0.39</v>
      </c>
      <c r="H9" s="189">
        <v>0.03</v>
      </c>
      <c r="I9" s="190">
        <v>0.84</v>
      </c>
      <c r="J9" s="190">
        <v>0.67</v>
      </c>
      <c r="K9" s="190">
        <v>0.2</v>
      </c>
      <c r="L9" s="58">
        <f t="shared" si="0"/>
        <v>0.97044553354850815</v>
      </c>
      <c r="M9" s="199" t="s">
        <v>417</v>
      </c>
      <c r="N9" s="198" t="s">
        <v>424</v>
      </c>
      <c r="O9" s="50"/>
      <c r="P9" s="129" t="s">
        <v>109</v>
      </c>
      <c r="Q9" s="130" t="s">
        <v>108</v>
      </c>
      <c r="R9" s="964">
        <v>8420</v>
      </c>
      <c r="S9" s="966">
        <v>35.299999999999997</v>
      </c>
      <c r="T9" s="975">
        <v>0.84199999999999997</v>
      </c>
      <c r="U9" s="131" t="s">
        <v>135</v>
      </c>
      <c r="V9" s="131" t="s">
        <v>149</v>
      </c>
      <c r="W9" s="944">
        <v>37.700000000000003</v>
      </c>
      <c r="X9" s="945">
        <v>35.299999999999997</v>
      </c>
      <c r="Y9" s="133">
        <v>74100</v>
      </c>
      <c r="Z9" s="133">
        <v>3</v>
      </c>
      <c r="AA9" s="134">
        <v>3</v>
      </c>
      <c r="AB9" s="134">
        <v>10</v>
      </c>
      <c r="AC9" s="134">
        <v>10</v>
      </c>
      <c r="AD9" s="135">
        <v>0.6</v>
      </c>
      <c r="AE9" s="136">
        <v>0.6</v>
      </c>
    </row>
    <row r="10" spans="1:31" ht="16.5" x14ac:dyDescent="0.3">
      <c r="A10" s="1182" t="s">
        <v>580</v>
      </c>
      <c r="B10" s="1183"/>
      <c r="E10" s="113"/>
      <c r="F10" s="187" t="s">
        <v>381</v>
      </c>
      <c r="G10" s="188">
        <v>0</v>
      </c>
      <c r="H10" s="196">
        <v>0</v>
      </c>
      <c r="I10" s="190">
        <v>1</v>
      </c>
      <c r="J10" s="190">
        <v>0.75</v>
      </c>
      <c r="K10" s="190">
        <v>1</v>
      </c>
      <c r="L10" s="58">
        <f t="shared" si="0"/>
        <v>1</v>
      </c>
      <c r="M10" s="199" t="s">
        <v>418</v>
      </c>
      <c r="N10" s="198" t="s">
        <v>436</v>
      </c>
      <c r="O10" s="50"/>
      <c r="P10" s="68" t="s">
        <v>110</v>
      </c>
      <c r="Q10" s="69" t="s">
        <v>108</v>
      </c>
      <c r="R10" s="970">
        <v>8700</v>
      </c>
      <c r="S10" s="967">
        <v>36.4</v>
      </c>
      <c r="T10" s="977">
        <v>0.87</v>
      </c>
      <c r="U10" s="71" t="s">
        <v>135</v>
      </c>
      <c r="V10" s="71" t="s">
        <v>149</v>
      </c>
      <c r="W10" s="62">
        <v>38.9</v>
      </c>
      <c r="X10" s="943">
        <v>36.4</v>
      </c>
      <c r="Y10" s="64">
        <v>74100</v>
      </c>
      <c r="Z10" s="64">
        <v>3</v>
      </c>
      <c r="AA10" s="65">
        <v>3</v>
      </c>
      <c r="AB10" s="65">
        <v>10</v>
      </c>
      <c r="AC10" s="65">
        <v>10</v>
      </c>
      <c r="AD10" s="66">
        <v>0.6</v>
      </c>
      <c r="AE10" s="67">
        <v>0.6</v>
      </c>
    </row>
    <row r="11" spans="1:31" ht="16.5" x14ac:dyDescent="0.3">
      <c r="A11" s="477" t="s">
        <v>497</v>
      </c>
      <c r="B11" s="478">
        <v>1</v>
      </c>
      <c r="E11" s="113"/>
      <c r="F11" s="187" t="s">
        <v>382</v>
      </c>
      <c r="G11" s="188">
        <v>0</v>
      </c>
      <c r="H11" s="189">
        <v>0</v>
      </c>
      <c r="I11" s="190">
        <v>1</v>
      </c>
      <c r="J11" s="190">
        <v>0</v>
      </c>
      <c r="K11" s="190">
        <v>0</v>
      </c>
      <c r="L11" s="58">
        <f t="shared" si="0"/>
        <v>1</v>
      </c>
      <c r="M11" s="199" t="s">
        <v>419</v>
      </c>
      <c r="N11" s="198" t="s">
        <v>491</v>
      </c>
      <c r="O11" s="50"/>
      <c r="P11" s="68" t="s">
        <v>111</v>
      </c>
      <c r="Q11" s="69" t="s">
        <v>108</v>
      </c>
      <c r="R11" s="970">
        <v>9080</v>
      </c>
      <c r="S11" s="967">
        <v>38</v>
      </c>
      <c r="T11" s="977">
        <v>0.90800000000000003</v>
      </c>
      <c r="U11" s="71" t="s">
        <v>136</v>
      </c>
      <c r="V11" s="71" t="s">
        <v>149</v>
      </c>
      <c r="W11" s="942">
        <v>40.5</v>
      </c>
      <c r="X11" s="943">
        <v>38</v>
      </c>
      <c r="Y11" s="64">
        <v>77400</v>
      </c>
      <c r="Z11" s="64">
        <v>3</v>
      </c>
      <c r="AA11" s="65">
        <v>3</v>
      </c>
      <c r="AB11" s="65">
        <v>10</v>
      </c>
      <c r="AC11" s="65">
        <v>10</v>
      </c>
      <c r="AD11" s="66">
        <v>0.6</v>
      </c>
      <c r="AE11" s="67">
        <v>0.6</v>
      </c>
    </row>
    <row r="12" spans="1:31" ht="16.5" x14ac:dyDescent="0.3">
      <c r="A12" s="477" t="s">
        <v>498</v>
      </c>
      <c r="B12" s="478">
        <v>0.5</v>
      </c>
      <c r="E12" s="113"/>
      <c r="F12" s="187" t="s">
        <v>383</v>
      </c>
      <c r="G12" s="188">
        <v>0</v>
      </c>
      <c r="H12" s="196">
        <v>0</v>
      </c>
      <c r="I12" s="190">
        <v>1</v>
      </c>
      <c r="J12" s="190">
        <v>0</v>
      </c>
      <c r="K12" s="190">
        <v>0</v>
      </c>
      <c r="L12" s="58">
        <f t="shared" si="0"/>
        <v>1</v>
      </c>
      <c r="M12" s="199" t="s">
        <v>420</v>
      </c>
      <c r="N12" s="198" t="s">
        <v>490</v>
      </c>
      <c r="O12" s="50"/>
      <c r="P12" s="129" t="s">
        <v>112</v>
      </c>
      <c r="Q12" s="130" t="s">
        <v>108</v>
      </c>
      <c r="R12" s="964">
        <v>9360</v>
      </c>
      <c r="S12" s="966">
        <v>39.200000000000003</v>
      </c>
      <c r="T12" s="975">
        <v>0.93600000000000005</v>
      </c>
      <c r="U12" s="131" t="s">
        <v>136</v>
      </c>
      <c r="V12" s="131" t="s">
        <v>149</v>
      </c>
      <c r="W12" s="944">
        <v>41.6</v>
      </c>
      <c r="X12" s="945">
        <v>39.200000000000003</v>
      </c>
      <c r="Y12" s="133">
        <v>77400</v>
      </c>
      <c r="Z12" s="133">
        <v>3</v>
      </c>
      <c r="AA12" s="134">
        <v>3</v>
      </c>
      <c r="AB12" s="134">
        <v>10</v>
      </c>
      <c r="AC12" s="134">
        <v>10</v>
      </c>
      <c r="AD12" s="135">
        <v>0.6</v>
      </c>
      <c r="AE12" s="136">
        <v>0.6</v>
      </c>
    </row>
    <row r="13" spans="1:31" ht="16.5" x14ac:dyDescent="0.3">
      <c r="A13" s="477" t="s">
        <v>499</v>
      </c>
      <c r="B13" s="478">
        <v>8</v>
      </c>
      <c r="E13" s="113"/>
      <c r="F13" s="187" t="s">
        <v>384</v>
      </c>
      <c r="G13" s="734">
        <v>0.2</v>
      </c>
      <c r="H13" s="189">
        <v>0.1</v>
      </c>
      <c r="I13" s="191">
        <v>0.4</v>
      </c>
      <c r="J13" s="191">
        <v>0.49</v>
      </c>
      <c r="K13" s="191">
        <v>0</v>
      </c>
      <c r="L13" s="58">
        <f t="shared" si="0"/>
        <v>0.90483741803595952</v>
      </c>
      <c r="M13" s="199" t="s">
        <v>421</v>
      </c>
      <c r="N13" s="198" t="s">
        <v>388</v>
      </c>
      <c r="O13" s="50"/>
      <c r="P13" s="68" t="s">
        <v>113</v>
      </c>
      <c r="Q13" s="69" t="s">
        <v>106</v>
      </c>
      <c r="R13" s="70">
        <v>11050</v>
      </c>
      <c r="S13" s="969">
        <v>46.3</v>
      </c>
      <c r="T13" s="976">
        <v>1.105</v>
      </c>
      <c r="U13" s="71"/>
      <c r="V13" s="71" t="s">
        <v>147</v>
      </c>
      <c r="W13" s="62">
        <v>50.4</v>
      </c>
      <c r="X13" s="63">
        <v>46.3</v>
      </c>
      <c r="Y13" s="64">
        <v>63100</v>
      </c>
      <c r="Z13" s="64">
        <v>1</v>
      </c>
      <c r="AA13" s="65">
        <v>1</v>
      </c>
      <c r="AB13" s="65">
        <v>5</v>
      </c>
      <c r="AC13" s="65">
        <v>5</v>
      </c>
      <c r="AD13" s="66">
        <v>0.1</v>
      </c>
      <c r="AE13" s="67">
        <v>0.1</v>
      </c>
    </row>
    <row r="14" spans="1:31" ht="16.5" x14ac:dyDescent="0.3">
      <c r="A14" s="477" t="s">
        <v>500</v>
      </c>
      <c r="B14" s="478">
        <v>0.4</v>
      </c>
      <c r="E14" s="113"/>
      <c r="F14" s="187" t="s">
        <v>385</v>
      </c>
      <c r="G14" s="188">
        <v>0.24</v>
      </c>
      <c r="H14" s="189">
        <v>0.06</v>
      </c>
      <c r="I14" s="190">
        <v>0.4</v>
      </c>
      <c r="J14" s="190">
        <v>0.7</v>
      </c>
      <c r="K14" s="190">
        <v>0.1</v>
      </c>
      <c r="L14" s="58">
        <f t="shared" si="0"/>
        <v>0.94176453358424872</v>
      </c>
      <c r="M14" s="199" t="s">
        <v>422</v>
      </c>
      <c r="N14" s="198" t="s">
        <v>492</v>
      </c>
      <c r="O14" s="50"/>
      <c r="P14" s="68" t="s">
        <v>114</v>
      </c>
      <c r="Q14" s="69" t="s">
        <v>106</v>
      </c>
      <c r="R14" s="970">
        <v>10900</v>
      </c>
      <c r="S14" s="967">
        <v>45.6</v>
      </c>
      <c r="T14" s="977">
        <v>1.0900000000000001</v>
      </c>
      <c r="U14" s="71"/>
      <c r="V14" s="71" t="s">
        <v>147</v>
      </c>
      <c r="W14" s="942">
        <v>49.6</v>
      </c>
      <c r="X14" s="943">
        <v>45.6</v>
      </c>
      <c r="Y14" s="64">
        <v>63100</v>
      </c>
      <c r="Z14" s="64">
        <v>1</v>
      </c>
      <c r="AA14" s="65">
        <v>1</v>
      </c>
      <c r="AB14" s="65">
        <v>5</v>
      </c>
      <c r="AC14" s="65">
        <v>5</v>
      </c>
      <c r="AD14" s="66">
        <v>0.1</v>
      </c>
      <c r="AE14" s="67">
        <v>0.1</v>
      </c>
    </row>
    <row r="15" spans="1:31" ht="17.25" thickBot="1" x14ac:dyDescent="0.35">
      <c r="A15" s="479" t="s">
        <v>501</v>
      </c>
      <c r="B15" s="480">
        <v>0.6</v>
      </c>
      <c r="E15" s="113"/>
      <c r="F15" s="187" t="s">
        <v>386</v>
      </c>
      <c r="G15" s="188">
        <v>0</v>
      </c>
      <c r="H15" s="189">
        <v>0</v>
      </c>
      <c r="I15" s="190">
        <v>0.9</v>
      </c>
      <c r="J15" s="190">
        <v>0.03</v>
      </c>
      <c r="K15" s="190">
        <v>1</v>
      </c>
      <c r="L15" s="58">
        <f t="shared" si="0"/>
        <v>1</v>
      </c>
      <c r="M15" s="199" t="s">
        <v>423</v>
      </c>
      <c r="N15" s="981" t="s">
        <v>744</v>
      </c>
      <c r="O15" s="50"/>
      <c r="P15" s="68" t="s">
        <v>115</v>
      </c>
      <c r="Q15" s="69" t="s">
        <v>108</v>
      </c>
      <c r="R15" s="970">
        <v>7160</v>
      </c>
      <c r="S15" s="967">
        <v>30.3</v>
      </c>
      <c r="T15" s="977">
        <v>0.71599999999999997</v>
      </c>
      <c r="U15" s="71" t="s">
        <v>137</v>
      </c>
      <c r="V15" s="71" t="s">
        <v>149</v>
      </c>
      <c r="W15" s="942">
        <v>32.299999999999997</v>
      </c>
      <c r="X15" s="943">
        <v>30.3</v>
      </c>
      <c r="Y15" s="64">
        <v>73300</v>
      </c>
      <c r="Z15" s="64">
        <v>3</v>
      </c>
      <c r="AA15" s="65">
        <v>3</v>
      </c>
      <c r="AB15" s="65">
        <v>10</v>
      </c>
      <c r="AC15" s="65">
        <v>10</v>
      </c>
      <c r="AD15" s="66">
        <v>0.6</v>
      </c>
      <c r="AE15" s="67">
        <v>0.6</v>
      </c>
    </row>
    <row r="16" spans="1:31" ht="16.5" x14ac:dyDescent="0.3">
      <c r="A16" s="1182" t="s">
        <v>581</v>
      </c>
      <c r="B16" s="1183"/>
      <c r="E16" s="113"/>
      <c r="F16" s="187" t="s">
        <v>193</v>
      </c>
      <c r="G16" s="188">
        <v>0</v>
      </c>
      <c r="H16" s="189">
        <v>0</v>
      </c>
      <c r="I16" s="190">
        <v>0</v>
      </c>
      <c r="J16" s="190">
        <v>0</v>
      </c>
      <c r="K16" s="190">
        <v>0</v>
      </c>
      <c r="L16" s="58">
        <f t="shared" si="0"/>
        <v>1</v>
      </c>
      <c r="M16" s="199"/>
      <c r="N16" s="198" t="s">
        <v>446</v>
      </c>
      <c r="O16" s="50"/>
      <c r="P16" s="68" t="s">
        <v>116</v>
      </c>
      <c r="Q16" s="69" t="s">
        <v>108</v>
      </c>
      <c r="R16" s="970">
        <v>7410</v>
      </c>
      <c r="S16" s="967">
        <v>31</v>
      </c>
      <c r="T16" s="977">
        <v>0.74099999999999999</v>
      </c>
      <c r="U16" s="71" t="s">
        <v>151</v>
      </c>
      <c r="V16" s="71" t="s">
        <v>149</v>
      </c>
      <c r="W16" s="62">
        <v>33.299999999999997</v>
      </c>
      <c r="X16" s="943">
        <v>31</v>
      </c>
      <c r="Y16" s="64">
        <v>73300</v>
      </c>
      <c r="Z16" s="64">
        <v>3</v>
      </c>
      <c r="AA16" s="65">
        <v>3</v>
      </c>
      <c r="AB16" s="65">
        <v>10</v>
      </c>
      <c r="AC16" s="65">
        <v>10</v>
      </c>
      <c r="AD16" s="66">
        <v>0.6</v>
      </c>
      <c r="AE16" s="67">
        <v>0.6</v>
      </c>
    </row>
    <row r="17" spans="1:32" ht="17.25" thickBot="1" x14ac:dyDescent="0.35">
      <c r="A17" s="481" t="s">
        <v>495</v>
      </c>
      <c r="B17" s="471">
        <v>39.799999999999997</v>
      </c>
      <c r="E17" s="463"/>
      <c r="F17" s="242" t="s">
        <v>444</v>
      </c>
      <c r="G17" s="193">
        <v>0.14000000000000001</v>
      </c>
      <c r="H17" s="194">
        <v>0.09</v>
      </c>
      <c r="I17" s="195"/>
      <c r="J17" s="195"/>
      <c r="K17" s="195"/>
      <c r="L17" s="79">
        <f>EXP(-H17)</f>
        <v>0.91393118527122819</v>
      </c>
      <c r="M17" s="122" t="s">
        <v>445</v>
      </c>
      <c r="N17" s="220" t="s">
        <v>542</v>
      </c>
      <c r="O17" s="50"/>
      <c r="P17" s="68" t="s">
        <v>117</v>
      </c>
      <c r="Q17" s="69" t="s">
        <v>108</v>
      </c>
      <c r="R17" s="970">
        <v>8140</v>
      </c>
      <c r="S17" s="967">
        <v>34.1</v>
      </c>
      <c r="T17" s="977">
        <v>0.81399999999999995</v>
      </c>
      <c r="U17" s="71" t="s">
        <v>141</v>
      </c>
      <c r="V17" s="71" t="s">
        <v>149</v>
      </c>
      <c r="W17" s="942">
        <v>36.5</v>
      </c>
      <c r="X17" s="943">
        <v>34.1</v>
      </c>
      <c r="Y17" s="64">
        <v>70000</v>
      </c>
      <c r="Z17" s="64">
        <v>3</v>
      </c>
      <c r="AA17" s="65">
        <v>3</v>
      </c>
      <c r="AB17" s="65">
        <v>10</v>
      </c>
      <c r="AC17" s="65">
        <v>10</v>
      </c>
      <c r="AD17" s="66">
        <v>0.6</v>
      </c>
      <c r="AE17" s="67">
        <v>0.6</v>
      </c>
    </row>
    <row r="18" spans="1:32" ht="16.5" x14ac:dyDescent="0.3">
      <c r="A18" s="481" t="s">
        <v>502</v>
      </c>
      <c r="B18" s="471">
        <v>113.19</v>
      </c>
      <c r="E18" s="54" t="s">
        <v>4</v>
      </c>
      <c r="F18" s="183" t="s">
        <v>0</v>
      </c>
      <c r="G18" s="184">
        <v>0.15</v>
      </c>
      <c r="H18" s="185">
        <v>0.185</v>
      </c>
      <c r="I18" s="186">
        <v>0.4</v>
      </c>
      <c r="J18" s="186">
        <v>0.15</v>
      </c>
      <c r="K18" s="186">
        <v>0</v>
      </c>
      <c r="L18" s="57">
        <f t="shared" si="0"/>
        <v>0.83110428385212565</v>
      </c>
      <c r="M18" s="203" t="s">
        <v>400</v>
      </c>
      <c r="N18" s="1009" t="s">
        <v>437</v>
      </c>
      <c r="O18" s="50"/>
      <c r="P18" s="68" t="s">
        <v>152</v>
      </c>
      <c r="Q18" s="69" t="s">
        <v>106</v>
      </c>
      <c r="R18" s="970">
        <v>9360</v>
      </c>
      <c r="S18" s="967">
        <v>39.200000000000003</v>
      </c>
      <c r="T18" s="977">
        <v>0.93600000000000005</v>
      </c>
      <c r="U18" s="71" t="s">
        <v>139</v>
      </c>
      <c r="V18" s="71" t="s">
        <v>147</v>
      </c>
      <c r="W18" s="942">
        <v>41.5</v>
      </c>
      <c r="X18" s="943">
        <v>39.200000000000003</v>
      </c>
      <c r="Y18" s="64">
        <v>80700</v>
      </c>
      <c r="Z18" s="64">
        <v>3</v>
      </c>
      <c r="AA18" s="65">
        <v>3</v>
      </c>
      <c r="AB18" s="65">
        <v>10</v>
      </c>
      <c r="AC18" s="65">
        <v>10</v>
      </c>
      <c r="AD18" s="66">
        <v>0.6</v>
      </c>
      <c r="AE18" s="67">
        <v>0.6</v>
      </c>
    </row>
    <row r="19" spans="1:32" ht="16.5" x14ac:dyDescent="0.3">
      <c r="A19" s="481" t="s">
        <v>503</v>
      </c>
      <c r="B19" s="471">
        <v>408.41</v>
      </c>
      <c r="E19" s="113"/>
      <c r="F19" s="187" t="s">
        <v>1</v>
      </c>
      <c r="G19" s="188">
        <v>0.24</v>
      </c>
      <c r="H19" s="189">
        <v>0.06</v>
      </c>
      <c r="I19" s="190">
        <v>0.8</v>
      </c>
      <c r="J19" s="190">
        <v>0.4</v>
      </c>
      <c r="K19" s="190">
        <v>0.16</v>
      </c>
      <c r="L19" s="58">
        <f t="shared" si="0"/>
        <v>0.94176453358424872</v>
      </c>
      <c r="M19" s="198" t="s">
        <v>401</v>
      </c>
      <c r="N19" s="342" t="s">
        <v>438</v>
      </c>
      <c r="O19" s="50"/>
      <c r="P19" s="68" t="s">
        <v>118</v>
      </c>
      <c r="Q19" s="69" t="s">
        <v>108</v>
      </c>
      <c r="R19" s="970">
        <v>8830</v>
      </c>
      <c r="S19" s="967">
        <v>37</v>
      </c>
      <c r="T19" s="977">
        <v>0.88300000000000001</v>
      </c>
      <c r="U19" s="71" t="s">
        <v>140</v>
      </c>
      <c r="V19" s="71" t="s">
        <v>149</v>
      </c>
      <c r="W19" s="942">
        <v>39.799999999999997</v>
      </c>
      <c r="X19" s="943">
        <v>37</v>
      </c>
      <c r="Y19" s="64">
        <v>73300</v>
      </c>
      <c r="Z19" s="64">
        <v>3</v>
      </c>
      <c r="AA19" s="65">
        <v>3</v>
      </c>
      <c r="AB19" s="65">
        <v>10</v>
      </c>
      <c r="AC19" s="65">
        <v>10</v>
      </c>
      <c r="AD19" s="66">
        <v>0.6</v>
      </c>
      <c r="AE19" s="67">
        <v>0.6</v>
      </c>
    </row>
    <row r="20" spans="1:32" ht="16.5" x14ac:dyDescent="0.3">
      <c r="A20" s="481" t="s">
        <v>504</v>
      </c>
      <c r="B20" s="471">
        <v>109.57</v>
      </c>
      <c r="E20" s="113"/>
      <c r="F20" s="187" t="s">
        <v>389</v>
      </c>
      <c r="G20" s="188">
        <v>0.43</v>
      </c>
      <c r="H20" s="189">
        <v>0.03</v>
      </c>
      <c r="I20" s="190">
        <v>0.85</v>
      </c>
      <c r="J20" s="190">
        <v>0.43</v>
      </c>
      <c r="K20" s="190">
        <v>0</v>
      </c>
      <c r="L20" s="58">
        <f t="shared" si="0"/>
        <v>0.97044553354850815</v>
      </c>
      <c r="M20" s="198" t="s">
        <v>406</v>
      </c>
      <c r="N20" s="342" t="s">
        <v>431</v>
      </c>
      <c r="O20" s="50"/>
      <c r="P20" s="68" t="s">
        <v>119</v>
      </c>
      <c r="Q20" s="69" t="s">
        <v>106</v>
      </c>
      <c r="R20" s="970">
        <v>7550</v>
      </c>
      <c r="S20" s="967">
        <v>31.6</v>
      </c>
      <c r="T20" s="977">
        <v>0.755</v>
      </c>
      <c r="U20" s="71" t="s">
        <v>138</v>
      </c>
      <c r="V20" s="71" t="s">
        <v>147</v>
      </c>
      <c r="W20" s="942">
        <v>33.5</v>
      </c>
      <c r="X20" s="943">
        <v>31.6</v>
      </c>
      <c r="Y20" s="64">
        <v>97500</v>
      </c>
      <c r="Z20" s="64">
        <v>3</v>
      </c>
      <c r="AA20" s="65">
        <v>3</v>
      </c>
      <c r="AB20" s="65">
        <v>10</v>
      </c>
      <c r="AC20" s="65">
        <v>10</v>
      </c>
      <c r="AD20" s="66">
        <v>0.6</v>
      </c>
      <c r="AE20" s="67">
        <v>0.6</v>
      </c>
    </row>
    <row r="21" spans="1:32" ht="16.5" x14ac:dyDescent="0.3">
      <c r="A21" s="481" t="s">
        <v>505</v>
      </c>
      <c r="B21" s="471">
        <v>83.52</v>
      </c>
      <c r="E21" s="113"/>
      <c r="F21" s="187" t="s">
        <v>390</v>
      </c>
      <c r="G21" s="188">
        <v>0.4</v>
      </c>
      <c r="H21" s="189">
        <v>0.06</v>
      </c>
      <c r="I21" s="190">
        <v>0.9</v>
      </c>
      <c r="J21" s="190">
        <v>0.41</v>
      </c>
      <c r="K21" s="190">
        <v>0.01</v>
      </c>
      <c r="L21" s="58">
        <f t="shared" si="0"/>
        <v>0.94176453358424872</v>
      </c>
      <c r="M21" s="198" t="s">
        <v>405</v>
      </c>
      <c r="N21" s="342" t="s">
        <v>425</v>
      </c>
      <c r="O21" s="50"/>
      <c r="P21" s="68" t="s">
        <v>120</v>
      </c>
      <c r="Q21" s="69" t="s">
        <v>108</v>
      </c>
      <c r="R21" s="970">
        <v>8200</v>
      </c>
      <c r="S21" s="967">
        <v>34.299999999999997</v>
      </c>
      <c r="T21" s="977">
        <v>0.82</v>
      </c>
      <c r="U21" s="71"/>
      <c r="V21" s="71" t="s">
        <v>149</v>
      </c>
      <c r="W21" s="942">
        <v>36.9</v>
      </c>
      <c r="X21" s="943">
        <v>34.299999999999997</v>
      </c>
      <c r="Y21" s="729">
        <v>71900</v>
      </c>
      <c r="Z21" s="729">
        <v>3</v>
      </c>
      <c r="AA21" s="950">
        <v>3</v>
      </c>
      <c r="AB21" s="950">
        <v>10</v>
      </c>
      <c r="AC21" s="950">
        <v>10</v>
      </c>
      <c r="AD21" s="951">
        <v>0.6</v>
      </c>
      <c r="AE21" s="952">
        <v>0.6</v>
      </c>
      <c r="AF21" s="525" t="s">
        <v>726</v>
      </c>
    </row>
    <row r="22" spans="1:32" ht="17.25" thickBot="1" x14ac:dyDescent="0.35">
      <c r="A22" s="482" t="s">
        <v>506</v>
      </c>
      <c r="B22" s="472">
        <v>408.41</v>
      </c>
      <c r="E22" s="113"/>
      <c r="F22" s="187" t="s">
        <v>391</v>
      </c>
      <c r="G22" s="188">
        <v>0</v>
      </c>
      <c r="H22" s="189"/>
      <c r="I22" s="190">
        <v>1</v>
      </c>
      <c r="J22" s="190">
        <v>0.8</v>
      </c>
      <c r="K22" s="190">
        <v>0.8</v>
      </c>
      <c r="L22" s="58">
        <f t="shared" si="0"/>
        <v>1</v>
      </c>
      <c r="M22" s="198" t="s">
        <v>402</v>
      </c>
      <c r="N22" s="1010" t="s">
        <v>750</v>
      </c>
      <c r="O22" s="50"/>
      <c r="P22" s="68" t="s">
        <v>121</v>
      </c>
      <c r="Q22" s="69" t="s">
        <v>108</v>
      </c>
      <c r="R22" s="970">
        <v>9050</v>
      </c>
      <c r="S22" s="967">
        <v>37.9</v>
      </c>
      <c r="T22" s="977">
        <v>0.90500000000000003</v>
      </c>
      <c r="U22" s="71"/>
      <c r="V22" s="71" t="s">
        <v>149</v>
      </c>
      <c r="W22" s="942">
        <v>40</v>
      </c>
      <c r="X22" s="943">
        <v>37.9</v>
      </c>
      <c r="Y22" s="729">
        <v>77400</v>
      </c>
      <c r="Z22" s="729">
        <v>3</v>
      </c>
      <c r="AA22" s="950">
        <v>3</v>
      </c>
      <c r="AB22" s="950">
        <v>10</v>
      </c>
      <c r="AC22" s="950">
        <v>10</v>
      </c>
      <c r="AD22" s="951">
        <v>0.6</v>
      </c>
      <c r="AE22" s="952">
        <v>0.6</v>
      </c>
      <c r="AF22" s="525" t="s">
        <v>727</v>
      </c>
    </row>
    <row r="23" spans="1:32" ht="16.5" x14ac:dyDescent="0.3">
      <c r="A23" s="1182" t="s">
        <v>329</v>
      </c>
      <c r="B23" s="1183"/>
      <c r="E23" s="113"/>
      <c r="F23" s="187" t="s">
        <v>392</v>
      </c>
      <c r="G23" s="188">
        <v>0.39</v>
      </c>
      <c r="H23" s="189">
        <v>0.03</v>
      </c>
      <c r="I23" s="190">
        <v>0.84</v>
      </c>
      <c r="J23" s="190">
        <v>0.56000000000000005</v>
      </c>
      <c r="K23" s="190">
        <v>0.17</v>
      </c>
      <c r="L23" s="58">
        <f t="shared" si="0"/>
        <v>0.97044553354850815</v>
      </c>
      <c r="M23" s="198" t="s">
        <v>403</v>
      </c>
      <c r="N23" s="83" t="s">
        <v>399</v>
      </c>
      <c r="O23" s="50"/>
      <c r="P23" s="68" t="s">
        <v>122</v>
      </c>
      <c r="Q23" s="69" t="s">
        <v>106</v>
      </c>
      <c r="R23" s="970">
        <v>11780</v>
      </c>
      <c r="S23" s="967">
        <v>49.3</v>
      </c>
      <c r="T23" s="977">
        <v>1.1779999999999999</v>
      </c>
      <c r="U23" s="726" t="s">
        <v>639</v>
      </c>
      <c r="V23" s="71" t="s">
        <v>147</v>
      </c>
      <c r="W23" s="946">
        <v>54.6</v>
      </c>
      <c r="X23" s="947">
        <v>49.3</v>
      </c>
      <c r="Y23" s="73">
        <v>56100</v>
      </c>
      <c r="Z23" s="73">
        <v>1</v>
      </c>
      <c r="AA23" s="74">
        <v>1</v>
      </c>
      <c r="AB23" s="74">
        <v>5</v>
      </c>
      <c r="AC23" s="74">
        <v>5</v>
      </c>
      <c r="AD23" s="75">
        <v>0.1</v>
      </c>
      <c r="AE23" s="76">
        <v>0.1</v>
      </c>
      <c r="AF23" s="525"/>
    </row>
    <row r="24" spans="1:32" ht="16.5" x14ac:dyDescent="0.3">
      <c r="A24" s="483" t="s">
        <v>507</v>
      </c>
      <c r="B24" s="475">
        <v>2.0000000000000001E-4</v>
      </c>
      <c r="E24" s="113"/>
      <c r="F24" s="187" t="s">
        <v>393</v>
      </c>
      <c r="G24" s="188">
        <v>0.04</v>
      </c>
      <c r="H24" s="189">
        <v>0.09</v>
      </c>
      <c r="I24" s="190">
        <v>1</v>
      </c>
      <c r="J24" s="190">
        <v>0.24</v>
      </c>
      <c r="K24" s="190">
        <v>0.2</v>
      </c>
      <c r="L24" s="58">
        <f t="shared" si="0"/>
        <v>0.91393118527122819</v>
      </c>
      <c r="M24" s="198" t="s">
        <v>404</v>
      </c>
      <c r="N24" s="342" t="s">
        <v>426</v>
      </c>
      <c r="O24" s="50"/>
      <c r="P24" s="129" t="s">
        <v>123</v>
      </c>
      <c r="Q24" s="130" t="s">
        <v>124</v>
      </c>
      <c r="R24" s="964">
        <v>9420</v>
      </c>
      <c r="S24" s="966">
        <v>39.4</v>
      </c>
      <c r="T24" s="975">
        <v>0.94199999999999995</v>
      </c>
      <c r="U24" s="727" t="s">
        <v>639</v>
      </c>
      <c r="V24" s="131" t="s">
        <v>186</v>
      </c>
      <c r="W24" s="944">
        <v>43.6</v>
      </c>
      <c r="X24" s="945">
        <v>39.4</v>
      </c>
      <c r="Y24" s="729">
        <v>56100</v>
      </c>
      <c r="Z24" s="133">
        <v>1</v>
      </c>
      <c r="AA24" s="134">
        <v>1</v>
      </c>
      <c r="AB24" s="134">
        <v>5</v>
      </c>
      <c r="AC24" s="134">
        <v>5</v>
      </c>
      <c r="AD24" s="135">
        <v>0.1</v>
      </c>
      <c r="AE24" s="136">
        <v>0.1</v>
      </c>
    </row>
    <row r="25" spans="1:32" ht="16.5" x14ac:dyDescent="0.3">
      <c r="A25" s="483" t="s">
        <v>508</v>
      </c>
      <c r="B25" s="475">
        <v>0</v>
      </c>
      <c r="E25" s="113"/>
      <c r="F25" s="187" t="s">
        <v>394</v>
      </c>
      <c r="G25" s="188">
        <v>0.05</v>
      </c>
      <c r="H25" s="189">
        <v>0.185</v>
      </c>
      <c r="I25" s="190">
        <v>0.1</v>
      </c>
      <c r="J25" s="190">
        <v>0.45</v>
      </c>
      <c r="K25" s="190">
        <v>0</v>
      </c>
      <c r="L25" s="58">
        <f t="shared" si="0"/>
        <v>0.83110428385212565</v>
      </c>
      <c r="M25" s="198" t="s">
        <v>407</v>
      </c>
      <c r="N25" s="342" t="s">
        <v>427</v>
      </c>
      <c r="O25" s="50"/>
      <c r="P25" s="129" t="s">
        <v>125</v>
      </c>
      <c r="Q25" s="130" t="s">
        <v>124</v>
      </c>
      <c r="R25" s="964">
        <v>13780</v>
      </c>
      <c r="S25" s="966">
        <v>57.7</v>
      </c>
      <c r="T25" s="975">
        <v>1.3779999999999999</v>
      </c>
      <c r="U25" s="131" t="s">
        <v>146</v>
      </c>
      <c r="V25" s="131" t="s">
        <v>186</v>
      </c>
      <c r="W25" s="132">
        <v>62.8</v>
      </c>
      <c r="X25" s="945">
        <v>57.7</v>
      </c>
      <c r="Y25" s="133">
        <v>63100</v>
      </c>
      <c r="Z25" s="133">
        <v>1</v>
      </c>
      <c r="AA25" s="134">
        <v>1</v>
      </c>
      <c r="AB25" s="134">
        <v>5</v>
      </c>
      <c r="AC25" s="134">
        <v>5</v>
      </c>
      <c r="AD25" s="135">
        <v>0.1</v>
      </c>
      <c r="AE25" s="136">
        <v>0.1</v>
      </c>
    </row>
    <row r="26" spans="1:32" ht="16.5" x14ac:dyDescent="0.3">
      <c r="A26" s="483" t="s">
        <v>509</v>
      </c>
      <c r="B26" s="475">
        <v>6.0000000000000001E-3</v>
      </c>
      <c r="E26" s="113"/>
      <c r="F26" s="187" t="s">
        <v>395</v>
      </c>
      <c r="G26" s="188">
        <v>0.09</v>
      </c>
      <c r="H26" s="189">
        <v>0.185</v>
      </c>
      <c r="I26" s="190">
        <v>0.35</v>
      </c>
      <c r="J26" s="190">
        <v>0.45</v>
      </c>
      <c r="K26" s="190">
        <v>0</v>
      </c>
      <c r="L26" s="58">
        <f t="shared" si="0"/>
        <v>0.83110428385212565</v>
      </c>
      <c r="M26" s="198" t="s">
        <v>408</v>
      </c>
      <c r="N26" s="342" t="s">
        <v>428</v>
      </c>
      <c r="O26" s="50"/>
      <c r="P26" s="68" t="s">
        <v>126</v>
      </c>
      <c r="Q26" s="69" t="s">
        <v>106</v>
      </c>
      <c r="R26" s="970">
        <v>4450</v>
      </c>
      <c r="S26" s="967">
        <v>18.600000000000001</v>
      </c>
      <c r="T26" s="977">
        <v>0.44500000000000001</v>
      </c>
      <c r="U26" s="71" t="s">
        <v>142</v>
      </c>
      <c r="V26" s="71" t="s">
        <v>147</v>
      </c>
      <c r="W26" s="942">
        <v>18.899999999999999</v>
      </c>
      <c r="X26" s="943">
        <v>18.600000000000001</v>
      </c>
      <c r="Y26" s="64">
        <v>98300</v>
      </c>
      <c r="Z26" s="64">
        <v>1</v>
      </c>
      <c r="AA26" s="65">
        <v>10</v>
      </c>
      <c r="AB26" s="65">
        <v>10</v>
      </c>
      <c r="AC26" s="65">
        <v>300</v>
      </c>
      <c r="AD26" s="66">
        <v>1.5</v>
      </c>
      <c r="AE26" s="67">
        <v>1.5</v>
      </c>
    </row>
    <row r="27" spans="1:32" ht="16.5" x14ac:dyDescent="0.3">
      <c r="A27" s="483" t="s">
        <v>510</v>
      </c>
      <c r="B27" s="475">
        <v>0.188</v>
      </c>
      <c r="E27" s="113"/>
      <c r="F27" s="187" t="s">
        <v>396</v>
      </c>
      <c r="G27" s="188">
        <v>0.15</v>
      </c>
      <c r="H27" s="982">
        <v>0.1</v>
      </c>
      <c r="I27" s="191">
        <v>0.65</v>
      </c>
      <c r="J27" s="191">
        <v>0.4</v>
      </c>
      <c r="K27" s="191">
        <v>0.25</v>
      </c>
      <c r="L27" s="58">
        <f t="shared" si="0"/>
        <v>0.90483741803595952</v>
      </c>
      <c r="M27" s="198" t="s">
        <v>409</v>
      </c>
      <c r="N27" s="342" t="s">
        <v>429</v>
      </c>
      <c r="P27" s="68" t="s">
        <v>127</v>
      </c>
      <c r="Q27" s="69" t="s">
        <v>106</v>
      </c>
      <c r="R27" s="970">
        <v>5820</v>
      </c>
      <c r="S27" s="967">
        <v>24.4</v>
      </c>
      <c r="T27" s="977">
        <v>0.58199999999999996</v>
      </c>
      <c r="U27" s="71" t="s">
        <v>142</v>
      </c>
      <c r="V27" s="71" t="s">
        <v>147</v>
      </c>
      <c r="W27" s="942">
        <v>24.7</v>
      </c>
      <c r="X27" s="943">
        <v>24.4</v>
      </c>
      <c r="Y27" s="64">
        <v>98300</v>
      </c>
      <c r="Z27" s="64">
        <v>1</v>
      </c>
      <c r="AA27" s="65">
        <v>10</v>
      </c>
      <c r="AB27" s="65">
        <v>10</v>
      </c>
      <c r="AC27" s="65">
        <v>300</v>
      </c>
      <c r="AD27" s="66">
        <v>1.5</v>
      </c>
      <c r="AE27" s="67">
        <v>1.5</v>
      </c>
    </row>
    <row r="28" spans="1:32" ht="16.5" x14ac:dyDescent="0.3">
      <c r="A28" s="483" t="s">
        <v>511</v>
      </c>
      <c r="B28" s="475">
        <v>0.06</v>
      </c>
      <c r="E28" s="113"/>
      <c r="F28" s="187" t="s">
        <v>397</v>
      </c>
      <c r="G28" s="188">
        <v>0.39</v>
      </c>
      <c r="H28" s="189">
        <v>0.03</v>
      </c>
      <c r="I28" s="197">
        <v>0.84</v>
      </c>
      <c r="J28" s="197">
        <v>0.67</v>
      </c>
      <c r="K28" s="197">
        <v>0.2</v>
      </c>
      <c r="L28" s="58">
        <f t="shared" si="0"/>
        <v>0.97044553354850815</v>
      </c>
      <c r="M28" s="198" t="s">
        <v>410</v>
      </c>
      <c r="N28" s="342" t="s">
        <v>430</v>
      </c>
      <c r="P28" s="68" t="s">
        <v>128</v>
      </c>
      <c r="Q28" s="69" t="s">
        <v>106</v>
      </c>
      <c r="R28" s="970">
        <v>5890</v>
      </c>
      <c r="S28" s="967">
        <v>24.7</v>
      </c>
      <c r="T28" s="977">
        <v>0.58899999999999997</v>
      </c>
      <c r="U28" s="71" t="s">
        <v>143</v>
      </c>
      <c r="V28" s="71" t="s">
        <v>147</v>
      </c>
      <c r="W28" s="942">
        <v>25.8</v>
      </c>
      <c r="X28" s="943">
        <v>24.7</v>
      </c>
      <c r="Y28" s="64">
        <v>94600</v>
      </c>
      <c r="Z28" s="64">
        <v>1</v>
      </c>
      <c r="AA28" s="65">
        <v>10</v>
      </c>
      <c r="AB28" s="65">
        <v>10</v>
      </c>
      <c r="AC28" s="65">
        <v>300</v>
      </c>
      <c r="AD28" s="66">
        <v>1.5</v>
      </c>
      <c r="AE28" s="67">
        <v>1.5</v>
      </c>
    </row>
    <row r="29" spans="1:32" ht="17.25" thickBot="1" x14ac:dyDescent="0.35">
      <c r="A29" s="484" t="s">
        <v>512</v>
      </c>
      <c r="B29" s="476">
        <v>0.23699999999999999</v>
      </c>
      <c r="E29" s="113"/>
      <c r="F29" s="187" t="s">
        <v>398</v>
      </c>
      <c r="G29" s="188">
        <v>0.01</v>
      </c>
      <c r="H29" s="982">
        <v>0.1</v>
      </c>
      <c r="I29" s="197">
        <v>0.9</v>
      </c>
      <c r="J29" s="197">
        <v>0.04</v>
      </c>
      <c r="K29" s="197">
        <v>0.03</v>
      </c>
      <c r="L29" s="58">
        <f t="shared" si="0"/>
        <v>0.90483741803595952</v>
      </c>
      <c r="M29" s="198" t="s">
        <v>411</v>
      </c>
      <c r="N29" s="1010" t="s">
        <v>745</v>
      </c>
      <c r="P29" s="68" t="s">
        <v>129</v>
      </c>
      <c r="Q29" s="69" t="s">
        <v>106</v>
      </c>
      <c r="R29" s="970">
        <v>6740</v>
      </c>
      <c r="S29" s="967">
        <v>28.2</v>
      </c>
      <c r="T29" s="977">
        <v>0.67400000000000004</v>
      </c>
      <c r="U29" s="71" t="s">
        <v>144</v>
      </c>
      <c r="V29" s="71" t="s">
        <v>147</v>
      </c>
      <c r="W29" s="62">
        <v>29.3</v>
      </c>
      <c r="X29" s="943">
        <v>28.2</v>
      </c>
      <c r="Y29" s="64">
        <v>94600</v>
      </c>
      <c r="Z29" s="64">
        <v>1</v>
      </c>
      <c r="AA29" s="65">
        <v>10</v>
      </c>
      <c r="AB29" s="65">
        <v>10</v>
      </c>
      <c r="AC29" s="65">
        <v>300</v>
      </c>
      <c r="AD29" s="66">
        <v>1.5</v>
      </c>
      <c r="AE29" s="67">
        <v>1.5</v>
      </c>
    </row>
    <row r="30" spans="1:32" ht="16.5" x14ac:dyDescent="0.3">
      <c r="A30" s="488" t="s">
        <v>570</v>
      </c>
      <c r="B30" s="342"/>
      <c r="E30" s="113"/>
      <c r="F30" s="187" t="s">
        <v>387</v>
      </c>
      <c r="G30" s="188">
        <v>0.15</v>
      </c>
      <c r="H30" s="189">
        <v>0.09</v>
      </c>
      <c r="I30" s="190"/>
      <c r="J30" s="190"/>
      <c r="K30" s="190"/>
      <c r="L30" s="58">
        <f t="shared" si="0"/>
        <v>0.91393118527122819</v>
      </c>
      <c r="M30" s="198" t="s">
        <v>412</v>
      </c>
      <c r="N30" s="342" t="s">
        <v>541</v>
      </c>
      <c r="P30" s="68" t="s">
        <v>130</v>
      </c>
      <c r="Q30" s="69" t="s">
        <v>106</v>
      </c>
      <c r="R30" s="970">
        <v>5100</v>
      </c>
      <c r="S30" s="967">
        <v>21.4</v>
      </c>
      <c r="T30" s="977">
        <v>0.51</v>
      </c>
      <c r="U30" s="71" t="s">
        <v>145</v>
      </c>
      <c r="V30" s="71" t="s">
        <v>147</v>
      </c>
      <c r="W30" s="942">
        <v>22.7</v>
      </c>
      <c r="X30" s="943">
        <v>21.4</v>
      </c>
      <c r="Y30" s="64">
        <v>96100</v>
      </c>
      <c r="Z30" s="64">
        <v>1</v>
      </c>
      <c r="AA30" s="65">
        <v>10</v>
      </c>
      <c r="AB30" s="65">
        <v>10</v>
      </c>
      <c r="AC30" s="65">
        <v>300</v>
      </c>
      <c r="AD30" s="66">
        <v>1.5</v>
      </c>
      <c r="AE30" s="67">
        <v>1.5</v>
      </c>
    </row>
    <row r="31" spans="1:32" ht="17.25" thickBot="1" x14ac:dyDescent="0.35">
      <c r="A31" s="340" t="s">
        <v>513</v>
      </c>
      <c r="B31" s="342"/>
      <c r="E31" s="463"/>
      <c r="F31" s="1017" t="s">
        <v>756</v>
      </c>
      <c r="G31" s="193"/>
      <c r="H31" s="1011"/>
      <c r="I31" s="1012" t="s">
        <v>193</v>
      </c>
      <c r="J31" s="1013">
        <v>0.8</v>
      </c>
      <c r="K31" s="1013">
        <v>1</v>
      </c>
      <c r="L31" s="1014"/>
      <c r="M31" s="1015" t="s">
        <v>753</v>
      </c>
      <c r="N31" s="1016" t="s">
        <v>754</v>
      </c>
      <c r="P31" s="86" t="s">
        <v>131</v>
      </c>
      <c r="Q31" s="87" t="s">
        <v>106</v>
      </c>
      <c r="R31" s="971">
        <v>6900</v>
      </c>
      <c r="S31" s="968">
        <v>28.9</v>
      </c>
      <c r="T31" s="978">
        <v>0.69</v>
      </c>
      <c r="U31" s="91" t="s">
        <v>153</v>
      </c>
      <c r="V31" s="91" t="s">
        <v>147</v>
      </c>
      <c r="W31" s="948">
        <v>29.1</v>
      </c>
      <c r="X31" s="949">
        <v>28.9</v>
      </c>
      <c r="Y31" s="92">
        <v>107000</v>
      </c>
      <c r="Z31" s="92">
        <v>1</v>
      </c>
      <c r="AA31" s="93">
        <v>10</v>
      </c>
      <c r="AB31" s="93">
        <v>10</v>
      </c>
      <c r="AC31" s="93">
        <v>300</v>
      </c>
      <c r="AD31" s="94">
        <v>1.5</v>
      </c>
      <c r="AE31" s="95">
        <v>1.5</v>
      </c>
    </row>
    <row r="32" spans="1:32" ht="17.25" thickBot="1" x14ac:dyDescent="0.35">
      <c r="A32" s="341" t="s">
        <v>514</v>
      </c>
      <c r="B32" s="342"/>
      <c r="E32" s="81" t="s">
        <v>21</v>
      </c>
      <c r="F32" s="84" t="s">
        <v>11</v>
      </c>
      <c r="G32" s="332"/>
      <c r="H32" s="1008" t="s">
        <v>10</v>
      </c>
      <c r="I32" s="55"/>
      <c r="J32" s="55"/>
      <c r="K32" s="55"/>
      <c r="L32" s="83"/>
      <c r="M32" s="55"/>
      <c r="P32" s="925" t="s">
        <v>728</v>
      </c>
      <c r="Q32" s="98" t="s">
        <v>191</v>
      </c>
      <c r="R32" s="972">
        <v>2300</v>
      </c>
      <c r="S32" s="733">
        <v>9.6</v>
      </c>
      <c r="T32" s="979">
        <v>0.23</v>
      </c>
      <c r="U32" s="99"/>
      <c r="V32" s="99" t="s">
        <v>195</v>
      </c>
      <c r="W32" s="345">
        <v>9.6</v>
      </c>
      <c r="X32" s="100">
        <v>9.6</v>
      </c>
      <c r="Y32" s="101"/>
      <c r="Z32" s="102"/>
      <c r="AA32" s="103"/>
      <c r="AB32" s="103"/>
      <c r="AC32" s="103"/>
      <c r="AD32" s="104"/>
      <c r="AE32" s="105"/>
    </row>
    <row r="33" spans="1:31" ht="16.5" x14ac:dyDescent="0.3">
      <c r="A33" s="1182" t="s">
        <v>330</v>
      </c>
      <c r="B33" s="1183"/>
      <c r="E33" s="81" t="s">
        <v>22</v>
      </c>
      <c r="F33" s="1215" t="s">
        <v>7</v>
      </c>
      <c r="G33" s="526">
        <v>0.5</v>
      </c>
      <c r="H33" s="82" t="s">
        <v>14</v>
      </c>
      <c r="I33" s="55"/>
      <c r="J33" s="55"/>
      <c r="K33" s="55"/>
      <c r="L33" s="83"/>
      <c r="M33" s="55"/>
      <c r="P33" s="934" t="s">
        <v>729</v>
      </c>
      <c r="Q33" s="927" t="s">
        <v>191</v>
      </c>
      <c r="R33" s="973">
        <v>2100</v>
      </c>
      <c r="S33" s="928">
        <v>8.8000000000000007</v>
      </c>
      <c r="T33" s="980">
        <v>0.21099999999999999</v>
      </c>
      <c r="U33" s="929"/>
      <c r="V33" s="929" t="s">
        <v>195</v>
      </c>
      <c r="W33" s="930">
        <v>8.8000000000000007</v>
      </c>
      <c r="X33" s="931">
        <v>8.8000000000000007</v>
      </c>
      <c r="Y33" s="932"/>
      <c r="Z33" s="64"/>
      <c r="AA33" s="64"/>
      <c r="AB33" s="64"/>
      <c r="AC33" s="64"/>
      <c r="AD33" s="933"/>
      <c r="AE33" s="67"/>
    </row>
    <row r="34" spans="1:31" ht="17.25" thickBot="1" x14ac:dyDescent="0.35">
      <c r="A34" s="485" t="s">
        <v>515</v>
      </c>
      <c r="B34" s="473">
        <v>0.2</v>
      </c>
      <c r="E34" s="81"/>
      <c r="F34" s="1216" t="s">
        <v>5</v>
      </c>
      <c r="G34" s="332">
        <f>INDEX(EF_SWDS_MCF_List,다.매립!$C$10)</f>
        <v>8</v>
      </c>
      <c r="H34" s="82" t="s">
        <v>18</v>
      </c>
      <c r="I34" s="55" t="s">
        <v>93</v>
      </c>
      <c r="J34" s="55"/>
      <c r="K34" s="55"/>
      <c r="L34" s="83"/>
      <c r="M34" s="55"/>
      <c r="P34" s="86" t="s">
        <v>190</v>
      </c>
      <c r="Q34" s="87" t="s">
        <v>192</v>
      </c>
      <c r="R34" s="88" t="s">
        <v>193</v>
      </c>
      <c r="S34" s="89">
        <v>15.6</v>
      </c>
      <c r="T34" s="90"/>
      <c r="U34" s="91"/>
      <c r="V34" s="91"/>
      <c r="W34" s="107">
        <v>18.8</v>
      </c>
      <c r="X34" s="108">
        <v>15.6</v>
      </c>
      <c r="Y34" s="109">
        <v>112000</v>
      </c>
      <c r="Z34" s="109">
        <v>30</v>
      </c>
      <c r="AA34" s="110">
        <v>30</v>
      </c>
      <c r="AB34" s="110">
        <v>300</v>
      </c>
      <c r="AC34" s="110">
        <v>300</v>
      </c>
      <c r="AD34" s="111">
        <v>4</v>
      </c>
      <c r="AE34" s="112">
        <v>4</v>
      </c>
    </row>
    <row r="35" spans="1:31" ht="13.5" x14ac:dyDescent="0.3">
      <c r="A35" s="485" t="s">
        <v>516</v>
      </c>
      <c r="B35" s="473">
        <v>0.2</v>
      </c>
      <c r="E35" s="81"/>
      <c r="F35" s="1216" t="s">
        <v>8</v>
      </c>
      <c r="G35" s="526">
        <v>0.5</v>
      </c>
      <c r="H35" s="82" t="s">
        <v>14</v>
      </c>
      <c r="I35" s="55"/>
      <c r="J35" s="55"/>
      <c r="K35" s="55"/>
      <c r="L35" s="83"/>
      <c r="M35" s="55"/>
      <c r="P35" s="560" t="s">
        <v>597</v>
      </c>
    </row>
    <row r="36" spans="1:31" ht="13.5" x14ac:dyDescent="0.3">
      <c r="A36" s="485" t="s">
        <v>517</v>
      </c>
      <c r="B36" s="473">
        <v>0.05</v>
      </c>
      <c r="E36" s="81"/>
      <c r="F36" s="84" t="s">
        <v>6</v>
      </c>
      <c r="G36" s="332">
        <f>INDEX(EF_SWDS_OX_List,다.매립!$C$11)</f>
        <v>0.1</v>
      </c>
      <c r="H36" s="82" t="s">
        <v>15</v>
      </c>
      <c r="I36" s="55"/>
      <c r="J36" s="55"/>
      <c r="K36" s="55"/>
      <c r="L36" s="83"/>
      <c r="M36" s="55"/>
      <c r="P36" s="115"/>
      <c r="S36" s="115"/>
    </row>
    <row r="37" spans="1:31" ht="18" thickBot="1" x14ac:dyDescent="0.35">
      <c r="A37" s="486" t="s">
        <v>518</v>
      </c>
      <c r="B37" s="474">
        <v>0.2</v>
      </c>
      <c r="E37" s="81"/>
      <c r="F37" s="84" t="s">
        <v>9</v>
      </c>
      <c r="G37" s="332"/>
      <c r="H37" s="85" t="s">
        <v>10</v>
      </c>
      <c r="I37" s="55"/>
      <c r="J37" s="55"/>
      <c r="K37" s="55"/>
      <c r="L37" s="83"/>
      <c r="M37" s="55"/>
      <c r="P37" s="344" t="s">
        <v>738</v>
      </c>
    </row>
    <row r="38" spans="1:31" ht="14.25" thickBot="1" x14ac:dyDescent="0.35">
      <c r="A38" s="488" t="s">
        <v>571</v>
      </c>
      <c r="B38" s="342"/>
      <c r="E38" s="464"/>
      <c r="F38" s="78" t="s">
        <v>12</v>
      </c>
      <c r="G38" s="331"/>
      <c r="H38" s="96" t="s">
        <v>13</v>
      </c>
      <c r="I38" s="77"/>
      <c r="J38" s="77"/>
      <c r="K38" s="77"/>
      <c r="L38" s="97"/>
      <c r="M38" s="55"/>
      <c r="P38" s="1192" t="s">
        <v>245</v>
      </c>
      <c r="Q38" s="1184" t="s">
        <v>261</v>
      </c>
      <c r="R38" s="1175" t="s">
        <v>260</v>
      </c>
      <c r="S38" s="1177" t="s">
        <v>258</v>
      </c>
      <c r="T38" s="1178"/>
      <c r="U38" s="1172" t="s">
        <v>246</v>
      </c>
      <c r="V38" s="1173"/>
      <c r="W38" s="1174"/>
      <c r="X38" s="1185" t="s">
        <v>722</v>
      </c>
      <c r="Y38" s="1175" t="s">
        <v>226</v>
      </c>
      <c r="AA38" s="525" t="s">
        <v>624</v>
      </c>
    </row>
    <row r="39" spans="1:31" x14ac:dyDescent="0.3">
      <c r="A39" s="340" t="s">
        <v>519</v>
      </c>
      <c r="B39" s="342"/>
      <c r="E39" s="54" t="s">
        <v>24</v>
      </c>
      <c r="F39" s="72" t="s">
        <v>25</v>
      </c>
      <c r="G39" s="527">
        <v>1</v>
      </c>
      <c r="H39" s="106" t="s">
        <v>26</v>
      </c>
      <c r="I39" s="106" t="s">
        <v>35</v>
      </c>
      <c r="J39" s="106"/>
      <c r="K39" s="106"/>
      <c r="L39" s="80"/>
      <c r="M39" s="55"/>
      <c r="P39" s="1193"/>
      <c r="Q39" s="1176"/>
      <c r="R39" s="1176"/>
      <c r="S39" s="48" t="s">
        <v>154</v>
      </c>
      <c r="T39" s="48" t="s">
        <v>155</v>
      </c>
      <c r="U39" s="137" t="s">
        <v>294</v>
      </c>
      <c r="V39" s="140" t="s">
        <v>318</v>
      </c>
      <c r="W39" s="137" t="s">
        <v>306</v>
      </c>
      <c r="X39" s="1176"/>
      <c r="Y39" s="1176"/>
      <c r="AA39" s="551" t="s">
        <v>224</v>
      </c>
      <c r="AB39" s="551" t="s">
        <v>294</v>
      </c>
      <c r="AC39" s="551" t="s">
        <v>318</v>
      </c>
      <c r="AD39" s="551" t="s">
        <v>306</v>
      </c>
      <c r="AE39" s="551" t="s">
        <v>226</v>
      </c>
    </row>
    <row r="40" spans="1:31" x14ac:dyDescent="0.3">
      <c r="A40" s="340" t="s">
        <v>520</v>
      </c>
      <c r="B40" s="342"/>
      <c r="E40" s="113" t="s">
        <v>23</v>
      </c>
      <c r="F40" s="56" t="s">
        <v>331</v>
      </c>
      <c r="G40" s="330">
        <f>INDEX(EF_Inciner_CH4_List,마.소각!$C$6,)</f>
        <v>6.0000000000000001E-3</v>
      </c>
      <c r="H40" s="50" t="s">
        <v>332</v>
      </c>
      <c r="I40" s="50" t="s">
        <v>94</v>
      </c>
      <c r="J40" s="50"/>
      <c r="K40" s="50"/>
      <c r="L40" s="83"/>
      <c r="M40" s="55"/>
      <c r="P40" s="137" t="s">
        <v>247</v>
      </c>
      <c r="Q40" s="47" t="s">
        <v>108</v>
      </c>
      <c r="R40" s="47" t="s">
        <v>149</v>
      </c>
      <c r="S40" s="728">
        <v>32.6</v>
      </c>
      <c r="T40" s="728">
        <v>30.3</v>
      </c>
      <c r="U40" s="139">
        <v>69300</v>
      </c>
      <c r="V40" s="142">
        <v>25</v>
      </c>
      <c r="W40" s="138">
        <v>8</v>
      </c>
      <c r="X40" s="48">
        <f>T7</f>
        <v>0.72299999999999998</v>
      </c>
      <c r="Y40" s="48"/>
      <c r="AA40" s="551">
        <v>2005</v>
      </c>
      <c r="AB40" s="552">
        <v>0.43540000000000001</v>
      </c>
      <c r="AC40" s="552">
        <v>5.4000000000000003E-3</v>
      </c>
      <c r="AD40" s="552">
        <v>2.7000000000000001E-3</v>
      </c>
      <c r="AE40" s="1179" t="s">
        <v>225</v>
      </c>
    </row>
    <row r="41" spans="1:31" ht="12.75" thickBot="1" x14ac:dyDescent="0.35">
      <c r="A41" s="470" t="s">
        <v>577</v>
      </c>
      <c r="B41" s="342"/>
      <c r="E41" s="463"/>
      <c r="F41" s="78" t="s">
        <v>310</v>
      </c>
      <c r="G41" s="331">
        <f>INDEX(EF_Inciner_N2O_List,마.소각!$C$7)</f>
        <v>39.799999999999997</v>
      </c>
      <c r="H41" s="114" t="s">
        <v>311</v>
      </c>
      <c r="I41" s="114" t="s">
        <v>95</v>
      </c>
      <c r="J41" s="114"/>
      <c r="K41" s="114"/>
      <c r="L41" s="97"/>
      <c r="M41" s="55"/>
      <c r="P41" s="137" t="s">
        <v>248</v>
      </c>
      <c r="Q41" s="47" t="s">
        <v>108</v>
      </c>
      <c r="R41" s="47" t="s">
        <v>149</v>
      </c>
      <c r="S41" s="728">
        <v>37.700000000000003</v>
      </c>
      <c r="T41" s="728">
        <v>35.299999999999997</v>
      </c>
      <c r="U41" s="139">
        <v>74100</v>
      </c>
      <c r="V41" s="142">
        <v>3.9</v>
      </c>
      <c r="W41" s="728">
        <v>3.9</v>
      </c>
      <c r="X41" s="48">
        <f>T10</f>
        <v>0.87</v>
      </c>
      <c r="Y41" s="48"/>
      <c r="AA41" s="551">
        <v>2006</v>
      </c>
      <c r="AB41" s="552">
        <v>0.44109999999999999</v>
      </c>
      <c r="AC41" s="552">
        <v>5.4000000000000003E-3</v>
      </c>
      <c r="AD41" s="552">
        <v>2.7000000000000001E-3</v>
      </c>
      <c r="AE41" s="1179"/>
    </row>
    <row r="42" spans="1:31" ht="13.5" x14ac:dyDescent="0.3">
      <c r="A42" s="488" t="s">
        <v>572</v>
      </c>
      <c r="B42" s="342"/>
      <c r="E42" s="54" t="s">
        <v>57</v>
      </c>
      <c r="F42" s="116" t="s">
        <v>333</v>
      </c>
      <c r="G42" s="117">
        <f>CHOOSE(라.생물학적처리!$C$5,10,4)</f>
        <v>10</v>
      </c>
      <c r="H42" s="106" t="s">
        <v>334</v>
      </c>
      <c r="I42" s="106" t="s">
        <v>96</v>
      </c>
      <c r="J42" s="106"/>
      <c r="K42" s="106"/>
      <c r="L42" s="80"/>
      <c r="M42" s="55"/>
      <c r="P42" s="880" t="s">
        <v>249</v>
      </c>
      <c r="Q42" s="881" t="s">
        <v>108</v>
      </c>
      <c r="R42" s="881" t="s">
        <v>257</v>
      </c>
      <c r="S42" s="728">
        <f>W14*0.578</f>
        <v>28.668799999999997</v>
      </c>
      <c r="T42" s="728">
        <f>X14*0.578</f>
        <v>26.3568</v>
      </c>
      <c r="U42" s="139">
        <v>63100</v>
      </c>
      <c r="V42" s="142">
        <v>62</v>
      </c>
      <c r="W42" s="138">
        <v>0.2</v>
      </c>
      <c r="X42" s="48">
        <f>T15</f>
        <v>0.71599999999999997</v>
      </c>
      <c r="Y42" s="919" t="s">
        <v>695</v>
      </c>
      <c r="AA42" s="551">
        <v>2007</v>
      </c>
      <c r="AB42" s="552">
        <v>0.46229999999999999</v>
      </c>
      <c r="AC42" s="552">
        <v>5.5999999999999999E-3</v>
      </c>
      <c r="AD42" s="552">
        <v>2.8E-3</v>
      </c>
      <c r="AE42" s="1179"/>
    </row>
    <row r="43" spans="1:31" ht="12.75" thickBot="1" x14ac:dyDescent="0.35">
      <c r="A43" s="340" t="s">
        <v>521</v>
      </c>
      <c r="B43" s="342"/>
      <c r="E43" s="468" t="s">
        <v>23</v>
      </c>
      <c r="F43" s="118" t="s">
        <v>312</v>
      </c>
      <c r="G43" s="119">
        <f>CHOOSE(라.생물학적처리!$C$5,0.6,0.3)</f>
        <v>0.6</v>
      </c>
      <c r="H43" s="50" t="s">
        <v>334</v>
      </c>
      <c r="I43" s="50" t="s">
        <v>96</v>
      </c>
      <c r="J43" s="50"/>
      <c r="K43" s="50"/>
      <c r="L43" s="83"/>
      <c r="M43" s="55"/>
      <c r="P43" s="137" t="s">
        <v>250</v>
      </c>
      <c r="Q43" s="47" t="s">
        <v>108</v>
      </c>
      <c r="R43" s="47" t="s">
        <v>149</v>
      </c>
      <c r="S43" s="728">
        <v>36.799999999999997</v>
      </c>
      <c r="T43" s="728">
        <v>34.299999999999997</v>
      </c>
      <c r="U43" s="139">
        <v>71900</v>
      </c>
      <c r="V43" s="142">
        <v>0</v>
      </c>
      <c r="W43" s="138">
        <v>0</v>
      </c>
      <c r="X43" s="48">
        <f>T9</f>
        <v>0.84199999999999997</v>
      </c>
      <c r="Y43" s="48" t="s">
        <v>259</v>
      </c>
      <c r="AA43" s="551">
        <v>2008</v>
      </c>
      <c r="AB43" s="553">
        <v>0.46820000000000001</v>
      </c>
      <c r="AC43" s="553">
        <v>5.1999999999999998E-3</v>
      </c>
      <c r="AD43" s="553">
        <v>2.5999999999999999E-3</v>
      </c>
      <c r="AE43" s="1179"/>
    </row>
    <row r="44" spans="1:31" x14ac:dyDescent="0.3">
      <c r="A44" s="340" t="s">
        <v>522</v>
      </c>
      <c r="B44" s="342"/>
      <c r="E44" s="113"/>
      <c r="F44" s="118" t="s">
        <v>335</v>
      </c>
      <c r="G44" s="119">
        <f>CHOOSE(라.생물학적처리!$C$5,2,1)</f>
        <v>2</v>
      </c>
      <c r="H44" s="50" t="s">
        <v>313</v>
      </c>
      <c r="I44" s="50" t="s">
        <v>96</v>
      </c>
      <c r="J44" s="50"/>
      <c r="K44" s="50"/>
      <c r="L44" s="83"/>
      <c r="M44" s="55"/>
      <c r="P44" s="137" t="s">
        <v>251</v>
      </c>
      <c r="Q44" s="47" t="s">
        <v>108</v>
      </c>
      <c r="R44" s="47" t="s">
        <v>149</v>
      </c>
      <c r="S44" s="728">
        <v>39.799999999999997</v>
      </c>
      <c r="T44" s="728">
        <v>37</v>
      </c>
      <c r="U44" s="139">
        <v>73300</v>
      </c>
      <c r="V44" s="142">
        <v>0</v>
      </c>
      <c r="W44" s="138">
        <v>0</v>
      </c>
      <c r="X44" s="48">
        <f>T20</f>
        <v>0.755</v>
      </c>
      <c r="Y44" s="48"/>
      <c r="AA44" s="554">
        <v>2009</v>
      </c>
      <c r="AB44" s="499" t="s">
        <v>591</v>
      </c>
      <c r="AC44" s="500" t="s">
        <v>591</v>
      </c>
      <c r="AD44" s="501" t="s">
        <v>591</v>
      </c>
      <c r="AE44" s="1180" t="s">
        <v>620</v>
      </c>
    </row>
    <row r="45" spans="1:31" ht="12.75" thickBot="1" x14ac:dyDescent="0.35">
      <c r="A45" s="340" t="s">
        <v>523</v>
      </c>
      <c r="B45" s="342"/>
      <c r="E45" s="463"/>
      <c r="F45" s="120" t="s">
        <v>314</v>
      </c>
      <c r="G45" s="121">
        <f>CHOOSE(라.생물학적처리!$C$5,0,0)</f>
        <v>0</v>
      </c>
      <c r="H45" s="114" t="s">
        <v>313</v>
      </c>
      <c r="I45" s="114" t="s">
        <v>60</v>
      </c>
      <c r="J45" s="114"/>
      <c r="K45" s="114"/>
      <c r="L45" s="97"/>
      <c r="M45" s="55"/>
      <c r="P45" s="137" t="s">
        <v>252</v>
      </c>
      <c r="Q45" s="47" t="s">
        <v>124</v>
      </c>
      <c r="R45" s="47" t="s">
        <v>257</v>
      </c>
      <c r="S45" s="728">
        <v>43.6</v>
      </c>
      <c r="T45" s="728">
        <v>39.4</v>
      </c>
      <c r="U45" s="139">
        <v>56100</v>
      </c>
      <c r="V45" s="142">
        <v>92</v>
      </c>
      <c r="W45" s="138">
        <v>3</v>
      </c>
      <c r="X45" s="48">
        <f>T25</f>
        <v>1.3779999999999999</v>
      </c>
      <c r="Y45" s="919" t="s">
        <v>636</v>
      </c>
      <c r="AA45" s="554">
        <v>2010</v>
      </c>
      <c r="AB45" s="502" t="s">
        <v>591</v>
      </c>
      <c r="AC45" s="503" t="s">
        <v>591</v>
      </c>
      <c r="AD45" s="504" t="s">
        <v>591</v>
      </c>
      <c r="AE45" s="1181"/>
    </row>
    <row r="46" spans="1:31" ht="12.75" thickBot="1" x14ac:dyDescent="0.35">
      <c r="A46" s="340" t="s">
        <v>524</v>
      </c>
      <c r="B46" s="342"/>
      <c r="E46" s="54" t="s">
        <v>66</v>
      </c>
      <c r="F46" s="72" t="s">
        <v>336</v>
      </c>
      <c r="G46" s="528">
        <v>1.532E-2</v>
      </c>
      <c r="H46" s="106" t="s">
        <v>337</v>
      </c>
      <c r="I46" s="106" t="s">
        <v>223</v>
      </c>
      <c r="J46" s="106"/>
      <c r="K46" s="106"/>
      <c r="L46" s="80"/>
      <c r="M46" s="55"/>
      <c r="P46" s="137" t="s">
        <v>253</v>
      </c>
      <c r="Q46" s="47" t="s">
        <v>124</v>
      </c>
      <c r="R46" s="47" t="s">
        <v>257</v>
      </c>
      <c r="S46" s="728">
        <v>43.6</v>
      </c>
      <c r="T46" s="728">
        <v>39.4</v>
      </c>
      <c r="U46" s="139">
        <v>56100</v>
      </c>
      <c r="V46" s="142">
        <v>92</v>
      </c>
      <c r="W46" s="138">
        <v>3</v>
      </c>
      <c r="X46" s="48">
        <f>T25</f>
        <v>1.3779999999999999</v>
      </c>
      <c r="Y46" s="919" t="s">
        <v>636</v>
      </c>
      <c r="AB46" s="46" t="s">
        <v>230</v>
      </c>
    </row>
    <row r="47" spans="1:31" ht="14.25" thickBot="1" x14ac:dyDescent="0.35">
      <c r="A47" s="488" t="s">
        <v>573</v>
      </c>
      <c r="B47" s="342"/>
      <c r="E47" s="468" t="s">
        <v>23</v>
      </c>
      <c r="F47" s="56" t="s">
        <v>315</v>
      </c>
      <c r="G47" s="529">
        <v>5.0000000000000001E-3</v>
      </c>
      <c r="H47" s="50" t="s">
        <v>316</v>
      </c>
      <c r="I47" s="50"/>
      <c r="J47" s="50"/>
      <c r="K47" s="50"/>
      <c r="L47" s="83"/>
      <c r="M47" s="55"/>
      <c r="N47" s="46" cm="1">
        <f t="array" ref="N47:N52">EF_Inciner_N2O_List</f>
        <v>39.799999999999997</v>
      </c>
      <c r="W47" s="141"/>
      <c r="AA47" s="717" t="s">
        <v>623</v>
      </c>
    </row>
    <row r="48" spans="1:31" ht="12.75" thickBot="1" x14ac:dyDescent="0.35">
      <c r="A48" s="340">
        <v>2005</v>
      </c>
      <c r="B48" s="342"/>
      <c r="E48" s="465" t="s">
        <v>67</v>
      </c>
      <c r="F48" s="125" t="s">
        <v>336</v>
      </c>
      <c r="G48" s="329">
        <f>INDEX(EF_IWWater_CH4_List,사.폐수!$C$5)</f>
        <v>0.2</v>
      </c>
      <c r="H48" s="53" t="s">
        <v>338</v>
      </c>
      <c r="I48" s="53" t="s">
        <v>97</v>
      </c>
      <c r="J48" s="53"/>
      <c r="K48" s="53"/>
      <c r="L48" s="126"/>
      <c r="M48" s="77"/>
      <c r="N48" s="46">
        <v>113.19</v>
      </c>
      <c r="P48" s="1170"/>
      <c r="Q48" s="1186"/>
      <c r="R48" s="1171"/>
      <c r="S48" s="1171"/>
      <c r="T48" s="1171"/>
      <c r="U48" s="1170"/>
      <c r="V48" s="1170"/>
      <c r="W48" s="1170"/>
      <c r="X48" s="1171"/>
      <c r="Y48" s="1171"/>
    </row>
    <row r="49" spans="1:25" x14ac:dyDescent="0.3">
      <c r="A49" s="340">
        <v>2006</v>
      </c>
      <c r="B49" s="342"/>
      <c r="E49" s="163" t="s">
        <v>187</v>
      </c>
      <c r="F49" s="116" t="s">
        <v>295</v>
      </c>
      <c r="G49" s="730">
        <f>ROUND(AVERAGE(AB42:AB43),4)</f>
        <v>0.46529999999999999</v>
      </c>
      <c r="H49" s="106" t="s">
        <v>296</v>
      </c>
      <c r="I49" s="714" t="s">
        <v>622</v>
      </c>
      <c r="J49" s="106"/>
      <c r="K49" s="106"/>
      <c r="L49" s="80"/>
      <c r="M49" s="80"/>
      <c r="N49" s="46">
        <v>408.41</v>
      </c>
      <c r="P49" s="1170"/>
      <c r="Q49" s="1171"/>
      <c r="R49" s="1171"/>
      <c r="S49" s="50"/>
      <c r="T49" s="50"/>
      <c r="U49" s="954"/>
      <c r="V49" s="954"/>
      <c r="W49" s="954"/>
      <c r="X49" s="1171"/>
      <c r="Y49" s="1171"/>
    </row>
    <row r="50" spans="1:25" x14ac:dyDescent="0.3">
      <c r="A50" s="340">
        <v>2007</v>
      </c>
      <c r="B50" s="342"/>
      <c r="E50" s="469" t="s">
        <v>23</v>
      </c>
      <c r="F50" s="118" t="s">
        <v>336</v>
      </c>
      <c r="G50" s="731">
        <f>ROUND(AVERAGE(AC42:AC43),4)</f>
        <v>5.4000000000000003E-3</v>
      </c>
      <c r="H50" s="50" t="s">
        <v>339</v>
      </c>
      <c r="I50" s="715" t="s">
        <v>622</v>
      </c>
      <c r="J50" s="50"/>
      <c r="K50" s="50"/>
      <c r="L50" s="83"/>
      <c r="M50" s="83"/>
      <c r="N50" s="46">
        <v>109.57</v>
      </c>
      <c r="P50" s="954"/>
      <c r="Q50" s="49"/>
      <c r="R50" s="49"/>
      <c r="S50" s="50"/>
      <c r="T50" s="50"/>
      <c r="U50" s="955"/>
      <c r="V50" s="956"/>
      <c r="W50" s="956"/>
      <c r="X50" s="50"/>
      <c r="Y50" s="50"/>
    </row>
    <row r="51" spans="1:25" ht="12.75" thickBot="1" x14ac:dyDescent="0.35">
      <c r="A51" s="340">
        <v>2008</v>
      </c>
      <c r="B51" s="342"/>
      <c r="E51" s="467"/>
      <c r="F51" s="120" t="s">
        <v>315</v>
      </c>
      <c r="G51" s="732">
        <f>ROUND(AVERAGE(AD42:AD43),4)</f>
        <v>2.7000000000000001E-3</v>
      </c>
      <c r="H51" s="114" t="s">
        <v>317</v>
      </c>
      <c r="I51" s="716" t="s">
        <v>622</v>
      </c>
      <c r="J51" s="114"/>
      <c r="K51" s="114"/>
      <c r="L51" s="97"/>
      <c r="M51" s="97"/>
      <c r="N51" s="46">
        <v>83.52</v>
      </c>
      <c r="P51" s="957"/>
      <c r="Q51" s="49"/>
      <c r="R51" s="49"/>
      <c r="S51" s="50"/>
      <c r="T51" s="50"/>
      <c r="U51" s="955"/>
      <c r="V51" s="956"/>
      <c r="W51" s="958"/>
      <c r="X51" s="50"/>
      <c r="Y51" s="50"/>
    </row>
    <row r="52" spans="1:25" x14ac:dyDescent="0.3">
      <c r="A52" s="340">
        <v>2009</v>
      </c>
      <c r="B52" s="342"/>
      <c r="E52" s="910"/>
      <c r="F52" s="911"/>
      <c r="G52" s="912" t="s">
        <v>707</v>
      </c>
      <c r="H52" s="913" t="s">
        <v>709</v>
      </c>
      <c r="I52" s="913" t="s">
        <v>708</v>
      </c>
      <c r="J52" s="914"/>
      <c r="K52" s="914"/>
      <c r="L52" s="915"/>
      <c r="M52" s="915"/>
      <c r="N52" s="46">
        <v>408.41</v>
      </c>
      <c r="P52" s="959"/>
      <c r="Q52" s="960"/>
      <c r="R52" s="960"/>
      <c r="S52" s="961"/>
      <c r="T52" s="961"/>
      <c r="U52" s="955"/>
      <c r="V52" s="956"/>
      <c r="W52" s="956"/>
      <c r="X52" s="715"/>
      <c r="Y52" s="50"/>
    </row>
    <row r="53" spans="1:25" ht="12.75" thickBot="1" x14ac:dyDescent="0.35">
      <c r="A53" s="341">
        <v>2010</v>
      </c>
      <c r="B53" s="342"/>
      <c r="E53" s="466" t="s">
        <v>254</v>
      </c>
      <c r="F53" s="118" t="s">
        <v>278</v>
      </c>
      <c r="G53" s="868">
        <f>CHOOSE(가.에너지!$C$6,CHOOSE(가.에너지!$C$7,1,CHOOSE(가.에너지!$C$5,0.99,0.98,0.98,0.98),Tier3_F_Solid),1,CHOOSE(가.에너지!$C$5,0.99,0.98,0.98,0.98),Tier3_F_Solid)</f>
        <v>1</v>
      </c>
      <c r="H53" s="903">
        <f>CHOOSE(가.에너지!$C$6,CHOOSE(가.에너지!$C$8,1,CHOOSE(가.에너지!$C$5,0.99,0.98,0.98,0.98),Tier3_F_Solid),1,CHOOSE(가.에너지!$C$5,0.99,0.98,0.98,0.98),Tier3_F_Solid)</f>
        <v>1</v>
      </c>
      <c r="I53" s="904">
        <f>CHOOSE(가.에너지!$C$6,CHOOSE(가.에너지!$C$9,1,CHOOSE(가.에너지!$C$5,0.99,0.98,0.98,0.98),Tier3_F_Solid),1,CHOOSE(가.에너지!$C$5,0.99,0.98,0.98,0.98),Tier3_F_Solid)</f>
        <v>1</v>
      </c>
      <c r="J53" s="715" t="s">
        <v>689</v>
      </c>
      <c r="K53" s="50"/>
      <c r="L53" s="83"/>
      <c r="M53" s="83"/>
      <c r="P53" s="957"/>
      <c r="Q53" s="49"/>
      <c r="R53" s="49"/>
      <c r="S53" s="50"/>
      <c r="T53" s="50"/>
      <c r="U53" s="955"/>
      <c r="V53" s="956"/>
      <c r="W53" s="956"/>
      <c r="X53" s="50"/>
      <c r="Y53" s="50"/>
    </row>
    <row r="54" spans="1:25" ht="13.5" x14ac:dyDescent="0.3">
      <c r="A54" s="488" t="s">
        <v>574</v>
      </c>
      <c r="B54" s="342"/>
      <c r="E54" s="466"/>
      <c r="F54" s="118" t="s">
        <v>279</v>
      </c>
      <c r="G54" s="868">
        <f>CHOOSE(가.에너지!$C$6,CHOOSE(가.에너지!$C$7,1,0.99,0.99),1,0.99,0.99)</f>
        <v>1</v>
      </c>
      <c r="H54" s="903">
        <f>CHOOSE(가.에너지!$C$6,CHOOSE(가.에너지!$C$8,1,0.99,0.99),1,0.99,0.99)</f>
        <v>1</v>
      </c>
      <c r="I54" s="904">
        <f>CHOOSE(가.에너지!$C$6,CHOOSE(가.에너지!$C$9,1,0.99,0.99),1,0.99,0.99)</f>
        <v>1</v>
      </c>
      <c r="J54" s="715" t="s">
        <v>687</v>
      </c>
      <c r="K54" s="50"/>
      <c r="L54" s="83"/>
      <c r="M54" s="83"/>
      <c r="P54" s="957"/>
      <c r="Q54" s="49"/>
      <c r="R54" s="49"/>
      <c r="S54" s="50"/>
      <c r="T54" s="50"/>
      <c r="U54" s="955"/>
      <c r="V54" s="956"/>
      <c r="W54" s="956"/>
      <c r="X54" s="50"/>
      <c r="Y54" s="50"/>
    </row>
    <row r="55" spans="1:25" ht="12.75" thickBot="1" x14ac:dyDescent="0.35">
      <c r="A55" s="340" t="s">
        <v>525</v>
      </c>
      <c r="B55" s="342"/>
      <c r="E55" s="466"/>
      <c r="F55" s="118" t="s">
        <v>280</v>
      </c>
      <c r="G55" s="868">
        <f>CHOOSE(가.에너지!$C$6,CHOOSE(가.에너지!$C$7,1,0.995,1),1,0.995,1)</f>
        <v>1</v>
      </c>
      <c r="H55" s="903">
        <f>CHOOSE(가.에너지!$C$6,CHOOSE(가.에너지!$C$8,1,0.995,1),1,0.995,1)</f>
        <v>1</v>
      </c>
      <c r="I55" s="904">
        <f>CHOOSE(가.에너지!$C$6,CHOOSE(가.에너지!$C$9,1,0.995,1),1,0.995,1)</f>
        <v>1</v>
      </c>
      <c r="J55" s="715" t="s">
        <v>688</v>
      </c>
      <c r="K55" s="50"/>
      <c r="L55" s="83"/>
      <c r="M55" s="83"/>
      <c r="P55" s="957"/>
      <c r="Q55" s="49"/>
      <c r="R55" s="49"/>
      <c r="S55" s="962"/>
      <c r="T55" s="962"/>
      <c r="U55" s="955"/>
      <c r="V55" s="956"/>
      <c r="W55" s="956"/>
      <c r="X55" s="715"/>
      <c r="Y55" s="50"/>
    </row>
    <row r="56" spans="1:25" ht="12.75" thickBot="1" x14ac:dyDescent="0.35">
      <c r="A56" s="340" t="s">
        <v>526</v>
      </c>
      <c r="B56" s="342"/>
      <c r="E56" s="909" t="s">
        <v>691</v>
      </c>
      <c r="F56" s="905" t="s">
        <v>692</v>
      </c>
      <c r="G56" s="906">
        <v>1</v>
      </c>
      <c r="H56" s="907" t="s">
        <v>693</v>
      </c>
      <c r="I56" s="908"/>
      <c r="J56" s="53"/>
      <c r="K56" s="53"/>
      <c r="L56" s="53"/>
      <c r="M56" s="126"/>
      <c r="P56" s="957"/>
      <c r="Q56" s="49"/>
      <c r="R56" s="49"/>
      <c r="S56" s="962"/>
      <c r="T56" s="962"/>
      <c r="U56" s="955"/>
      <c r="V56" s="956"/>
      <c r="W56" s="956"/>
      <c r="X56" s="715"/>
      <c r="Y56" s="50"/>
    </row>
    <row r="57" spans="1:25" ht="13.5" x14ac:dyDescent="0.3">
      <c r="A57" s="488" t="s">
        <v>575</v>
      </c>
      <c r="B57" s="342"/>
      <c r="P57" s="898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8" thickBot="1" x14ac:dyDescent="0.35">
      <c r="A58" s="340" t="s">
        <v>527</v>
      </c>
      <c r="B58" s="342"/>
      <c r="E58" s="1187" t="s">
        <v>551</v>
      </c>
      <c r="F58" s="1187"/>
      <c r="P58" s="898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thickBot="1" x14ac:dyDescent="0.35">
      <c r="A59" s="340" t="s">
        <v>528</v>
      </c>
      <c r="B59" s="342"/>
      <c r="E59" s="359" t="s">
        <v>555</v>
      </c>
      <c r="F59" s="360" t="s">
        <v>556</v>
      </c>
      <c r="G59" s="355" t="s">
        <v>552</v>
      </c>
      <c r="H59" s="351" t="s">
        <v>553</v>
      </c>
      <c r="I59" s="350" t="s">
        <v>554</v>
      </c>
      <c r="K59" s="935"/>
      <c r="L59" s="935"/>
      <c r="M59" s="936" t="s">
        <v>734</v>
      </c>
      <c r="P59" s="898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4.25" thickTop="1" x14ac:dyDescent="0.3">
      <c r="A60" s="488" t="s">
        <v>576</v>
      </c>
      <c r="B60" s="342"/>
      <c r="E60" s="361" t="s">
        <v>557</v>
      </c>
      <c r="F60" s="489">
        <v>1</v>
      </c>
      <c r="G60" s="356">
        <v>1</v>
      </c>
      <c r="H60" s="352">
        <v>1</v>
      </c>
      <c r="I60" s="349">
        <v>1</v>
      </c>
      <c r="K60" s="525"/>
      <c r="M60" s="468" t="s">
        <v>733</v>
      </c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4.25" thickBot="1" x14ac:dyDescent="0.35">
      <c r="A61" s="487" t="s">
        <v>703</v>
      </c>
      <c r="B61" s="342"/>
      <c r="E61" s="362" t="s">
        <v>558</v>
      </c>
      <c r="F61" s="490">
        <v>21</v>
      </c>
      <c r="G61" s="357">
        <v>22</v>
      </c>
      <c r="H61" s="353">
        <v>21</v>
      </c>
      <c r="I61" s="347">
        <v>23</v>
      </c>
      <c r="K61" s="525"/>
      <c r="M61" s="937" t="s">
        <v>732</v>
      </c>
      <c r="P61" s="1170"/>
      <c r="Q61" s="1186"/>
      <c r="R61" s="1171"/>
      <c r="S61" s="1171"/>
      <c r="T61" s="1171"/>
      <c r="U61" s="1170"/>
      <c r="V61" s="1170"/>
      <c r="W61" s="1170"/>
      <c r="X61" s="1171"/>
      <c r="Y61" s="1171"/>
    </row>
    <row r="62" spans="1:25" x14ac:dyDescent="0.3">
      <c r="A62" s="340" t="s">
        <v>529</v>
      </c>
      <c r="B62" s="342"/>
      <c r="E62" s="362" t="s">
        <v>559</v>
      </c>
      <c r="F62" s="490">
        <v>310</v>
      </c>
      <c r="G62" s="357">
        <v>270</v>
      </c>
      <c r="H62" s="353">
        <v>310</v>
      </c>
      <c r="I62" s="347">
        <v>296</v>
      </c>
      <c r="P62" s="1170"/>
      <c r="Q62" s="1171"/>
      <c r="R62" s="1171"/>
      <c r="S62" s="50"/>
      <c r="T62" s="50"/>
      <c r="U62" s="954"/>
      <c r="V62" s="954"/>
      <c r="W62" s="954"/>
      <c r="X62" s="1171"/>
      <c r="Y62" s="1171"/>
    </row>
    <row r="63" spans="1:25" ht="14.25" thickBot="1" x14ac:dyDescent="0.35">
      <c r="A63" s="340" t="s">
        <v>530</v>
      </c>
      <c r="B63" s="342"/>
      <c r="E63" s="363" t="s">
        <v>560</v>
      </c>
      <c r="F63" s="491">
        <v>23900</v>
      </c>
      <c r="G63" s="358"/>
      <c r="H63" s="354">
        <v>23900</v>
      </c>
      <c r="I63" s="348">
        <v>22200</v>
      </c>
      <c r="P63" s="954"/>
      <c r="Q63" s="49"/>
      <c r="R63" s="49"/>
      <c r="S63" s="50"/>
      <c r="T63" s="50"/>
      <c r="U63" s="955"/>
      <c r="V63" s="956"/>
      <c r="W63" s="956"/>
      <c r="X63" s="50"/>
      <c r="Y63" s="50"/>
    </row>
    <row r="64" spans="1:25" ht="12.75" thickBot="1" x14ac:dyDescent="0.35">
      <c r="A64" s="341" t="s">
        <v>531</v>
      </c>
      <c r="B64" s="343"/>
      <c r="P64" s="954"/>
      <c r="Q64" s="49"/>
      <c r="R64" s="49"/>
      <c r="S64" s="50"/>
      <c r="T64" s="50"/>
      <c r="U64" s="955"/>
      <c r="V64" s="956"/>
      <c r="W64" s="958"/>
      <c r="X64" s="50"/>
      <c r="Y64" s="50"/>
    </row>
    <row r="65" spans="1:25" x14ac:dyDescent="0.3">
      <c r="A65" s="898"/>
      <c r="B65" s="715"/>
      <c r="P65" s="983"/>
      <c r="Q65" s="984"/>
      <c r="R65" s="984"/>
      <c r="S65" s="50"/>
      <c r="T65" s="50"/>
      <c r="U65" s="955"/>
      <c r="V65" s="956"/>
      <c r="W65" s="958"/>
      <c r="X65" s="50"/>
      <c r="Y65" s="50"/>
    </row>
    <row r="66" spans="1:25" hidden="1" x14ac:dyDescent="0.3">
      <c r="A66" s="898"/>
      <c r="B66" s="715"/>
      <c r="P66" s="983"/>
      <c r="Q66" s="984"/>
      <c r="R66" s="984"/>
      <c r="S66" s="50"/>
      <c r="T66" s="50"/>
      <c r="U66" s="955"/>
      <c r="V66" s="956"/>
      <c r="W66" s="958"/>
      <c r="X66" s="50"/>
      <c r="Y66" s="50"/>
    </row>
    <row r="67" spans="1:25" hidden="1" x14ac:dyDescent="0.3">
      <c r="A67" s="898"/>
      <c r="B67" s="715"/>
      <c r="E67" s="113" t="s">
        <v>4</v>
      </c>
      <c r="F67" s="187" t="s">
        <v>0</v>
      </c>
      <c r="G67" s="188">
        <v>0.15</v>
      </c>
      <c r="H67" s="189">
        <v>0.185</v>
      </c>
      <c r="I67" s="190">
        <v>0.4</v>
      </c>
      <c r="J67" s="190">
        <v>0.15</v>
      </c>
      <c r="K67" s="190">
        <v>0</v>
      </c>
      <c r="L67" s="58">
        <f t="shared" ref="L67:L80" si="1">EXP(-H67)</f>
        <v>0.83110428385212565</v>
      </c>
      <c r="M67" s="199" t="s">
        <v>400</v>
      </c>
      <c r="N67" s="198" t="s">
        <v>437</v>
      </c>
      <c r="P67" s="983"/>
      <c r="Q67" s="984"/>
      <c r="R67" s="984"/>
      <c r="S67" s="50"/>
      <c r="T67" s="50"/>
      <c r="U67" s="955"/>
      <c r="V67" s="956"/>
      <c r="W67" s="958"/>
      <c r="X67" s="50"/>
      <c r="Y67" s="50"/>
    </row>
    <row r="68" spans="1:25" hidden="1" x14ac:dyDescent="0.3">
      <c r="A68" s="898"/>
      <c r="B68" s="715"/>
      <c r="E68" s="113"/>
      <c r="F68" s="187" t="s">
        <v>1</v>
      </c>
      <c r="G68" s="188">
        <v>0.24</v>
      </c>
      <c r="H68" s="189">
        <v>0.06</v>
      </c>
      <c r="I68" s="190">
        <v>0.8</v>
      </c>
      <c r="J68" s="190">
        <v>0.4</v>
      </c>
      <c r="K68" s="190">
        <v>0.16</v>
      </c>
      <c r="L68" s="58">
        <f t="shared" si="1"/>
        <v>0.94176453358424872</v>
      </c>
      <c r="M68" s="199" t="s">
        <v>401</v>
      </c>
      <c r="N68" s="198" t="s">
        <v>434</v>
      </c>
      <c r="P68" s="983"/>
      <c r="Q68" s="984"/>
      <c r="R68" s="984"/>
      <c r="S68" s="50"/>
      <c r="T68" s="50"/>
      <c r="U68" s="955"/>
      <c r="V68" s="956"/>
      <c r="W68" s="958"/>
      <c r="X68" s="50"/>
      <c r="Y68" s="50"/>
    </row>
    <row r="69" spans="1:25" hidden="1" x14ac:dyDescent="0.3">
      <c r="A69" s="898"/>
      <c r="B69" s="715"/>
      <c r="E69" s="113"/>
      <c r="F69" s="187" t="s">
        <v>389</v>
      </c>
      <c r="G69" s="188">
        <v>0.43</v>
      </c>
      <c r="H69" s="189">
        <v>0.03</v>
      </c>
      <c r="I69" s="190">
        <v>0.85</v>
      </c>
      <c r="J69" s="190">
        <v>0.43</v>
      </c>
      <c r="K69" s="190">
        <v>0</v>
      </c>
      <c r="L69" s="58">
        <f t="shared" si="1"/>
        <v>0.97044553354850815</v>
      </c>
      <c r="M69" s="199" t="s">
        <v>406</v>
      </c>
      <c r="N69" s="198" t="s">
        <v>431</v>
      </c>
      <c r="P69" s="983"/>
      <c r="Q69" s="984"/>
      <c r="R69" s="984"/>
      <c r="S69" s="50"/>
      <c r="T69" s="50"/>
      <c r="U69" s="955"/>
      <c r="V69" s="956"/>
      <c r="W69" s="958"/>
      <c r="X69" s="50"/>
      <c r="Y69" s="50"/>
    </row>
    <row r="70" spans="1:25" hidden="1" x14ac:dyDescent="0.3">
      <c r="A70" s="898"/>
      <c r="B70" s="715"/>
      <c r="E70" s="113"/>
      <c r="F70" s="187" t="s">
        <v>390</v>
      </c>
      <c r="G70" s="188">
        <v>0.4</v>
      </c>
      <c r="H70" s="189">
        <v>0.06</v>
      </c>
      <c r="I70" s="190">
        <v>0.9</v>
      </c>
      <c r="J70" s="190">
        <v>0.41</v>
      </c>
      <c r="K70" s="190">
        <v>0.01</v>
      </c>
      <c r="L70" s="58">
        <f t="shared" si="1"/>
        <v>0.94176453358424872</v>
      </c>
      <c r="M70" s="199" t="s">
        <v>405</v>
      </c>
      <c r="N70" s="198" t="s">
        <v>425</v>
      </c>
      <c r="P70" s="983"/>
      <c r="Q70" s="984"/>
      <c r="R70" s="984"/>
      <c r="S70" s="50"/>
      <c r="T70" s="50"/>
      <c r="U70" s="955"/>
      <c r="V70" s="956"/>
      <c r="W70" s="958"/>
      <c r="X70" s="50"/>
      <c r="Y70" s="50"/>
    </row>
    <row r="71" spans="1:25" hidden="1" x14ac:dyDescent="0.3">
      <c r="A71" s="898"/>
      <c r="B71" s="715"/>
      <c r="E71" s="113"/>
      <c r="F71" s="187" t="s">
        <v>391</v>
      </c>
      <c r="G71" s="188">
        <v>0</v>
      </c>
      <c r="H71" s="189"/>
      <c r="I71" s="190">
        <v>1</v>
      </c>
      <c r="J71" s="190">
        <v>0.8</v>
      </c>
      <c r="K71" s="190">
        <v>0.8</v>
      </c>
      <c r="L71" s="58">
        <f t="shared" si="1"/>
        <v>1</v>
      </c>
      <c r="M71" s="199" t="s">
        <v>402</v>
      </c>
      <c r="N71" s="981" t="s">
        <v>750</v>
      </c>
      <c r="P71" s="983"/>
      <c r="Q71" s="984"/>
      <c r="R71" s="984"/>
      <c r="S71" s="50"/>
      <c r="T71" s="50"/>
      <c r="U71" s="955"/>
      <c r="V71" s="956"/>
      <c r="W71" s="958"/>
      <c r="X71" s="50"/>
      <c r="Y71" s="50"/>
    </row>
    <row r="72" spans="1:25" hidden="1" x14ac:dyDescent="0.3">
      <c r="A72" s="898"/>
      <c r="B72" s="715"/>
      <c r="E72" s="113"/>
      <c r="F72" s="187" t="s">
        <v>392</v>
      </c>
      <c r="G72" s="188">
        <v>0.39</v>
      </c>
      <c r="H72" s="189">
        <v>0.03</v>
      </c>
      <c r="I72" s="190">
        <v>0.84</v>
      </c>
      <c r="J72" s="190">
        <v>0.56000000000000005</v>
      </c>
      <c r="K72" s="190">
        <v>0.17</v>
      </c>
      <c r="L72" s="58">
        <f t="shared" si="1"/>
        <v>0.97044553354850815</v>
      </c>
      <c r="M72" s="199" t="s">
        <v>403</v>
      </c>
      <c r="N72" s="55" t="s">
        <v>399</v>
      </c>
      <c r="P72" s="983"/>
      <c r="Q72" s="984"/>
      <c r="R72" s="984"/>
      <c r="S72" s="50"/>
      <c r="T72" s="50"/>
      <c r="U72" s="955"/>
      <c r="V72" s="956"/>
      <c r="W72" s="958"/>
      <c r="X72" s="50"/>
      <c r="Y72" s="50"/>
    </row>
    <row r="73" spans="1:25" hidden="1" x14ac:dyDescent="0.3">
      <c r="A73" s="898"/>
      <c r="B73" s="715"/>
      <c r="E73" s="113"/>
      <c r="F73" s="187" t="s">
        <v>393</v>
      </c>
      <c r="G73" s="188">
        <v>0.04</v>
      </c>
      <c r="H73" s="189">
        <v>0.09</v>
      </c>
      <c r="I73" s="190">
        <v>1</v>
      </c>
      <c r="J73" s="190">
        <v>0.24</v>
      </c>
      <c r="K73" s="190">
        <v>0.2</v>
      </c>
      <c r="L73" s="58">
        <f t="shared" si="1"/>
        <v>0.91393118527122819</v>
      </c>
      <c r="M73" s="199" t="s">
        <v>404</v>
      </c>
      <c r="N73" s="198" t="s">
        <v>426</v>
      </c>
      <c r="P73" s="983"/>
      <c r="Q73" s="984"/>
      <c r="R73" s="984"/>
      <c r="S73" s="50"/>
      <c r="T73" s="50"/>
      <c r="U73" s="955"/>
      <c r="V73" s="956"/>
      <c r="W73" s="958"/>
      <c r="X73" s="50"/>
      <c r="Y73" s="50"/>
    </row>
    <row r="74" spans="1:25" hidden="1" x14ac:dyDescent="0.3">
      <c r="A74" s="898"/>
      <c r="B74" s="715"/>
      <c r="E74" s="113"/>
      <c r="F74" s="187" t="s">
        <v>394</v>
      </c>
      <c r="G74" s="188">
        <v>0.05</v>
      </c>
      <c r="H74" s="189">
        <v>0.185</v>
      </c>
      <c r="I74" s="190">
        <v>0.1</v>
      </c>
      <c r="J74" s="190">
        <v>0.45</v>
      </c>
      <c r="K74" s="190">
        <v>0</v>
      </c>
      <c r="L74" s="58">
        <f t="shared" si="1"/>
        <v>0.83110428385212565</v>
      </c>
      <c r="M74" s="199" t="s">
        <v>407</v>
      </c>
      <c r="N74" s="198" t="s">
        <v>427</v>
      </c>
      <c r="P74" s="983"/>
      <c r="Q74" s="984"/>
      <c r="R74" s="984"/>
      <c r="S74" s="50"/>
      <c r="T74" s="50"/>
      <c r="U74" s="955"/>
      <c r="V74" s="956"/>
      <c r="W74" s="958"/>
      <c r="X74" s="50"/>
      <c r="Y74" s="50"/>
    </row>
    <row r="75" spans="1:25" hidden="1" x14ac:dyDescent="0.3">
      <c r="A75" s="898"/>
      <c r="B75" s="715"/>
      <c r="E75" s="113"/>
      <c r="F75" s="187" t="s">
        <v>395</v>
      </c>
      <c r="G75" s="188">
        <v>0.09</v>
      </c>
      <c r="H75" s="189">
        <v>0.185</v>
      </c>
      <c r="I75" s="190">
        <v>0.35</v>
      </c>
      <c r="J75" s="190">
        <v>0.45</v>
      </c>
      <c r="K75" s="190">
        <v>0</v>
      </c>
      <c r="L75" s="58">
        <f t="shared" si="1"/>
        <v>0.83110428385212565</v>
      </c>
      <c r="M75" s="199" t="s">
        <v>408</v>
      </c>
      <c r="N75" s="198" t="s">
        <v>428</v>
      </c>
      <c r="P75" s="983"/>
      <c r="Q75" s="984"/>
      <c r="R75" s="984"/>
      <c r="S75" s="50"/>
      <c r="T75" s="50"/>
      <c r="U75" s="955"/>
      <c r="V75" s="956"/>
      <c r="W75" s="958"/>
      <c r="X75" s="50"/>
      <c r="Y75" s="50"/>
    </row>
    <row r="76" spans="1:25" hidden="1" x14ac:dyDescent="0.3">
      <c r="A76" s="898"/>
      <c r="B76" s="715"/>
      <c r="E76" s="113"/>
      <c r="F76" s="187" t="s">
        <v>396</v>
      </c>
      <c r="G76" s="188">
        <v>0.15</v>
      </c>
      <c r="H76" s="982">
        <v>0.1</v>
      </c>
      <c r="I76" s="191">
        <v>0.65</v>
      </c>
      <c r="J76" s="191">
        <v>0.4</v>
      </c>
      <c r="K76" s="191">
        <v>0.25</v>
      </c>
      <c r="L76" s="58">
        <f t="shared" si="1"/>
        <v>0.90483741803595952</v>
      </c>
      <c r="M76" s="199" t="s">
        <v>409</v>
      </c>
      <c r="N76" s="198" t="s">
        <v>429</v>
      </c>
      <c r="P76" s="983"/>
      <c r="Q76" s="984"/>
      <c r="R76" s="984"/>
      <c r="S76" s="50"/>
      <c r="T76" s="50"/>
      <c r="U76" s="955"/>
      <c r="V76" s="956"/>
      <c r="W76" s="958"/>
      <c r="X76" s="50"/>
      <c r="Y76" s="50"/>
    </row>
    <row r="77" spans="1:25" hidden="1" x14ac:dyDescent="0.3">
      <c r="A77" s="898"/>
      <c r="B77" s="715"/>
      <c r="E77" s="113"/>
      <c r="F77" s="187" t="s">
        <v>397</v>
      </c>
      <c r="G77" s="188">
        <v>0.39</v>
      </c>
      <c r="H77" s="189">
        <v>0.03</v>
      </c>
      <c r="I77" s="197">
        <v>0.84</v>
      </c>
      <c r="J77" s="197">
        <v>0.67</v>
      </c>
      <c r="K77" s="197">
        <v>0.2</v>
      </c>
      <c r="L77" s="58">
        <f t="shared" si="1"/>
        <v>0.97044553354850815</v>
      </c>
      <c r="M77" s="199" t="s">
        <v>410</v>
      </c>
      <c r="N77" s="198" t="s">
        <v>430</v>
      </c>
      <c r="P77" s="983"/>
      <c r="Q77" s="984"/>
      <c r="R77" s="984"/>
      <c r="S77" s="50"/>
      <c r="T77" s="50"/>
      <c r="U77" s="955"/>
      <c r="V77" s="956"/>
      <c r="W77" s="958"/>
      <c r="X77" s="50"/>
      <c r="Y77" s="50"/>
    </row>
    <row r="78" spans="1:25" ht="13.5" hidden="1" customHeight="1" x14ac:dyDescent="0.3">
      <c r="A78" s="898"/>
      <c r="B78" s="715"/>
      <c r="E78" s="113"/>
      <c r="F78" s="187" t="s">
        <v>398</v>
      </c>
      <c r="G78" s="188">
        <v>0.01</v>
      </c>
      <c r="H78" s="982">
        <v>0.1</v>
      </c>
      <c r="I78" s="197">
        <v>0.9</v>
      </c>
      <c r="J78" s="197">
        <v>0.04</v>
      </c>
      <c r="K78" s="197">
        <v>0.03</v>
      </c>
      <c r="L78" s="58">
        <f t="shared" si="1"/>
        <v>0.90483741803595952</v>
      </c>
      <c r="M78" s="199" t="s">
        <v>411</v>
      </c>
      <c r="N78" s="981" t="s">
        <v>745</v>
      </c>
      <c r="P78" s="983"/>
      <c r="Q78" s="984"/>
      <c r="R78" s="984"/>
      <c r="S78" s="50"/>
      <c r="T78" s="50"/>
      <c r="U78" s="955"/>
      <c r="V78" s="956"/>
      <c r="W78" s="958"/>
      <c r="X78" s="50"/>
      <c r="Y78" s="50"/>
    </row>
    <row r="79" spans="1:25" hidden="1" x14ac:dyDescent="0.3">
      <c r="A79" s="898"/>
      <c r="B79" s="715"/>
      <c r="E79" s="113"/>
      <c r="F79" s="187" t="s">
        <v>751</v>
      </c>
      <c r="G79" s="188"/>
      <c r="H79" s="982"/>
      <c r="I79" s="985" t="s">
        <v>752</v>
      </c>
      <c r="J79" s="986">
        <v>0.8</v>
      </c>
      <c r="K79" s="986">
        <v>1</v>
      </c>
      <c r="L79" s="987"/>
      <c r="M79" s="988" t="s">
        <v>753</v>
      </c>
      <c r="N79" s="981" t="s">
        <v>754</v>
      </c>
      <c r="P79" s="983"/>
      <c r="Q79" s="984"/>
      <c r="R79" s="984"/>
      <c r="S79" s="50"/>
      <c r="T79" s="50"/>
      <c r="U79" s="955"/>
      <c r="V79" s="956"/>
      <c r="W79" s="958"/>
      <c r="X79" s="50"/>
      <c r="Y79" s="50"/>
    </row>
    <row r="80" spans="1:25" ht="12.75" hidden="1" thickBot="1" x14ac:dyDescent="0.35">
      <c r="A80" s="898"/>
      <c r="B80" s="715"/>
      <c r="E80" s="463"/>
      <c r="F80" s="192" t="s">
        <v>387</v>
      </c>
      <c r="G80" s="193">
        <v>0.15</v>
      </c>
      <c r="H80" s="194">
        <v>0.09</v>
      </c>
      <c r="I80" s="195"/>
      <c r="J80" s="195"/>
      <c r="K80" s="195"/>
      <c r="L80" s="79">
        <f t="shared" si="1"/>
        <v>0.91393118527122819</v>
      </c>
      <c r="M80" s="200" t="s">
        <v>412</v>
      </c>
      <c r="N80" s="220" t="s">
        <v>541</v>
      </c>
    </row>
  </sheetData>
  <mergeCells count="39">
    <mergeCell ref="A1:G1"/>
    <mergeCell ref="Z4:AC4"/>
    <mergeCell ref="P38:P39"/>
    <mergeCell ref="AD4:AE4"/>
    <mergeCell ref="R4:S4"/>
    <mergeCell ref="T4:T5"/>
    <mergeCell ref="Y4:Y5"/>
    <mergeCell ref="U4:U5"/>
    <mergeCell ref="V4:V5"/>
    <mergeCell ref="P4:P5"/>
    <mergeCell ref="Q4:Q5"/>
    <mergeCell ref="A3:B3"/>
    <mergeCell ref="E3:F3"/>
    <mergeCell ref="E58:F58"/>
    <mergeCell ref="A4:B4"/>
    <mergeCell ref="P48:P49"/>
    <mergeCell ref="Q48:Q49"/>
    <mergeCell ref="A10:B10"/>
    <mergeCell ref="X61:Y62"/>
    <mergeCell ref="AE40:AE43"/>
    <mergeCell ref="AE44:AE45"/>
    <mergeCell ref="A23:B23"/>
    <mergeCell ref="A16:B16"/>
    <mergeCell ref="A33:B33"/>
    <mergeCell ref="Q38:Q39"/>
    <mergeCell ref="Y38:Y39"/>
    <mergeCell ref="X38:X39"/>
    <mergeCell ref="P61:P62"/>
    <mergeCell ref="Q61:Q62"/>
    <mergeCell ref="R61:R62"/>
    <mergeCell ref="S61:T61"/>
    <mergeCell ref="U61:W61"/>
    <mergeCell ref="R48:R49"/>
    <mergeCell ref="S48:T48"/>
    <mergeCell ref="U48:W48"/>
    <mergeCell ref="X48:Y49"/>
    <mergeCell ref="U38:W38"/>
    <mergeCell ref="R38:R39"/>
    <mergeCell ref="S38:T3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28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18</vt:i4>
      </vt:variant>
    </vt:vector>
  </HeadingPairs>
  <TitlesOfParts>
    <vt:vector size="29" baseType="lpstr">
      <vt:lpstr>작성방법</vt:lpstr>
      <vt:lpstr>총괄_에너지및온실가스</vt:lpstr>
      <vt:lpstr>Sheet1</vt:lpstr>
      <vt:lpstr>가.에너지</vt:lpstr>
      <vt:lpstr>나.외부공급</vt:lpstr>
      <vt:lpstr>다.매립</vt:lpstr>
      <vt:lpstr>라.생물학적처리</vt:lpstr>
      <vt:lpstr>마.소각</vt:lpstr>
      <vt:lpstr>바.하수</vt:lpstr>
      <vt:lpstr>사.폐수</vt:lpstr>
      <vt:lpstr>Parameter</vt:lpstr>
      <vt:lpstr>input_가</vt:lpstr>
      <vt:lpstr>input_나</vt:lpstr>
      <vt:lpstr>input_다</vt:lpstr>
      <vt:lpstr>input_라</vt:lpstr>
      <vt:lpstr>input_마</vt:lpstr>
      <vt:lpstr>input_바</vt:lpstr>
      <vt:lpstr>input_사</vt:lpstr>
      <vt:lpstr>Param_Indu_Inci</vt:lpstr>
      <vt:lpstr>가.에너지!Print_Area</vt:lpstr>
      <vt:lpstr>나.외부공급!Print_Area</vt:lpstr>
      <vt:lpstr>다.매립!Print_Area</vt:lpstr>
      <vt:lpstr>라.생물학적처리!Print_Area</vt:lpstr>
      <vt:lpstr>마.소각!Print_Area</vt:lpstr>
      <vt:lpstr>바.하수!Print_Area</vt:lpstr>
      <vt:lpstr>작성방법!Print_Area</vt:lpstr>
      <vt:lpstr>Uint10</vt:lpstr>
      <vt:lpstr>배출계수_전력</vt:lpstr>
      <vt:lpstr>성상_Indu_Inci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폐기물부문 온실가스 배출량산정</dc:title>
  <dc:subject>온실가스 에너지 목표관리제</dc:subject>
  <dc:creator>온실가스목표관리제TF</dc:creator>
  <dc:description>한국환경공단 기후변화대응처 온실가스목표관리TF팀
032)590-3454
Email : target@keco.or.kr</dc:description>
  <cp:lastModifiedBy>남명진</cp:lastModifiedBy>
  <cp:lastPrinted>2011-06-01T02:09:30Z</cp:lastPrinted>
  <dcterms:created xsi:type="dcterms:W3CDTF">2010-10-18T08:33:08Z</dcterms:created>
  <dcterms:modified xsi:type="dcterms:W3CDTF">2022-06-15T09:04:16Z</dcterms:modified>
</cp:coreProperties>
</file>