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oohoko/Github/global_genomic_surveillance_spatpomp/draft/supplementary/"/>
    </mc:Choice>
  </mc:AlternateContent>
  <xr:revisionPtr revIDLastSave="0" documentId="13_ncr:1_{9794D327-60D3-E04B-9A30-8F2DEB5A8339}" xr6:coauthVersionLast="47" xr6:coauthVersionMax="47" xr10:uidLastSave="{00000000-0000-0000-0000-000000000000}"/>
  <bookViews>
    <workbookView xWindow="4340" yWindow="500" windowWidth="21800" windowHeight="15500" activeTab="1" xr2:uid="{F9FDB02E-4CDD-1046-AB39-5BB4597C13DB}"/>
  </bookViews>
  <sheets>
    <sheet name="M0_formal" sheetId="2" r:id="rId1"/>
    <sheet name="M0_burn_in" sheetId="1" r:id="rId2"/>
    <sheet name="M1_forma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1" i="2" l="1"/>
  <c r="H30" i="2" l="1"/>
  <c r="I30" i="2" s="1"/>
  <c r="R29" i="2"/>
  <c r="J29" i="2"/>
  <c r="H29" i="2"/>
  <c r="B29" i="2"/>
  <c r="G31" i="2" s="1"/>
  <c r="R28" i="2"/>
  <c r="L28" i="2"/>
  <c r="J28" i="2"/>
  <c r="B28" i="2"/>
  <c r="G29" i="2" s="1"/>
  <c r="Q2" i="3"/>
  <c r="R9" i="3"/>
  <c r="R8" i="3"/>
  <c r="R3" i="3"/>
  <c r="R2" i="3"/>
  <c r="L11" i="3"/>
  <c r="H11" i="3"/>
  <c r="L10" i="3"/>
  <c r="H10" i="3"/>
  <c r="L9" i="3"/>
  <c r="J9" i="3"/>
  <c r="H9" i="3"/>
  <c r="I9" i="3" s="1"/>
  <c r="B9" i="3"/>
  <c r="B11" i="3" s="1"/>
  <c r="L8" i="3"/>
  <c r="J8" i="3"/>
  <c r="H8" i="3"/>
  <c r="B8" i="3"/>
  <c r="G9" i="3" s="1"/>
  <c r="L7" i="3"/>
  <c r="H7" i="3"/>
  <c r="I7" i="3" s="1"/>
  <c r="B7" i="3"/>
  <c r="G8" i="3" s="1"/>
  <c r="H6" i="3"/>
  <c r="L5" i="3"/>
  <c r="H5" i="3"/>
  <c r="I5" i="3" s="1"/>
  <c r="L4" i="3"/>
  <c r="H4" i="3"/>
  <c r="I4" i="3" s="1"/>
  <c r="L3" i="3"/>
  <c r="J3" i="3"/>
  <c r="H3" i="3"/>
  <c r="I3" i="3" s="1"/>
  <c r="B3" i="3"/>
  <c r="B5" i="3" s="1"/>
  <c r="R5" i="3" s="1"/>
  <c r="J2" i="3"/>
  <c r="B2" i="3"/>
  <c r="G3" i="3" s="1"/>
  <c r="R31" i="2"/>
  <c r="L31" i="2"/>
  <c r="J31" i="2"/>
  <c r="B31" i="2"/>
  <c r="R11" i="3" l="1"/>
  <c r="Q31" i="2"/>
  <c r="Q29" i="2"/>
  <c r="B10" i="3"/>
  <c r="R10" i="3" s="1"/>
  <c r="G10" i="3"/>
  <c r="Q10" i="3"/>
  <c r="B6" i="3"/>
  <c r="G7" i="3" s="1"/>
  <c r="Q6" i="3"/>
  <c r="G30" i="2"/>
  <c r="B30" i="2"/>
  <c r="R6" i="3"/>
  <c r="R7" i="3"/>
  <c r="B4" i="3"/>
  <c r="Q8" i="3"/>
  <c r="G4" i="3"/>
  <c r="Q9" i="3"/>
  <c r="Q5" i="3"/>
  <c r="Q4" i="3"/>
  <c r="I29" i="2"/>
  <c r="I28" i="2"/>
  <c r="Q3" i="3"/>
  <c r="G6" i="3"/>
  <c r="I10" i="3"/>
  <c r="G11" i="3"/>
  <c r="I11" i="3"/>
  <c r="I8" i="3"/>
  <c r="I6" i="3"/>
  <c r="H26" i="2"/>
  <c r="H25" i="2"/>
  <c r="L25" i="2"/>
  <c r="R27" i="2"/>
  <c r="R26" i="2"/>
  <c r="R24" i="2"/>
  <c r="L27" i="2"/>
  <c r="J27" i="2"/>
  <c r="H27" i="2"/>
  <c r="B27" i="2"/>
  <c r="J26" i="2"/>
  <c r="B26" i="2"/>
  <c r="G27" i="2" s="1"/>
  <c r="L24" i="2"/>
  <c r="J24" i="2"/>
  <c r="H24" i="2"/>
  <c r="B24" i="2"/>
  <c r="G25" i="2" s="1"/>
  <c r="R23" i="2"/>
  <c r="J23" i="2"/>
  <c r="H23" i="2"/>
  <c r="I23" i="2" s="1"/>
  <c r="B23" i="2"/>
  <c r="G24" i="2" s="1"/>
  <c r="R22" i="2"/>
  <c r="R21" i="2"/>
  <c r="L22" i="2"/>
  <c r="J22" i="2"/>
  <c r="H22" i="2"/>
  <c r="I22" i="2" s="1"/>
  <c r="B22" i="2"/>
  <c r="G23" i="2" s="1"/>
  <c r="J21" i="2"/>
  <c r="H21" i="2"/>
  <c r="I21" i="2" s="1"/>
  <c r="B21" i="2"/>
  <c r="G22" i="2" s="1"/>
  <c r="H20" i="2"/>
  <c r="I20" i="2" s="1"/>
  <c r="H19" i="2"/>
  <c r="I19" i="2" s="1"/>
  <c r="H18" i="2"/>
  <c r="I18" i="2" s="1"/>
  <c r="H17" i="2"/>
  <c r="I17" i="2" s="1"/>
  <c r="H16" i="2"/>
  <c r="I16" i="2" s="1"/>
  <c r="H15" i="2"/>
  <c r="I15" i="2" s="1"/>
  <c r="H14" i="2"/>
  <c r="I14" i="2" s="1"/>
  <c r="H13" i="2"/>
  <c r="H12" i="2"/>
  <c r="H11" i="2"/>
  <c r="I11" i="2" s="1"/>
  <c r="H10" i="2"/>
  <c r="I10" i="2" s="1"/>
  <c r="H9" i="2"/>
  <c r="I9" i="2" s="1"/>
  <c r="H8" i="2"/>
  <c r="I8" i="2" s="1"/>
  <c r="H7" i="2"/>
  <c r="I7" i="2" s="1"/>
  <c r="H6" i="2"/>
  <c r="I6" i="2" s="1"/>
  <c r="H5" i="2"/>
  <c r="I5" i="2" s="1"/>
  <c r="R20" i="2"/>
  <c r="L20" i="2"/>
  <c r="J20" i="2"/>
  <c r="B20" i="2"/>
  <c r="G21" i="2" s="1"/>
  <c r="R19" i="2"/>
  <c r="J19" i="2"/>
  <c r="B19" i="2"/>
  <c r="L30" i="2"/>
  <c r="Q2" i="2"/>
  <c r="Q7" i="3" l="1"/>
  <c r="Q11" i="3"/>
  <c r="Q30" i="2"/>
  <c r="G5" i="3"/>
  <c r="R4" i="3"/>
  <c r="Q24" i="2"/>
  <c r="Q28" i="2"/>
  <c r="G28" i="2"/>
  <c r="B25" i="2"/>
  <c r="R25" i="2" s="1"/>
  <c r="I26" i="2"/>
  <c r="Q27" i="2"/>
  <c r="I27" i="2"/>
  <c r="I25" i="2"/>
  <c r="Q25" i="2"/>
  <c r="Q23" i="2"/>
  <c r="Q22" i="2"/>
  <c r="Q21" i="2"/>
  <c r="Q20" i="2"/>
  <c r="G20" i="2"/>
  <c r="R17" i="2"/>
  <c r="L17" i="2"/>
  <c r="J17" i="2"/>
  <c r="B17" i="2"/>
  <c r="R18" i="2"/>
  <c r="L18" i="2"/>
  <c r="J18" i="2"/>
  <c r="B18" i="2"/>
  <c r="G19" i="2" s="1"/>
  <c r="R16" i="2"/>
  <c r="L16" i="2"/>
  <c r="J16" i="2"/>
  <c r="B16" i="2"/>
  <c r="R15" i="2"/>
  <c r="L15" i="2"/>
  <c r="J15" i="2"/>
  <c r="B15" i="2"/>
  <c r="G16" i="2" s="1"/>
  <c r="G26" i="2" l="1"/>
  <c r="Q26" i="2"/>
  <c r="R30" i="2"/>
  <c r="Q18" i="2"/>
  <c r="Q17" i="2"/>
  <c r="Q19" i="2"/>
  <c r="Q16" i="2"/>
  <c r="G18" i="2"/>
  <c r="G17" i="2"/>
  <c r="R14" i="2"/>
  <c r="L14" i="2"/>
  <c r="J14" i="2"/>
  <c r="B14" i="2"/>
  <c r="L12" i="2"/>
  <c r="R13" i="2"/>
  <c r="L13" i="2"/>
  <c r="J13" i="2"/>
  <c r="B13" i="2"/>
  <c r="R9" i="2"/>
  <c r="L9" i="2"/>
  <c r="J9" i="2"/>
  <c r="B9" i="2"/>
  <c r="R8" i="2"/>
  <c r="L8" i="2"/>
  <c r="J8" i="2"/>
  <c r="B8" i="2"/>
  <c r="L11" i="2"/>
  <c r="L10" i="2"/>
  <c r="L7" i="2"/>
  <c r="L5" i="2"/>
  <c r="L4" i="2"/>
  <c r="L3" i="2"/>
  <c r="H4" i="2"/>
  <c r="I4" i="2" s="1"/>
  <c r="J3" i="2"/>
  <c r="J2" i="2"/>
  <c r="R3" i="2"/>
  <c r="H3" i="2"/>
  <c r="I3" i="2" s="1"/>
  <c r="B3" i="2"/>
  <c r="G4" i="2" s="1"/>
  <c r="B2" i="2"/>
  <c r="R2" i="2"/>
  <c r="G15" i="2" l="1"/>
  <c r="Q15" i="2"/>
  <c r="G14" i="2"/>
  <c r="Q14" i="2"/>
  <c r="G9" i="2"/>
  <c r="Q9" i="2"/>
  <c r="Q3" i="2"/>
  <c r="G10" i="2"/>
  <c r="Q10" i="2"/>
  <c r="Q4" i="2"/>
  <c r="B12" i="2"/>
  <c r="Q13" i="2" s="1"/>
  <c r="I12" i="2"/>
  <c r="B10" i="2"/>
  <c r="B11" i="2"/>
  <c r="Q12" i="2" s="1"/>
  <c r="B7" i="2"/>
  <c r="B6" i="2"/>
  <c r="B5" i="2"/>
  <c r="Q6" i="2" s="1"/>
  <c r="B4" i="2"/>
  <c r="Q5" i="2" s="1"/>
  <c r="G3" i="2"/>
  <c r="G7" i="2" l="1"/>
  <c r="Q7" i="2"/>
  <c r="G8" i="2"/>
  <c r="Q8" i="2"/>
  <c r="G11" i="2"/>
  <c r="Q11" i="2"/>
  <c r="R12" i="2"/>
  <c r="G12" i="2"/>
  <c r="G13" i="2"/>
  <c r="R10" i="2"/>
  <c r="G5" i="2"/>
  <c r="R6" i="2"/>
  <c r="R11" i="2"/>
  <c r="R5" i="2"/>
  <c r="G6" i="2"/>
  <c r="R7" i="2"/>
  <c r="R4" i="2"/>
  <c r="G39" i="1"/>
  <c r="G38" i="1"/>
  <c r="W38" i="1"/>
  <c r="B38" i="1"/>
  <c r="M39" i="1" s="1"/>
  <c r="G40" i="1"/>
  <c r="W41" i="1"/>
  <c r="G41" i="1"/>
  <c r="B41" i="1"/>
  <c r="W39" i="1"/>
  <c r="W37" i="1"/>
  <c r="G37" i="1"/>
  <c r="B40" i="1"/>
  <c r="M41" i="1" s="1"/>
  <c r="B39" i="1"/>
  <c r="M40" i="1" s="1"/>
  <c r="B37" i="1"/>
  <c r="M38" i="1" s="1"/>
  <c r="B36" i="1"/>
  <c r="M37" i="1" s="1"/>
  <c r="G36" i="1"/>
  <c r="G32" i="1"/>
  <c r="G31" i="1"/>
  <c r="B31" i="1"/>
  <c r="M32" i="1" s="1"/>
  <c r="G34" i="1"/>
  <c r="G30" i="1"/>
  <c r="F38" i="1" l="1"/>
  <c r="F37" i="1"/>
  <c r="F40" i="1"/>
  <c r="F41" i="1"/>
  <c r="W40" i="1"/>
  <c r="F39" i="1"/>
  <c r="G33" i="1"/>
  <c r="G29" i="1"/>
  <c r="B29" i="1"/>
  <c r="M30" i="1" s="1"/>
  <c r="G35" i="1"/>
  <c r="B35" i="1"/>
  <c r="B34" i="1"/>
  <c r="B30" i="1"/>
  <c r="B33" i="1"/>
  <c r="M34" i="1" s="1"/>
  <c r="B32" i="1"/>
  <c r="M33" i="1" s="1"/>
  <c r="W36" i="1"/>
  <c r="B28" i="1"/>
  <c r="M29" i="1" s="1"/>
  <c r="G28" i="1"/>
  <c r="G26" i="1"/>
  <c r="B26" i="1"/>
  <c r="M35" i="1" l="1"/>
  <c r="M36" i="1"/>
  <c r="F36" i="1"/>
  <c r="F31" i="1"/>
  <c r="M31" i="1"/>
  <c r="F33" i="1"/>
  <c r="F29" i="1"/>
  <c r="F35" i="1"/>
  <c r="F30" i="1"/>
  <c r="F34" i="1"/>
  <c r="F32" i="1"/>
  <c r="M24" i="1"/>
  <c r="G24" i="1"/>
  <c r="B24" i="1"/>
  <c r="G25" i="1"/>
  <c r="G15" i="1"/>
  <c r="G14" i="1"/>
  <c r="G23" i="1"/>
  <c r="G22" i="1"/>
  <c r="G21" i="1"/>
  <c r="G20" i="1"/>
  <c r="G19" i="1"/>
  <c r="G18" i="1"/>
  <c r="B23" i="1"/>
  <c r="B22" i="1"/>
  <c r="M23" i="1" s="1"/>
  <c r="B21" i="1"/>
  <c r="M22" i="1" s="1"/>
  <c r="B20" i="1"/>
  <c r="M21" i="1" s="1"/>
  <c r="B19" i="1"/>
  <c r="M20" i="1" s="1"/>
  <c r="B18" i="1"/>
  <c r="M19" i="1" s="1"/>
  <c r="B17" i="1"/>
  <c r="F18" i="1" s="1"/>
  <c r="G17" i="1"/>
  <c r="G16" i="1"/>
  <c r="G13" i="1"/>
  <c r="B13" i="1"/>
  <c r="M14" i="1" s="1"/>
  <c r="G12" i="1"/>
  <c r="B12" i="1"/>
  <c r="F13" i="1" s="1"/>
  <c r="G11" i="1"/>
  <c r="B11" i="1"/>
  <c r="F12" i="1" s="1"/>
  <c r="G10" i="1"/>
  <c r="B10" i="1"/>
  <c r="F11" i="1" s="1"/>
  <c r="M25" i="1" l="1"/>
  <c r="F24" i="1"/>
  <c r="F25" i="1"/>
  <c r="F23" i="1"/>
  <c r="F19" i="1"/>
  <c r="F14" i="1"/>
  <c r="F20" i="1"/>
  <c r="F21" i="1"/>
  <c r="F22" i="1"/>
  <c r="M18" i="1"/>
  <c r="M12" i="1"/>
  <c r="M13" i="1"/>
  <c r="M11" i="1"/>
  <c r="G9" i="1"/>
  <c r="B9" i="1"/>
  <c r="G8" i="1"/>
  <c r="G7" i="1"/>
  <c r="B8" i="1"/>
  <c r="F9" i="1" s="1"/>
  <c r="B7" i="1"/>
  <c r="M8" i="1" s="1"/>
  <c r="G6" i="1"/>
  <c r="M9" i="1" l="1"/>
  <c r="M10" i="1"/>
  <c r="F10" i="1"/>
  <c r="F8" i="1"/>
  <c r="B6" i="1"/>
  <c r="M27" i="1"/>
  <c r="M7" i="1" l="1"/>
  <c r="F7" i="1"/>
  <c r="M5" i="1"/>
  <c r="M3" i="1"/>
  <c r="G4" i="1"/>
  <c r="G3" i="1"/>
  <c r="B16" i="1"/>
  <c r="F17" i="1" l="1"/>
  <c r="M17" i="1"/>
  <c r="B27" i="1"/>
  <c r="B25" i="1"/>
  <c r="B15" i="1"/>
  <c r="B14" i="1"/>
  <c r="B3" i="1"/>
  <c r="B5" i="1"/>
  <c r="B4" i="1"/>
  <c r="B2" i="1"/>
  <c r="F5" i="1" s="1"/>
  <c r="G27" i="1"/>
  <c r="G5" i="1"/>
  <c r="F28" i="1" l="1"/>
  <c r="M28" i="1"/>
  <c r="M26" i="1"/>
  <c r="F26" i="1"/>
  <c r="F27" i="1"/>
  <c r="F15" i="1"/>
  <c r="M15" i="1"/>
  <c r="M16" i="1"/>
  <c r="F16" i="1"/>
  <c r="M6" i="1"/>
  <c r="F6" i="1"/>
  <c r="F3" i="1"/>
  <c r="M4" i="1"/>
  <c r="F4" i="1"/>
</calcChain>
</file>

<file path=xl/sharedStrings.xml><?xml version="1.0" encoding="utf-8"?>
<sst xmlns="http://schemas.openxmlformats.org/spreadsheetml/2006/main" count="730" uniqueCount="220">
  <si>
    <t>Name</t>
  </si>
  <si>
    <t>Type</t>
  </si>
  <si>
    <t>Parameters for optimization</t>
  </si>
  <si>
    <t>Run order</t>
  </si>
  <si>
    <t>Profiling</t>
  </si>
  <si>
    <t>Local search</t>
  </si>
  <si>
    <t>unit-specific (29)</t>
  </si>
  <si>
    <t>Job_ID for log</t>
  </si>
  <si>
    <t>Parameters to fit (N)</t>
  </si>
  <si>
    <t xml:space="preserve">Log likelihood for profiles combination (MLE v1): </t>
  </si>
  <si>
    <t xml:space="preserve">Log likelihood for the best profile (MLE v2): </t>
  </si>
  <si>
    <t>Initial condition</t>
  </si>
  <si>
    <t>All parameters on 0.5</t>
  </si>
  <si>
    <t>Initial Loglik</t>
  </si>
  <si>
    <t>No. of nodes</t>
  </si>
  <si>
    <t>Run time</t>
  </si>
  <si>
    <t>Requested CPU</t>
  </si>
  <si>
    <t xml:space="preserve">Log likelihood for the best local search (MLE v3): </t>
  </si>
  <si>
    <t>NA</t>
  </si>
  <si>
    <t>Set 1</t>
  </si>
  <si>
    <t>shared (20)</t>
  </si>
  <si>
    <t>All (49)</t>
  </si>
  <si>
    <t>Strategy</t>
  </si>
  <si>
    <t>Tunning unit-specific parameters</t>
  </si>
  <si>
    <t>Tunning shared parameters</t>
  </si>
  <si>
    <t>optimizing all parameters</t>
  </si>
  <si>
    <t>Done on</t>
  </si>
  <si>
    <t>64 cores (EPYC7542, 7742 or 9654)</t>
  </si>
  <si>
    <t>Set 1:
NREPS = 32,
NP_EVAL = 1200,
NREPS_EVAL = 4</t>
  </si>
  <si>
    <t>p_beta_1_1716170,
…,
p_beta_29_1716198</t>
  </si>
  <si>
    <t>01:25:00 each</t>
  </si>
  <si>
    <t>scripts/model_fitting/profiling_HKU/1.profile_beta_n.sh NA 1 amd 64</t>
  </si>
  <si>
    <t>Set 2:
NREPS = 64,
NP_EVAL = 1200,
NREPS_EVAL = 4,
NBPF = 15,
NP = 1200,
SPAT_REGRESSION = 0.05,
RW_SD = 0.02,
COOLING = 0.5</t>
  </si>
  <si>
    <t>Requested RAM (GB per CPU)</t>
  </si>
  <si>
    <t>Peak RAM (GB per CPU)</t>
  </si>
  <si>
    <t>local_beta_1_001</t>
  </si>
  <si>
    <t>32 cores (64 threads, EPYC9274F)</t>
  </si>
  <si>
    <t>32 cores (EPYC7542, 7742, 9654 or GOLD6626R)</t>
  </si>
  <si>
    <t>02:20:00 each</t>
  </si>
  <si>
    <t>p_beta_1_1716653,
…,
p_beta_2_29_1716885</t>
  </si>
  <si>
    <t>local_beta_2_3_1717386,
local_beta_2_4_1717387</t>
  </si>
  <si>
    <t>32/64 cores (EPYC7542, 7742, 9654 or GOLD6626R)</t>
  </si>
  <si>
    <t>p_beta_3_1_1717765,
…,
p_beta_3_29_1717793</t>
  </si>
  <si>
    <t>p_beta_4_7_1717948,
…,
p_beta_4_29_1717970</t>
  </si>
  <si>
    <t>Commands (example)</t>
  </si>
  <si>
    <t>64 cores (EPYC7542, 9654)</t>
  </si>
  <si>
    <t>09:30:00 each</t>
  </si>
  <si>
    <t>01:25:00 each for 64 cores</t>
  </si>
  <si>
    <t>Round of profiling</t>
  </si>
  <si>
    <t>Notes</t>
  </si>
  <si>
    <t>Beta for Turkey changed</t>
  </si>
  <si>
    <t>Beta for Chile changed</t>
  </si>
  <si>
    <t>Beta for Australia changed</t>
  </si>
  <si>
    <t>p_beta_5_1_1718089,
…,
p_beta_5_29_1718119</t>
  </si>
  <si>
    <t>Beta for AF_others changed</t>
  </si>
  <si>
    <t>p_beta_6_1_1718300,
…,
p_beta_6_29_1718329</t>
  </si>
  <si>
    <t>Beta for UAE changed</t>
  </si>
  <si>
    <t>Beta for Tunisia changed</t>
  </si>
  <si>
    <t>p_beta_7_1_1718490,
…,
p_beta_7_29_1718518</t>
  </si>
  <si>
    <t>p_beta_8_1_1718537,
…,
p_beta_8_29_1718570</t>
  </si>
  <si>
    <t>Beta for Mexico changed</t>
  </si>
  <si>
    <t>p_beta_9_1_1718656,
…,
p_beta_9_29_1718684</t>
  </si>
  <si>
    <t>p_beta_10_1_1718773,
…,
p_beta_10_29_1718801</t>
  </si>
  <si>
    <t>Beta for OC_others changed</t>
  </si>
  <si>
    <t>p_shared_1_1_1718914,
…,
p_shared_1_20_1718980</t>
  </si>
  <si>
    <t>p_shared_2_1_1719058,
…,
p_shared_2_29_1719078</t>
  </si>
  <si>
    <t>01:30:00 each</t>
  </si>
  <si>
    <t>sigma changed</t>
  </si>
  <si>
    <t>tau_seq_all changed</t>
  </si>
  <si>
    <t>p_shared_3_1_1719109,
...,
p_shared_3_20_1719128</t>
  </si>
  <si>
    <t>eta_three changed</t>
  </si>
  <si>
    <t>p_shared_4_1_1719208,
…,
p_shared_4_20_1719227</t>
  </si>
  <si>
    <t>tau_cases changed</t>
  </si>
  <si>
    <t>p_shared_5_1_1719254,
…,
p_shared_5_20_1719273</t>
  </si>
  <si>
    <t>tau_deaths changed</t>
  </si>
  <si>
    <t>p_shared_6_1_1719371,
…,
p_shared_6_20_1719390</t>
  </si>
  <si>
    <t>lambda_one changed</t>
  </si>
  <si>
    <t>p_shared_7_1_1719548,
…,
p_shared_7_20_1719567</t>
  </si>
  <si>
    <t>gamma changed</t>
  </si>
  <si>
    <t>p_shared_8_1_1719950,
…,
p_shared_8_20_1719971</t>
  </si>
  <si>
    <t>lambda_two changed</t>
  </si>
  <si>
    <t>p_shared_10_1_1720766,
…,
p_shared_10_20_1720812</t>
  </si>
  <si>
    <t>p_shared_9_1_1720494,
…,
p_shared_9_20_1720337</t>
  </si>
  <si>
    <t>tau_seq_unit changed</t>
  </si>
  <si>
    <t>Set 2 with "NREPS = 128"</t>
  </si>
  <si>
    <t>Notes 2</t>
  </si>
  <si>
    <t>10:00:00 each</t>
  </si>
  <si>
    <t>Set 2 with "NREPS = 256"</t>
  </si>
  <si>
    <t>local_shared_10_amd_1_1721167,
…,
local_shared_10_amd_8_1721174</t>
  </si>
  <si>
    <t xml:space="preserve">Starting from this point, we relaxed:
1. the upper bound of eta_three from 5 to 10.
2. the upper bound of gamma to 365/1.
</t>
  </si>
  <si>
    <t>beta_naught18 changed</t>
  </si>
  <si>
    <t>p_all_1_1_1721123,
…,
p_all_1_49_1721189</t>
  </si>
  <si>
    <t>Set 2 with "NREPS = 320"</t>
  </si>
  <si>
    <t>p_all_2_1_1721396,
…,
p_all_2_49_1721554</t>
  </si>
  <si>
    <t>local_all_1_amd_1_1721366,
…,
local_all_1_condo_amd_2_1721375</t>
  </si>
  <si>
    <t>11:00:00 each</t>
  </si>
  <si>
    <t xml:space="preserve">We relaxed:
1. the upper bound of eta_three from 5 to 10.
2. the upper bound of gamma to 365/1.
</t>
  </si>
  <si>
    <t>Analyzing commands</t>
  </si>
  <si>
    <t>p_shared_11_1_1721636,
…,
p_shared_11_20_1721676</t>
  </si>
  <si>
    <t>epsilon_four changed</t>
  </si>
  <si>
    <t>No change</t>
  </si>
  <si>
    <t>p_shared_12_1_1721808,
…,
p_shared_12_20_1721848</t>
  </si>
  <si>
    <t>p_shared_13_1_1722332,
…,
p_shared_13_20_1722351</t>
  </si>
  <si>
    <t xml:space="preserve">We perform a local search here because we observed the values of beta_naught seem deviated to the fitting data in simulation after multiple rounds of profiling.
</t>
  </si>
  <si>
    <t>We wanted to keep profiling_shared_13_Omicron20_local_1 although its loglik is slighter decrease, because it fits the case curve for South Africa quiet well, and SF is super important as it heavily affect the early disease dynamics in other units.</t>
  </si>
  <si>
    <t>local_beta_13_amd_1_1722535,
…,
local_beta_13_condo_amd_2_1722544</t>
  </si>
  <si>
    <t>beta_naught12 changed</t>
  </si>
  <si>
    <t>p_beta_11_1_1723263,
…,
p_beta_11_29_1723429</t>
  </si>
  <si>
    <t>beta_naught10 changed</t>
  </si>
  <si>
    <t>p_beta_12_1_1723530,
…,
p_beta_12_29_1723561</t>
  </si>
  <si>
    <t>p_beta_13_1_1723732,
…,
p_beta_13_29_1723704</t>
  </si>
  <si>
    <t>02:30:00 each</t>
  </si>
  <si>
    <t>p_shared_14_1_1723786,
…,
p_shared_14_20_1723766</t>
  </si>
  <si>
    <t>lambda_three changed</t>
  </si>
  <si>
    <t>local_all_13_amd_1_1723906,
…,
local_all_13_intel_7_1723953</t>
  </si>
  <si>
    <t>Set 2 with "NREPS = 480"</t>
  </si>
  <si>
    <t>beta_naught1 changed</t>
  </si>
  <si>
    <t>p_beta_14_1_1724390,
…,
p_beta_14_29_1724361</t>
  </si>
  <si>
    <t>gamma (1)</t>
  </si>
  <si>
    <t>p_shared_15_13_1724553</t>
  </si>
  <si>
    <t>In this round, we change back the the upper bound of gamma to 365/6</t>
  </si>
  <si>
    <t xml:space="preserve">Starting from this point, we constrain the MLEv2 to be within the MCAP confidence intervals.
</t>
  </si>
  <si>
    <t>p_shared_16_1_1724676,
…,
p_shared_16_20_1724625</t>
  </si>
  <si>
    <t>eta_four changed</t>
  </si>
  <si>
    <t>local_all_16_amd_16_1_1725235,
…,
local_all_16_hugemem_128_1_1725311</t>
  </si>
  <si>
    <t>Set 2 with "NREPS = 1088 and scale_RW_SD_shared = 2"</t>
  </si>
  <si>
    <t>beta_naught26 changed</t>
  </si>
  <si>
    <t>p_beta_15_1_1726371,
…,
p_beta_15_29_1726343</t>
  </si>
  <si>
    <t>profiling_shared_17_Omicron20</t>
  </si>
  <si>
    <t>V2</t>
  </si>
  <si>
    <t>Initial MLE type</t>
  </si>
  <si>
    <t>Search level</t>
  </si>
  <si>
    <t>low</t>
  </si>
  <si>
    <t>Parameters to fit</t>
  </si>
  <si>
    <t>unit</t>
  </si>
  <si>
    <t>shared</t>
  </si>
  <si>
    <t>all</t>
  </si>
  <si>
    <t>Round of profiling/local_searching</t>
  </si>
  <si>
    <t>1730613 - 1730620</t>
  </si>
  <si>
    <t>Notes 1</t>
  </si>
  <si>
    <t>mid</t>
  </si>
  <si>
    <t>Tunning all parameters</t>
  </si>
  <si>
    <t>beta_naught11 changed to 0.99</t>
  </si>
  <si>
    <t>1730816 - 1730842</t>
  </si>
  <si>
    <t>gamma changed to 0.336</t>
  </si>
  <si>
    <t>1730961 - 1730984</t>
  </si>
  <si>
    <t>number of parallel runs (nodes)</t>
  </si>
  <si>
    <t xml:space="preserve">Likelihood optimizer/estimatoer </t>
  </si>
  <si>
    <t>ubf</t>
  </si>
  <si>
    <t>ibpf</t>
  </si>
  <si>
    <t>1731137 - 1731160</t>
  </si>
  <si>
    <t>1731418 - 1731453</t>
  </si>
  <si>
    <t>Originaly we intend to local search only for unit parameters using ibpf, but a bug lead to searching for all parameters. The results are kept as loglik increased.</t>
  </si>
  <si>
    <t>1731708 - 1731724</t>
  </si>
  <si>
    <t>Starting from this round, all shared parameters are the same as the parameters used for the first unit, without minor flutuations, in either iubf or ibpf.</t>
  </si>
  <si>
    <t>The liklihood was re-estimated using a new model, see the below line.</t>
  </si>
  <si>
    <t>gamma changed to 0.001 due to ibpf, suggesting ibpf not suitable for searching shared parameters.</t>
  </si>
  <si>
    <t>beta_naught10 changed to 0.554</t>
  </si>
  <si>
    <t>1732497 - 1732529</t>
  </si>
  <si>
    <t>1732622 - 1732641</t>
  </si>
  <si>
    <t>1732818 - 1732837</t>
  </si>
  <si>
    <t>Notes 3</t>
  </si>
  <si>
    <t>1733038 - 1733077</t>
  </si>
  <si>
    <t>scale_RW_SD_shared = 0.8</t>
  </si>
  <si>
    <t>We tried scale_RW_SD_shared = 1.5 at first, but loglik did not improve.</t>
  </si>
  <si>
    <t>1733430 - 1733451</t>
  </si>
  <si>
    <t>1733806 - 1733834</t>
  </si>
  <si>
    <t>beta_naught9 changed to 0.14</t>
  </si>
  <si>
    <t>no change</t>
  </si>
  <si>
    <t>1733998 - 1734049</t>
  </si>
  <si>
    <t>When profiling shared parameters, the variance -related parameters 14-18 can be skipped if there is tight compuatational resources.</t>
  </si>
  <si>
    <t>1734215 - 1734235</t>
  </si>
  <si>
    <t>iota_one changed to 0.66</t>
  </si>
  <si>
    <t>1734608 - 1734641</t>
  </si>
  <si>
    <t>lambda_three changed to 0.467</t>
  </si>
  <si>
    <t>1735741 - 1735780</t>
  </si>
  <si>
    <t>1734608 - 1734629</t>
  </si>
  <si>
    <t>Initial Loglik (estimated using ubf)</t>
  </si>
  <si>
    <t>1736272 - 1736309</t>
  </si>
  <si>
    <t>beta_naught2 changed to 0.206</t>
  </si>
  <si>
    <t>beta_naught21 changed to 0.27</t>
  </si>
  <si>
    <t xml:space="preserve">Log likelihood for a herustic combination of the profiles (MLE v3): </t>
  </si>
  <si>
    <t>1736895 - 1736940</t>
  </si>
  <si>
    <t>1737729 - 1737778</t>
  </si>
  <si>
    <t xml:space="preserve">Log likelihood for the best local search (MLE): </t>
  </si>
  <si>
    <t>1738251 - 1738301</t>
  </si>
  <si>
    <t>beta_naught22 changed to 0.206</t>
  </si>
  <si>
    <t>high</t>
  </si>
  <si>
    <t>eta_three changed to 0.467</t>
  </si>
  <si>
    <t xml:space="preserve">Starting from this round, we calculate MLEv1 using the parameter value achiving the highest Loglik, instead of the mcap estimate. Details refer to the source code. </t>
  </si>
  <si>
    <t>1738947 - 1739022</t>
  </si>
  <si>
    <t>we used mlev2_mid_mod for the next round, in the moded mle, we manually changed beta_naught29 (for South Africa) from 0.05 to 0.24, to aviod the apparent stuck in local optima. The loglik for mlev2 is -3850692.236, and for mlev2_mod is -4446036.39664259.</t>
  </si>
  <si>
    <t>lambda_two changed to 0.206</t>
  </si>
  <si>
    <t>1739673 - 1739707</t>
  </si>
  <si>
    <t>1739136 - 1739156</t>
  </si>
  <si>
    <t>1739433 - 1739480</t>
  </si>
  <si>
    <t>We intentionally keep beta_naught29 unchanged in this round.</t>
  </si>
  <si>
    <t>1740925 - 1740964</t>
  </si>
  <si>
    <t>Run "scripts/model_fitting/profiling_HKU/0.update_model.sh M1" first to update the model.</t>
  </si>
  <si>
    <t>1742030 - 1742058</t>
  </si>
  <si>
    <t>v3</t>
  </si>
  <si>
    <t>We intentionally use mlev3, although it's log likelihood is a bit lower than mlev2, it helps avoid stucking at local optima.</t>
  </si>
  <si>
    <t>1742260 - 1742297</t>
  </si>
  <si>
    <t>1742452 - 1742474</t>
  </si>
  <si>
    <t>1742069 - 1742088</t>
  </si>
  <si>
    <t>1742497 - 1742530</t>
  </si>
  <si>
    <t>iota_three changed in mlev2</t>
  </si>
  <si>
    <t>1742555 - 1742590</t>
  </si>
  <si>
    <t>1742736 - 1742781</t>
  </si>
  <si>
    <t>1742802 - 1742856</t>
  </si>
  <si>
    <t>1742990 - 1743009</t>
  </si>
  <si>
    <t>1743096 - 1743116</t>
  </si>
  <si>
    <t>1743314 - 1743341</t>
  </si>
  <si>
    <t>day_BA_one changed from 0.42 to 0.14</t>
  </si>
  <si>
    <t>We did not keep this result due to lowered log likelihood.</t>
  </si>
  <si>
    <t>1744425-1744465</t>
  </si>
  <si>
    <t>1744691 - 1744731</t>
  </si>
  <si>
    <t>iota_four changed to 0.6</t>
  </si>
  <si>
    <t>1745338 - 1745440</t>
  </si>
  <si>
    <t>Use as fitted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</si>
</sst>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tint="0.34998626667073579"/>
      <name val="Calibri"/>
      <family val="2"/>
      <scheme val="minor"/>
    </font>
    <font>
      <sz val="12"/>
      <color theme="1" tint="0.499984740745262"/>
      <name val="Calibri"/>
      <family val="2"/>
      <scheme val="minor"/>
    </font>
    <font>
      <sz val="12"/>
      <name val="Calibri"/>
      <family val="2"/>
      <scheme val="minor"/>
    </font>
    <font>
      <sz val="12"/>
      <color theme="2" tint="-9.9978637043366805E-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21" fontId="0" fillId="0" borderId="0" xfId="0" applyNumberFormat="1" applyAlignment="1">
      <alignment horizontal="center" vertical="center" wrapText="1"/>
    </xf>
    <xf numFmtId="0" fontId="0" fillId="0" borderId="0" xfId="0" applyAlignment="1">
      <alignment vertical="center" wrapText="1"/>
    </xf>
    <xf numFmtId="0" fontId="0" fillId="2" borderId="0" xfId="0"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21" fontId="1"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14" fontId="2" fillId="0" borderId="0" xfId="0" applyNumberFormat="1" applyFont="1" applyAlignment="1">
      <alignment horizontal="center"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4" fillId="5" borderId="0" xfId="0" applyFont="1" applyFill="1" applyAlignment="1">
      <alignment horizontal="center" vertical="center" wrapText="1"/>
    </xf>
    <xf numFmtId="0" fontId="4" fillId="0" borderId="0" xfId="0" applyFont="1" applyAlignment="1">
      <alignment horizontal="center" vertical="center" wrapText="1"/>
    </xf>
    <xf numFmtId="14" fontId="4" fillId="0" borderId="0" xfId="0" applyNumberFormat="1" applyFont="1" applyAlignment="1">
      <alignment horizontal="center" vertical="center" wrapText="1"/>
    </xf>
    <xf numFmtId="0" fontId="4" fillId="0" borderId="0" xfId="0" applyFont="1"/>
    <xf numFmtId="0" fontId="0" fillId="0" borderId="0" xfId="0" applyAlignment="1">
      <alignment wrapText="1"/>
    </xf>
    <xf numFmtId="0" fontId="4" fillId="0" borderId="0" xfId="0" applyFont="1" applyAlignment="1">
      <alignment wrapText="1"/>
    </xf>
    <xf numFmtId="0" fontId="3" fillId="0" borderId="0" xfId="0" applyFon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460B-3623-5E40-AD15-B9D2C4B67889}">
  <dimension ref="A1:W31"/>
  <sheetViews>
    <sheetView zoomScale="75" zoomScaleNormal="90" workbookViewId="0">
      <pane ySplit="1" topLeftCell="A2" activePane="bottomLeft" state="frozen"/>
      <selection pane="bottomLeft" activeCell="A32" sqref="A32:XFD34"/>
    </sheetView>
  </sheetViews>
  <sheetFormatPr baseColWidth="10" defaultRowHeight="16" x14ac:dyDescent="0.2"/>
  <cols>
    <col min="1" max="1" width="14.1640625" bestFit="1" customWidth="1"/>
    <col min="2" max="2" width="25.1640625" bestFit="1" customWidth="1"/>
    <col min="3" max="3" width="9.33203125" style="24" bestFit="1" customWidth="1"/>
    <col min="4" max="4" width="12" bestFit="1" customWidth="1"/>
    <col min="5" max="5" width="11.5" bestFit="1" customWidth="1"/>
    <col min="6" max="6" width="15.1640625" bestFit="1" customWidth="1"/>
    <col min="7" max="7" width="28" bestFit="1" customWidth="1"/>
    <col min="8" max="8" width="14.33203125" bestFit="1" customWidth="1"/>
    <col min="9" max="9" width="13.5" bestFit="1" customWidth="1"/>
    <col min="10" max="10" width="11.6640625" bestFit="1" customWidth="1"/>
    <col min="11" max="11" width="13" customWidth="1"/>
    <col min="12" max="12" width="27.6640625" customWidth="1"/>
    <col min="13" max="13" width="18.5" bestFit="1" customWidth="1"/>
    <col min="14" max="15" width="15.33203125" bestFit="1" customWidth="1"/>
    <col min="16" max="16" width="15.33203125" customWidth="1"/>
    <col min="17" max="17" width="49" customWidth="1"/>
    <col min="18" max="18" width="32" customWidth="1"/>
    <col min="19" max="19" width="12.6640625" bestFit="1" customWidth="1"/>
    <col min="20" max="20" width="10.33203125" bestFit="1" customWidth="1"/>
    <col min="21" max="21" width="16.1640625" customWidth="1"/>
    <col min="22" max="22" width="19" customWidth="1"/>
    <col min="23" max="23" width="20.1640625" customWidth="1"/>
  </cols>
  <sheetData>
    <row r="1" spans="1:23" ht="85" x14ac:dyDescent="0.2">
      <c r="A1" s="1" t="s">
        <v>22</v>
      </c>
      <c r="B1" s="1" t="s">
        <v>0</v>
      </c>
      <c r="C1" s="13" t="s">
        <v>3</v>
      </c>
      <c r="D1" s="1" t="s">
        <v>137</v>
      </c>
      <c r="E1" s="1" t="s">
        <v>1</v>
      </c>
      <c r="F1" s="1" t="s">
        <v>133</v>
      </c>
      <c r="G1" s="1" t="s">
        <v>11</v>
      </c>
      <c r="H1" s="1" t="s">
        <v>130</v>
      </c>
      <c r="I1" s="1" t="s">
        <v>177</v>
      </c>
      <c r="J1" s="1" t="s">
        <v>146</v>
      </c>
      <c r="K1" s="1" t="s">
        <v>131</v>
      </c>
      <c r="L1" s="1" t="s">
        <v>147</v>
      </c>
      <c r="M1" s="1" t="s">
        <v>9</v>
      </c>
      <c r="N1" s="1" t="s">
        <v>10</v>
      </c>
      <c r="O1" s="1" t="s">
        <v>181</v>
      </c>
      <c r="P1" s="1" t="s">
        <v>184</v>
      </c>
      <c r="Q1" s="1" t="s">
        <v>44</v>
      </c>
      <c r="R1" s="1" t="s">
        <v>97</v>
      </c>
      <c r="S1" s="1" t="s">
        <v>7</v>
      </c>
      <c r="T1" s="1" t="s">
        <v>26</v>
      </c>
      <c r="U1" s="1" t="s">
        <v>139</v>
      </c>
      <c r="V1" s="1" t="s">
        <v>85</v>
      </c>
      <c r="W1" s="1" t="s">
        <v>161</v>
      </c>
    </row>
    <row r="2" spans="1:23" ht="68" x14ac:dyDescent="0.2">
      <c r="A2" s="15" t="s">
        <v>23</v>
      </c>
      <c r="B2" s="1" t="str">
        <f>_xlfn.CONCAT("profiling_", F2, "_", D2, "")</f>
        <v>profiling_unit_1</v>
      </c>
      <c r="C2" s="13">
        <v>1</v>
      </c>
      <c r="D2" s="1">
        <v>1</v>
      </c>
      <c r="E2" s="1" t="s">
        <v>4</v>
      </c>
      <c r="F2" s="1" t="s">
        <v>134</v>
      </c>
      <c r="G2" s="1" t="s">
        <v>128</v>
      </c>
      <c r="H2" s="1" t="s">
        <v>129</v>
      </c>
      <c r="I2" s="1" t="s">
        <v>18</v>
      </c>
      <c r="J2" s="1">
        <f>_xlfn.SWITCH(F2, "unit", 29, "shared", 20)</f>
        <v>29</v>
      </c>
      <c r="K2" s="1" t="s">
        <v>132</v>
      </c>
      <c r="L2" s="1" t="s">
        <v>148</v>
      </c>
      <c r="M2" s="1">
        <v>-7499207.8954138597</v>
      </c>
      <c r="N2" s="1">
        <v>-6854808.11505822</v>
      </c>
      <c r="O2" s="1" t="s">
        <v>18</v>
      </c>
      <c r="P2" s="1" t="s">
        <v>18</v>
      </c>
      <c r="Q2" s="1" t="str">
        <f>_xlfn.CONCAT("scripts/model_fitting/profiling_HKU/1.profile_n.sh ","results/model_data/profiling_HKU/Omicron20/burn_in/profiling_shared_17_Omicron20/mlev2_mid.rds ", F2, " ", D2, " amd ", _xlfn.SWITCH(K2, "low", 32, "mid", 64, "high", 128), " ", K2)</f>
        <v>scripts/model_fitting/profiling_HKU/1.profile_n.sh results/model_data/profiling_HKU/Omicron20/burn_in/profiling_shared_17_Omicron20/mlev2_mid.rds unit 1 amd 32 low</v>
      </c>
      <c r="R2" s="1" t="str">
        <f>_xlfn.CONCAT("scripts/model_fitting/profiling_HKU/2.plot_profile_n.sh ", F2, " ", D2)</f>
        <v>scripts/model_fitting/profiling_HKU/2.plot_profile_n.sh unit 1</v>
      </c>
      <c r="S2" s="1" t="s">
        <v>138</v>
      </c>
      <c r="T2" s="2">
        <v>45521</v>
      </c>
      <c r="U2" s="1" t="s">
        <v>142</v>
      </c>
      <c r="V2" s="1"/>
    </row>
    <row r="3" spans="1:23" ht="51" x14ac:dyDescent="0.2">
      <c r="A3" s="16" t="s">
        <v>24</v>
      </c>
      <c r="B3" s="1" t="str">
        <f>_xlfn.CONCAT("profiling_", F3, "_", D3, "")</f>
        <v>profiling_shared_1</v>
      </c>
      <c r="C3" s="13">
        <v>2</v>
      </c>
      <c r="D3" s="1">
        <v>1</v>
      </c>
      <c r="E3" s="1" t="s">
        <v>4</v>
      </c>
      <c r="F3" s="1" t="s">
        <v>135</v>
      </c>
      <c r="G3" s="1" t="str">
        <f t="shared" ref="G3:G4" si="0">B2</f>
        <v>profiling_unit_1</v>
      </c>
      <c r="H3" s="1" t="str">
        <f>_xlfn.SWITCH(MATCH(MAX(M2:P2), M2:P2, 0), 1, "v1", 2, "v2", 3,"v3")</f>
        <v>v2</v>
      </c>
      <c r="I3" s="1">
        <f t="shared" ref="I3:I11" si="1">IF(H3="V1",M2,IF(H3="V2",N2, IF(H3="V3",  O2, P2)))</f>
        <v>-6854808.11505822</v>
      </c>
      <c r="J3" s="1">
        <f>_xlfn.SWITCH(F3, "unit", 29, "shared", 20)</f>
        <v>20</v>
      </c>
      <c r="K3" s="1" t="s">
        <v>132</v>
      </c>
      <c r="L3" s="1" t="str">
        <f>IF(E3="Local search", IF(F3="unit", "ibpf", "iubf"), IF(F3="unit", "bpf", "ubf"))</f>
        <v>ubf</v>
      </c>
      <c r="M3" s="1">
        <v>-7583590.7967381496</v>
      </c>
      <c r="N3" s="1">
        <v>-6306962.3303189399</v>
      </c>
      <c r="O3" s="1" t="s">
        <v>18</v>
      </c>
      <c r="P3" s="1" t="s">
        <v>18</v>
      </c>
      <c r="Q3" s="1" t="str">
        <f>_xlfn.CONCAT("scripts/model_fitting/profiling_HKU/1.profile_n.sh ","results/model_data/profiling_HKU/Omicron20/",B2,"/mle",IF(H3="v3","",H3),"_",K2,".rds ",F3," ",D3," amd ",_xlfn.SWITCH(K3,"low",32,"mid",64,"high",128), " ", K3, " ", L3)</f>
        <v>scripts/model_fitting/profiling_HKU/1.profile_n.sh results/model_data/profiling_HKU/Omicron20/profiling_unit_1/mlev2_low.rds shared 1 amd 32 low ubf</v>
      </c>
      <c r="R3" s="1" t="str">
        <f>_xlfn.CONCAT("scripts/model_fitting/profiling_HKU/2.plot_profile_n.sh ", F3, " ", D3)</f>
        <v>scripts/model_fitting/profiling_HKU/2.plot_profile_n.sh shared 1</v>
      </c>
      <c r="S3" s="1" t="s">
        <v>143</v>
      </c>
      <c r="T3" s="2">
        <v>45522</v>
      </c>
      <c r="U3" s="1" t="s">
        <v>144</v>
      </c>
      <c r="V3" s="1"/>
    </row>
    <row r="4" spans="1:23" ht="68" x14ac:dyDescent="0.2">
      <c r="A4" s="17" t="s">
        <v>141</v>
      </c>
      <c r="B4" s="1" t="str">
        <f>_xlfn.CONCAT(B$3, "_local_", D4)</f>
        <v>profiling_shared_1_local_1</v>
      </c>
      <c r="C4" s="13">
        <v>3</v>
      </c>
      <c r="D4" s="1">
        <v>1</v>
      </c>
      <c r="E4" s="1" t="s">
        <v>5</v>
      </c>
      <c r="F4" s="1" t="s">
        <v>136</v>
      </c>
      <c r="G4" s="1" t="str">
        <f t="shared" si="0"/>
        <v>profiling_shared_1</v>
      </c>
      <c r="H4" s="1" t="str">
        <f>_xlfn.SWITCH(MATCH(MAX(M3:P3), M3:P3, 0), 1, "v1", 2, "v2", 3,"v3")</f>
        <v>v2</v>
      </c>
      <c r="I4" s="1">
        <f t="shared" si="1"/>
        <v>-6306962.3303189399</v>
      </c>
      <c r="J4" s="1">
        <v>23</v>
      </c>
      <c r="K4" s="1" t="s">
        <v>132</v>
      </c>
      <c r="L4" s="1" t="str">
        <f>IF(E4="Local search", IF(F4="unit", "ibpf", "iubf"), IF(F4="unit", "bpf", "ubf"))</f>
        <v>iubf</v>
      </c>
      <c r="M4" s="1" t="s">
        <v>18</v>
      </c>
      <c r="N4" s="1" t="s">
        <v>18</v>
      </c>
      <c r="O4" s="1" t="s">
        <v>18</v>
      </c>
      <c r="P4" s="1">
        <v>-6015416.2952504298</v>
      </c>
      <c r="Q4" s="1" t="str">
        <f>_xlfn.CONCAT("scripts/model_fitting/profiling_HKU/3.local_n.sh ", "results/model_data/profiling_HKU/Omicron20/", B3, "/mle", IF(H4="v3","",H4), "_", K3, ".rds ", F4, " ", D4, " amd ", 32, " ", K4, " ", L4)</f>
        <v>scripts/model_fitting/profiling_HKU/3.local_n.sh results/model_data/profiling_HKU/Omicron20/profiling_shared_1/mlev2_low.rds all 1 amd 32 low iubf</v>
      </c>
      <c r="R4" s="1" t="str">
        <f>_xlfn.CONCAT("scripts/model_fitting/profiling_HKU/4.plot_local_n.sh ", "results/model_data/profiling_HKU/", B4, "/ ")</f>
        <v xml:space="preserve">scripts/model_fitting/profiling_HKU/4.plot_local_n.sh results/model_data/profiling_HKU/profiling_shared_1_local_1/ </v>
      </c>
      <c r="S4" s="1" t="s">
        <v>145</v>
      </c>
      <c r="T4" s="2">
        <v>45522</v>
      </c>
      <c r="U4" s="1"/>
      <c r="V4" s="1"/>
    </row>
    <row r="5" spans="1:23" ht="68" x14ac:dyDescent="0.2">
      <c r="A5" s="17" t="s">
        <v>141</v>
      </c>
      <c r="B5" s="1" t="str">
        <f>_xlfn.CONCAT(B$3, "_local_", D5)</f>
        <v>profiling_shared_1_local_2</v>
      </c>
      <c r="C5" s="13">
        <v>4</v>
      </c>
      <c r="D5" s="1">
        <v>2</v>
      </c>
      <c r="E5" s="1" t="s">
        <v>5</v>
      </c>
      <c r="F5" s="1" t="s">
        <v>136</v>
      </c>
      <c r="G5" s="1" t="str">
        <f t="shared" ref="G5" si="2">B4</f>
        <v>profiling_shared_1_local_1</v>
      </c>
      <c r="H5" s="1" t="str">
        <f t="shared" ref="H5:H27" si="3">_xlfn.SWITCH(MATCH(MAX(M4:P4), M4:P4, 0), 1, "v1", 2, "v2", 3,"v3", 4, "local" )</f>
        <v>local</v>
      </c>
      <c r="I5" s="1">
        <f t="shared" si="1"/>
        <v>-6015416.2952504298</v>
      </c>
      <c r="J5" s="1">
        <v>19</v>
      </c>
      <c r="K5" s="1" t="s">
        <v>132</v>
      </c>
      <c r="L5" s="1" t="str">
        <f>IF(E5="Local search", IF(F5="unit", "ibpf", "iubf"), IF(F5="unit", "bpf", "ubf"))</f>
        <v>iubf</v>
      </c>
      <c r="M5" s="1" t="s">
        <v>18</v>
      </c>
      <c r="N5" s="1" t="s">
        <v>18</v>
      </c>
      <c r="O5" s="1" t="s">
        <v>18</v>
      </c>
      <c r="P5" s="1">
        <v>-5954483.4814995099</v>
      </c>
      <c r="Q5" s="1" t="str">
        <f>_xlfn.CONCAT("scripts/model_fitting/profiling_HKU/3.local_n.sh ", "results/model_data/profiling_HKU/Omicron20/", B4, "/mle", IF(H5="local","",H5), "_", K4, ".rds ", F5, " ", D5, " amd ", 32, " ", K5, " ", L5)</f>
        <v>scripts/model_fitting/profiling_HKU/3.local_n.sh results/model_data/profiling_HKU/Omicron20/profiling_shared_1_local_1/mle_low.rds all 2 amd 32 low iubf</v>
      </c>
      <c r="R5" s="1" t="str">
        <f>_xlfn.CONCAT("scripts/model_fitting/profiling_HKU/4.plot_local_n.sh ", "results/model_data/profiling_HKU/", B5, "/ ")</f>
        <v xml:space="preserve">scripts/model_fitting/profiling_HKU/4.plot_local_n.sh results/model_data/profiling_HKU/profiling_shared_1_local_2/ </v>
      </c>
      <c r="S5" s="1" t="s">
        <v>150</v>
      </c>
      <c r="T5" s="2">
        <v>45522</v>
      </c>
      <c r="U5" s="1"/>
      <c r="V5" s="1"/>
    </row>
    <row r="6" spans="1:23" ht="136" x14ac:dyDescent="0.2">
      <c r="A6" s="17" t="s">
        <v>141</v>
      </c>
      <c r="B6" s="1" t="str">
        <f>_xlfn.CONCAT(B$3, "_local_", D6)</f>
        <v>profiling_shared_1_local_3</v>
      </c>
      <c r="C6" s="13">
        <v>5</v>
      </c>
      <c r="D6" s="1">
        <v>3</v>
      </c>
      <c r="E6" s="1" t="s">
        <v>5</v>
      </c>
      <c r="F6" s="1" t="s">
        <v>136</v>
      </c>
      <c r="G6" s="1" t="str">
        <f t="shared" ref="G6:G11" si="4">B5</f>
        <v>profiling_shared_1_local_2</v>
      </c>
      <c r="H6" s="1" t="str">
        <f t="shared" si="3"/>
        <v>local</v>
      </c>
      <c r="I6" s="1">
        <f t="shared" si="1"/>
        <v>-5954483.4814995099</v>
      </c>
      <c r="J6" s="1">
        <v>36</v>
      </c>
      <c r="K6" s="1" t="s">
        <v>132</v>
      </c>
      <c r="L6" s="1" t="s">
        <v>149</v>
      </c>
      <c r="M6" s="1" t="s">
        <v>18</v>
      </c>
      <c r="N6" s="1" t="s">
        <v>18</v>
      </c>
      <c r="O6" s="1" t="s">
        <v>18</v>
      </c>
      <c r="P6" s="1">
        <v>-5311436.37940697</v>
      </c>
      <c r="Q6" s="1" t="str">
        <f>_xlfn.CONCAT("scripts/model_fitting/profiling_HKU/3.local_n.sh ", "results/model_data/profiling_HKU/Omicron20/", B5, "/mle", IF(H6="local","",H6), "_", K5, ".rds ", F6, " ", D6, " amd ", 32, " ", K6, " ", L6)</f>
        <v>scripts/model_fitting/profiling_HKU/3.local_n.sh results/model_data/profiling_HKU/Omicron20/profiling_shared_1_local_2/mle_low.rds all 3 amd 32 low ibpf</v>
      </c>
      <c r="R6" s="1" t="str">
        <f>_xlfn.CONCAT("scripts/model_fitting/profiling_HKU/4.plot_local_n.sh ", "results/model_data/profiling_HKU/", B6, "/ ")</f>
        <v xml:space="preserve">scripts/model_fitting/profiling_HKU/4.plot_local_n.sh results/model_data/profiling_HKU/profiling_shared_1_local_3/ </v>
      </c>
      <c r="S6" s="1" t="s">
        <v>151</v>
      </c>
      <c r="T6" s="2">
        <v>45523</v>
      </c>
      <c r="U6" s="1" t="s">
        <v>156</v>
      </c>
      <c r="V6" s="1" t="s">
        <v>152</v>
      </c>
    </row>
    <row r="7" spans="1:23" ht="68" x14ac:dyDescent="0.2">
      <c r="A7" s="17" t="s">
        <v>141</v>
      </c>
      <c r="B7" s="1" t="str">
        <f>_xlfn.CONCAT(B$3, "_local_", D7)</f>
        <v>profiling_shared_1_local_4</v>
      </c>
      <c r="C7" s="13">
        <v>6</v>
      </c>
      <c r="D7" s="1">
        <v>4</v>
      </c>
      <c r="E7" s="1" t="s">
        <v>5</v>
      </c>
      <c r="F7" s="1" t="s">
        <v>135</v>
      </c>
      <c r="G7" s="1" t="str">
        <f t="shared" si="4"/>
        <v>profiling_shared_1_local_3</v>
      </c>
      <c r="H7" s="1" t="str">
        <f t="shared" si="3"/>
        <v>local</v>
      </c>
      <c r="I7" s="1">
        <f t="shared" si="1"/>
        <v>-5311436.37940697</v>
      </c>
      <c r="J7" s="1">
        <v>17</v>
      </c>
      <c r="K7" s="1" t="s">
        <v>132</v>
      </c>
      <c r="L7" s="1" t="str">
        <f t="shared" ref="L7:L14" si="5">IF(E7="Local search", IF(F7="unit", "ibpf", "iubf"), IF(F7="unit", "bpf", "ubf"))</f>
        <v>iubf</v>
      </c>
      <c r="M7" s="1" t="s">
        <v>18</v>
      </c>
      <c r="N7" s="1" t="s">
        <v>18</v>
      </c>
      <c r="O7" s="1" t="s">
        <v>18</v>
      </c>
      <c r="P7" s="1">
        <v>-5431850</v>
      </c>
      <c r="Q7" s="1" t="str">
        <f>_xlfn.CONCAT("scripts/model_fitting/profiling_HKU/3.local_n.sh ", "results/model_data/profiling_HKU/Omicron20/", B6, "/mle", IF(H7="local","",H7), "_", K6, ".rds ", F7, " ", D7, " amd ", 32, " ", K7, " ", L7)</f>
        <v>scripts/model_fitting/profiling_HKU/3.local_n.sh results/model_data/profiling_HKU/Omicron20/profiling_shared_1_local_3/mle_low.rds shared 4 amd 32 low iubf</v>
      </c>
      <c r="R7" s="1" t="str">
        <f>_xlfn.CONCAT("scripts/model_fitting/profiling_HKU/4.plot_local_n.sh ", "results/model_data/profiling_HKU/", B7, "/ ")</f>
        <v xml:space="preserve">scripts/model_fitting/profiling_HKU/4.plot_local_n.sh results/model_data/profiling_HKU/profiling_shared_1_local_4/ </v>
      </c>
      <c r="S7" s="1" t="s">
        <v>153</v>
      </c>
      <c r="T7" s="2">
        <v>45523</v>
      </c>
      <c r="U7" s="1"/>
      <c r="V7" s="1" t="s">
        <v>155</v>
      </c>
    </row>
    <row r="8" spans="1:23" ht="136" x14ac:dyDescent="0.2">
      <c r="A8" s="15" t="s">
        <v>23</v>
      </c>
      <c r="B8" s="1" t="str">
        <f>_xlfn.CONCAT("profiling_", F8, "_", D8, "")</f>
        <v>profiling_unit_2</v>
      </c>
      <c r="C8" s="13">
        <v>7</v>
      </c>
      <c r="D8" s="1">
        <v>2</v>
      </c>
      <c r="E8" s="1" t="s">
        <v>4</v>
      </c>
      <c r="F8" s="1" t="s">
        <v>134</v>
      </c>
      <c r="G8" s="1" t="str">
        <f t="shared" si="4"/>
        <v>profiling_shared_1_local_4</v>
      </c>
      <c r="H8" s="1" t="str">
        <f t="shared" si="3"/>
        <v>local</v>
      </c>
      <c r="I8" s="1">
        <f t="shared" si="1"/>
        <v>-5431850</v>
      </c>
      <c r="J8" s="1">
        <f>_xlfn.SWITCH(F8, "unit", 29, "shared", 20)</f>
        <v>29</v>
      </c>
      <c r="K8" s="1" t="s">
        <v>132</v>
      </c>
      <c r="L8" s="1" t="str">
        <f t="shared" si="5"/>
        <v>bpf</v>
      </c>
      <c r="M8" s="1">
        <v>-7159900.1272290302</v>
      </c>
      <c r="N8" s="1">
        <v>-5443616.95724924</v>
      </c>
      <c r="O8" s="1" t="s">
        <v>18</v>
      </c>
      <c r="P8" s="1" t="s">
        <v>18</v>
      </c>
      <c r="Q8" s="1" t="str">
        <f>_xlfn.CONCAT("scripts/model_fitting/profiling_HKU/1.profile_n.sh ","results/model_data/profiling_HKU/Omicron20/",B7,"/mle",IF(H8="local","",H8),"_",K7,".rds ",F8," ",D8," amd ",_xlfn.SWITCH(K8,"low",32,"mid",64,"high",128), " ", K8, " ", L8)</f>
        <v>scripts/model_fitting/profiling_HKU/1.profile_n.sh results/model_data/profiling_HKU/Omicron20/profiling_shared_1_local_4/mle_low.rds unit 2 amd 32 low bpf</v>
      </c>
      <c r="R8" s="1" t="str">
        <f>_xlfn.CONCAT("scripts/model_fitting/profiling_HKU/2.plot_profile_n.sh ", F8, " ", D8)</f>
        <v>scripts/model_fitting/profiling_HKU/2.plot_profile_n.sh unit 2</v>
      </c>
      <c r="S8" s="1" t="s">
        <v>158</v>
      </c>
      <c r="T8" s="2">
        <v>45523</v>
      </c>
      <c r="U8" s="1" t="s">
        <v>157</v>
      </c>
      <c r="V8" s="1" t="s">
        <v>154</v>
      </c>
    </row>
    <row r="9" spans="1:23" ht="51" x14ac:dyDescent="0.2">
      <c r="A9" s="16" t="s">
        <v>24</v>
      </c>
      <c r="B9" s="1" t="str">
        <f>_xlfn.CONCAT("profiling_", F9, "_", D9, "")</f>
        <v>profiling_shared_2</v>
      </c>
      <c r="C9" s="13">
        <v>8</v>
      </c>
      <c r="D9" s="1">
        <v>2</v>
      </c>
      <c r="E9" s="1" t="s">
        <v>4</v>
      </c>
      <c r="F9" s="1" t="s">
        <v>135</v>
      </c>
      <c r="G9" s="1" t="str">
        <f t="shared" si="4"/>
        <v>profiling_unit_2</v>
      </c>
      <c r="H9" s="1" t="str">
        <f t="shared" si="3"/>
        <v>v2</v>
      </c>
      <c r="I9" s="1">
        <f t="shared" si="1"/>
        <v>-5443616.95724924</v>
      </c>
      <c r="J9" s="1">
        <f>_xlfn.SWITCH(F9, "unit", 29, "shared", 20)</f>
        <v>20</v>
      </c>
      <c r="K9" s="1" t="s">
        <v>132</v>
      </c>
      <c r="L9" s="1" t="str">
        <f t="shared" si="5"/>
        <v>ubf</v>
      </c>
      <c r="M9" s="1">
        <v>-5596416.7198924199</v>
      </c>
      <c r="N9" s="1">
        <v>-5051325.4343593502</v>
      </c>
      <c r="O9" s="1" t="s">
        <v>18</v>
      </c>
      <c r="P9" s="1" t="s">
        <v>18</v>
      </c>
      <c r="Q9" s="1" t="str">
        <f>_xlfn.CONCAT("scripts/model_fitting/profiling_HKU/1.profile_n.sh ","results/model_data/profiling_HKU/Omicron20/",B8,"/mle",IF(H9="local","",H9),"_",K8,".rds ",F9," ",D9," amd ",_xlfn.SWITCH(K9,"low",32,"mid",64,"high",128), " ", K9, " ", L9)</f>
        <v>scripts/model_fitting/profiling_HKU/1.profile_n.sh results/model_data/profiling_HKU/Omicron20/profiling_unit_2/mlev2_low.rds shared 2 amd 32 low ubf</v>
      </c>
      <c r="R9" s="1" t="str">
        <f>_xlfn.CONCAT("scripts/model_fitting/profiling_HKU/2.plot_profile_n.sh ", F9, " ", D9)</f>
        <v>scripts/model_fitting/profiling_HKU/2.plot_profile_n.sh shared 2</v>
      </c>
      <c r="S9" s="1" t="s">
        <v>159</v>
      </c>
      <c r="T9" s="2">
        <v>45523</v>
      </c>
      <c r="U9" s="1" t="s">
        <v>78</v>
      </c>
      <c r="V9" s="1"/>
    </row>
    <row r="10" spans="1:23" ht="68" x14ac:dyDescent="0.2">
      <c r="A10" s="17" t="s">
        <v>141</v>
      </c>
      <c r="B10" s="1" t="str">
        <f>_xlfn.CONCAT(B$9, "_local_", D10)</f>
        <v>profiling_shared_2_local_1</v>
      </c>
      <c r="C10" s="13">
        <v>9</v>
      </c>
      <c r="D10" s="1">
        <v>1</v>
      </c>
      <c r="E10" s="1" t="s">
        <v>5</v>
      </c>
      <c r="F10" s="1" t="s">
        <v>134</v>
      </c>
      <c r="G10" s="1" t="str">
        <f t="shared" si="4"/>
        <v>profiling_shared_2</v>
      </c>
      <c r="H10" s="1" t="str">
        <f t="shared" si="3"/>
        <v>v2</v>
      </c>
      <c r="I10" s="1">
        <f t="shared" si="1"/>
        <v>-5051325.4343593502</v>
      </c>
      <c r="J10" s="1">
        <v>21</v>
      </c>
      <c r="K10" s="1" t="s">
        <v>132</v>
      </c>
      <c r="L10" s="1" t="str">
        <f t="shared" si="5"/>
        <v>ibpf</v>
      </c>
      <c r="M10" s="1" t="s">
        <v>18</v>
      </c>
      <c r="N10" s="1" t="s">
        <v>18</v>
      </c>
      <c r="O10" s="1" t="s">
        <v>18</v>
      </c>
      <c r="P10" s="1">
        <v>-5297706.3672356298</v>
      </c>
      <c r="Q10" s="1" t="str">
        <f>_xlfn.CONCAT("scripts/model_fitting/profiling_HKU/3.local_n.sh ", "results/model_data/profiling_HKU/Omicron20/", B9, "/mle", IF(H10="local","",H10), "_", K9, ".rds ", F10, " ", D10, " amd ", 32, " ", K10, " ", L10)</f>
        <v>scripts/model_fitting/profiling_HKU/3.local_n.sh results/model_data/profiling_HKU/Omicron20/profiling_shared_2/mlev2_low.rds unit 1 amd 32 low ibpf</v>
      </c>
      <c r="R10" s="1" t="str">
        <f>_xlfn.CONCAT("scripts/model_fitting/profiling_HKU/4.plot_local_n.sh ", "results/model_data/profiling_HKU/", B10, "/ ")</f>
        <v xml:space="preserve">scripts/model_fitting/profiling_HKU/4.plot_local_n.sh results/model_data/profiling_HKU/profiling_shared_2_local_1/ </v>
      </c>
      <c r="S10" s="1" t="s">
        <v>160</v>
      </c>
      <c r="T10" s="2">
        <v>45524</v>
      </c>
      <c r="U10" s="1"/>
    </row>
    <row r="11" spans="1:23" ht="68" x14ac:dyDescent="0.2">
      <c r="A11" s="17" t="s">
        <v>141</v>
      </c>
      <c r="B11" s="1" t="str">
        <f>_xlfn.CONCAT(B$9, "_local_", D11)</f>
        <v>profiling_shared_2_local_2</v>
      </c>
      <c r="C11" s="13">
        <v>10</v>
      </c>
      <c r="D11" s="1">
        <v>2</v>
      </c>
      <c r="E11" s="1" t="s">
        <v>5</v>
      </c>
      <c r="F11" s="1" t="s">
        <v>135</v>
      </c>
      <c r="G11" s="1" t="str">
        <f t="shared" si="4"/>
        <v>profiling_shared_2_local_1</v>
      </c>
      <c r="H11" s="1" t="str">
        <f t="shared" si="3"/>
        <v>local</v>
      </c>
      <c r="I11" s="1">
        <f t="shared" si="1"/>
        <v>-5297706.3672356298</v>
      </c>
      <c r="J11" s="1">
        <v>30</v>
      </c>
      <c r="K11" s="1" t="s">
        <v>132</v>
      </c>
      <c r="L11" s="1" t="str">
        <f t="shared" si="5"/>
        <v>iubf</v>
      </c>
      <c r="M11" s="1" t="s">
        <v>18</v>
      </c>
      <c r="N11" s="1" t="s">
        <v>18</v>
      </c>
      <c r="O11" s="1" t="s">
        <v>18</v>
      </c>
      <c r="P11" s="1">
        <v>-5025046.3497340698</v>
      </c>
      <c r="Q11" s="1" t="str">
        <f>_xlfn.CONCAT("scripts/model_fitting/profiling_HKU/3.local_n.sh ", "results/model_data/profiling_HKU/Omicron20/", B10, "/mle", IF(H11="local","",H11), "_", K10, ".rds ", F11, " ", D11, " amd ", 32, " ", K11, " ", L11)</f>
        <v>scripts/model_fitting/profiling_HKU/3.local_n.sh results/model_data/profiling_HKU/Omicron20/profiling_shared_2_local_1/mle_low.rds shared 2 amd 32 low iubf</v>
      </c>
      <c r="R11" s="1" t="str">
        <f>_xlfn.CONCAT("scripts/model_fitting/profiling_HKU/4.plot_local_n.sh ", "results/model_data/profiling_HKU/", B11, "/ ")</f>
        <v xml:space="preserve">scripts/model_fitting/profiling_HKU/4.plot_local_n.sh results/model_data/profiling_HKU/profiling_shared_2_local_2/ </v>
      </c>
      <c r="S11" s="1" t="s">
        <v>162</v>
      </c>
      <c r="T11" s="2">
        <v>45524</v>
      </c>
      <c r="U11" s="1"/>
    </row>
    <row r="12" spans="1:23" s="21" customFormat="1" ht="85" x14ac:dyDescent="0.2">
      <c r="A12" s="18" t="s">
        <v>141</v>
      </c>
      <c r="B12" s="19" t="str">
        <f>_xlfn.CONCAT(B$9, "_local_", D12)</f>
        <v>profiling_shared_2_local_3</v>
      </c>
      <c r="C12" s="13">
        <v>11</v>
      </c>
      <c r="D12" s="19">
        <v>3</v>
      </c>
      <c r="E12" s="19" t="s">
        <v>5</v>
      </c>
      <c r="F12" s="19" t="s">
        <v>135</v>
      </c>
      <c r="G12" s="19" t="str">
        <f t="shared" ref="G12" si="6">B11</f>
        <v>profiling_shared_2_local_2</v>
      </c>
      <c r="H12" s="19" t="str">
        <f t="shared" si="3"/>
        <v>local</v>
      </c>
      <c r="I12" s="19">
        <f>IF(H12="V1",M11,IF(H12="V2",N11,P11))</f>
        <v>-5025046.3497340698</v>
      </c>
      <c r="J12" s="19">
        <v>21</v>
      </c>
      <c r="K12" s="19" t="s">
        <v>132</v>
      </c>
      <c r="L12" s="19" t="str">
        <f t="shared" si="5"/>
        <v>iubf</v>
      </c>
      <c r="M12" s="19" t="s">
        <v>18</v>
      </c>
      <c r="N12" s="19" t="s">
        <v>18</v>
      </c>
      <c r="O12" s="1" t="s">
        <v>18</v>
      </c>
      <c r="P12" s="19">
        <v>-5243575.5769515503</v>
      </c>
      <c r="Q12" s="1" t="str">
        <f>_xlfn.CONCAT("scripts/model_fitting/profiling_HKU/3.local_n.sh ", "results/model_data/profiling_HKU/Omicron20/", B11, "/mle", IF(H12="local","",H12), "_", K11, ".rds ", F12, " ", D12, " amd ", 32, " ", K12, " ", L12)</f>
        <v>scripts/model_fitting/profiling_HKU/3.local_n.sh results/model_data/profiling_HKU/Omicron20/profiling_shared_2_local_2/mle_low.rds shared 3 amd 32 low iubf</v>
      </c>
      <c r="R12" s="19" t="str">
        <f>_xlfn.CONCAT("scripts/model_fitting/profiling_HKU/4.plot_local_n.sh ", "results/model_data/profiling_HKU/", B12, "/ ")</f>
        <v xml:space="preserve">scripts/model_fitting/profiling_HKU/4.plot_local_n.sh results/model_data/profiling_HKU/profiling_shared_2_local_3/ </v>
      </c>
      <c r="S12" s="19" t="s">
        <v>165</v>
      </c>
      <c r="T12" s="20">
        <v>45524</v>
      </c>
      <c r="U12" s="19" t="s">
        <v>163</v>
      </c>
      <c r="V12" s="19" t="s">
        <v>164</v>
      </c>
    </row>
    <row r="13" spans="1:23" ht="51" x14ac:dyDescent="0.2">
      <c r="A13" s="15" t="s">
        <v>23</v>
      </c>
      <c r="B13" s="1" t="str">
        <f t="shared" ref="B13:B18" si="7">_xlfn.CONCAT("profiling_", F13, "_", D13, "")</f>
        <v>profiling_unit_3</v>
      </c>
      <c r="C13" s="13">
        <v>12</v>
      </c>
      <c r="D13" s="1">
        <v>3</v>
      </c>
      <c r="E13" s="1" t="s">
        <v>4</v>
      </c>
      <c r="F13" s="1" t="s">
        <v>134</v>
      </c>
      <c r="G13" s="1" t="str">
        <f>B11</f>
        <v>profiling_shared_2_local_2</v>
      </c>
      <c r="H13" s="1" t="str">
        <f t="shared" si="3"/>
        <v>local</v>
      </c>
      <c r="I13" s="1">
        <v>-5025046.3497340698</v>
      </c>
      <c r="J13" s="1">
        <f t="shared" ref="J13:J18" si="8">_xlfn.SWITCH(F13, "unit", 29, "shared", 20)</f>
        <v>29</v>
      </c>
      <c r="K13" s="1" t="s">
        <v>140</v>
      </c>
      <c r="L13" s="1" t="str">
        <f t="shared" si="5"/>
        <v>bpf</v>
      </c>
      <c r="M13" s="1">
        <v>-5084418.5602693902</v>
      </c>
      <c r="N13" s="1">
        <v>-4887592.1394101102</v>
      </c>
      <c r="O13" s="1" t="s">
        <v>18</v>
      </c>
      <c r="P13" s="1" t="s">
        <v>18</v>
      </c>
      <c r="Q13" s="1" t="str">
        <f t="shared" ref="Q13:Q23" si="9">_xlfn.CONCAT("scripts/model_fitting/profiling_HKU/1.profile_n.sh ","results/model_data/profiling_HKU/Omicron20/",B12,"/mle",IF(H13="local","",H13),"_",K12,".rds ",F13," ",D13," amd ",_xlfn.SWITCH(K13,"low",32,"mid",64,"high",128), " ", K13, " ", L13)</f>
        <v>scripts/model_fitting/profiling_HKU/1.profile_n.sh results/model_data/profiling_HKU/Omicron20/profiling_shared_2_local_3/mle_low.rds unit 3 amd 64 mid bpf</v>
      </c>
      <c r="R13" s="1" t="str">
        <f t="shared" ref="R13:R24" si="10">_xlfn.CONCAT("scripts/model_fitting/profiling_HKU/2.plot_profile_n.sh ", F13, " ", D13)</f>
        <v>scripts/model_fitting/profiling_HKU/2.plot_profile_n.sh unit 3</v>
      </c>
      <c r="S13" s="1" t="s">
        <v>166</v>
      </c>
      <c r="T13" s="2">
        <v>45524</v>
      </c>
      <c r="U13" s="1" t="s">
        <v>167</v>
      </c>
    </row>
    <row r="14" spans="1:23" ht="51" x14ac:dyDescent="0.2">
      <c r="A14" s="15" t="s">
        <v>23</v>
      </c>
      <c r="B14" s="1" t="str">
        <f t="shared" si="7"/>
        <v>profiling_unit_4</v>
      </c>
      <c r="C14" s="13">
        <v>13</v>
      </c>
      <c r="D14" s="1">
        <v>4</v>
      </c>
      <c r="E14" s="1" t="s">
        <v>4</v>
      </c>
      <c r="F14" s="1" t="s">
        <v>134</v>
      </c>
      <c r="G14" s="1" t="str">
        <f t="shared" ref="G14:G16" si="11">B13</f>
        <v>profiling_unit_3</v>
      </c>
      <c r="H14" s="1" t="str">
        <f t="shared" si="3"/>
        <v>v2</v>
      </c>
      <c r="I14" s="1">
        <f t="shared" ref="I14:I23" si="12">IF(H14="V1",M13,IF(H14="V2",N13, IF(H14="V3",  O13, P13)))</f>
        <v>-4887592.1394101102</v>
      </c>
      <c r="J14" s="1">
        <f t="shared" si="8"/>
        <v>29</v>
      </c>
      <c r="K14" s="1" t="s">
        <v>140</v>
      </c>
      <c r="L14" s="1" t="str">
        <f t="shared" si="5"/>
        <v>bpf</v>
      </c>
      <c r="M14" s="1">
        <v>-5303802.7127098301</v>
      </c>
      <c r="N14" s="1">
        <v>-4887592.1394101102</v>
      </c>
      <c r="O14" s="1" t="s">
        <v>18</v>
      </c>
      <c r="P14" s="1" t="s">
        <v>18</v>
      </c>
      <c r="Q14" s="1" t="str">
        <f t="shared" si="9"/>
        <v>scripts/model_fitting/profiling_HKU/1.profile_n.sh results/model_data/profiling_HKU/Omicron20/profiling_unit_3/mlev2_mid.rds unit 4 amd 64 mid bpf</v>
      </c>
      <c r="R14" s="1" t="str">
        <f t="shared" si="10"/>
        <v>scripts/model_fitting/profiling_HKU/2.plot_profile_n.sh unit 4</v>
      </c>
      <c r="S14" s="1" t="s">
        <v>169</v>
      </c>
      <c r="T14" s="2">
        <v>45525</v>
      </c>
      <c r="U14" s="1" t="s">
        <v>168</v>
      </c>
    </row>
    <row r="15" spans="1:23" ht="119" x14ac:dyDescent="0.2">
      <c r="A15" s="16" t="s">
        <v>24</v>
      </c>
      <c r="B15" s="1" t="str">
        <f t="shared" si="7"/>
        <v>profiling_shared_3</v>
      </c>
      <c r="C15" s="13">
        <v>14</v>
      </c>
      <c r="D15" s="1">
        <v>3</v>
      </c>
      <c r="E15" s="1" t="s">
        <v>4</v>
      </c>
      <c r="F15" s="1" t="s">
        <v>135</v>
      </c>
      <c r="G15" s="1" t="str">
        <f t="shared" si="11"/>
        <v>profiling_unit_4</v>
      </c>
      <c r="H15" s="1" t="str">
        <f t="shared" si="3"/>
        <v>v2</v>
      </c>
      <c r="I15" s="1">
        <f t="shared" si="12"/>
        <v>-4887592.1394101102</v>
      </c>
      <c r="J15" s="1">
        <f t="shared" si="8"/>
        <v>20</v>
      </c>
      <c r="K15" s="1" t="s">
        <v>140</v>
      </c>
      <c r="L15" s="1" t="str">
        <f t="shared" ref="L15:L18" si="13">IF(E15="Local search", IF(F15="unit", "ibpf", "iubf"), IF(F15="unit", "bpf", "ubf"))</f>
        <v>ubf</v>
      </c>
      <c r="M15" s="1">
        <v>-4890973.28697572</v>
      </c>
      <c r="N15" s="1">
        <v>-4656077.7956584804</v>
      </c>
      <c r="O15" s="1" t="s">
        <v>18</v>
      </c>
      <c r="P15" s="1" t="s">
        <v>18</v>
      </c>
      <c r="Q15" s="1" t="str">
        <f t="shared" si="9"/>
        <v>scripts/model_fitting/profiling_HKU/1.profile_n.sh results/model_data/profiling_HKU/Omicron20/profiling_unit_4/mlev2_mid.rds shared 3 amd 64 mid ubf</v>
      </c>
      <c r="R15" s="1" t="str">
        <f t="shared" si="10"/>
        <v>scripts/model_fitting/profiling_HKU/2.plot_profile_n.sh shared 3</v>
      </c>
      <c r="S15" s="1" t="s">
        <v>171</v>
      </c>
      <c r="T15" s="2">
        <v>45525</v>
      </c>
      <c r="U15" s="1" t="s">
        <v>172</v>
      </c>
      <c r="W15" s="22" t="s">
        <v>170</v>
      </c>
    </row>
    <row r="16" spans="1:23" ht="51" x14ac:dyDescent="0.2">
      <c r="A16" s="16" t="s">
        <v>24</v>
      </c>
      <c r="B16" s="1" t="str">
        <f t="shared" si="7"/>
        <v>profiling_shared_4</v>
      </c>
      <c r="C16" s="13">
        <v>15</v>
      </c>
      <c r="D16" s="1">
        <v>4</v>
      </c>
      <c r="E16" s="1" t="s">
        <v>4</v>
      </c>
      <c r="F16" s="1" t="s">
        <v>135</v>
      </c>
      <c r="G16" s="1" t="str">
        <f t="shared" si="11"/>
        <v>profiling_shared_3</v>
      </c>
      <c r="H16" s="1" t="str">
        <f t="shared" si="3"/>
        <v>v2</v>
      </c>
      <c r="I16" s="1">
        <f t="shared" si="12"/>
        <v>-4656077.7956584804</v>
      </c>
      <c r="J16" s="1">
        <f t="shared" si="8"/>
        <v>20</v>
      </c>
      <c r="K16" s="1" t="s">
        <v>140</v>
      </c>
      <c r="L16" s="1" t="str">
        <f t="shared" si="13"/>
        <v>ubf</v>
      </c>
      <c r="M16" s="1">
        <v>-5553504.2696054904</v>
      </c>
      <c r="N16" s="1">
        <v>-4597984.6071265005</v>
      </c>
      <c r="O16" s="1" t="s">
        <v>18</v>
      </c>
      <c r="P16" s="1" t="s">
        <v>18</v>
      </c>
      <c r="Q16" s="1" t="str">
        <f t="shared" si="9"/>
        <v>scripts/model_fitting/profiling_HKU/1.profile_n.sh results/model_data/profiling_HKU/Omicron20/profiling_shared_3/mlev2_mid.rds shared 4 amd 64 mid ubf</v>
      </c>
      <c r="R16" s="1" t="str">
        <f t="shared" si="10"/>
        <v>scripts/model_fitting/profiling_HKU/2.plot_profile_n.sh shared 4</v>
      </c>
      <c r="S16" s="1" t="s">
        <v>173</v>
      </c>
      <c r="T16" s="2">
        <v>45525</v>
      </c>
      <c r="U16" s="1" t="s">
        <v>174</v>
      </c>
    </row>
    <row r="17" spans="1:23" ht="51" x14ac:dyDescent="0.2">
      <c r="A17" s="16" t="s">
        <v>24</v>
      </c>
      <c r="B17" s="1" t="str">
        <f t="shared" si="7"/>
        <v>profiling_shared_5</v>
      </c>
      <c r="C17" s="13">
        <v>16</v>
      </c>
      <c r="D17" s="1">
        <v>5</v>
      </c>
      <c r="E17" s="1" t="s">
        <v>4</v>
      </c>
      <c r="F17" s="1" t="s">
        <v>135</v>
      </c>
      <c r="G17" s="1" t="str">
        <f t="shared" ref="G17:G19" si="14">B16</f>
        <v>profiling_shared_4</v>
      </c>
      <c r="H17" s="1" t="str">
        <f t="shared" si="3"/>
        <v>v2</v>
      </c>
      <c r="I17" s="1">
        <f t="shared" si="12"/>
        <v>-4597984.6071265005</v>
      </c>
      <c r="J17" s="1">
        <f t="shared" si="8"/>
        <v>20</v>
      </c>
      <c r="K17" s="1" t="s">
        <v>140</v>
      </c>
      <c r="L17" s="1" t="str">
        <f t="shared" ref="L17" si="15">IF(E17="Local search", IF(F17="unit", "ibpf", "iubf"), IF(F17="unit", "bpf", "ubf"))</f>
        <v>ubf</v>
      </c>
      <c r="M17" s="1">
        <v>-4718402.1389589999</v>
      </c>
      <c r="N17" s="1">
        <v>-4597984.6071265005</v>
      </c>
      <c r="O17" s="1" t="s">
        <v>18</v>
      </c>
      <c r="P17" s="1" t="s">
        <v>18</v>
      </c>
      <c r="Q17" s="1" t="str">
        <f t="shared" si="9"/>
        <v>scripts/model_fitting/profiling_HKU/1.profile_n.sh results/model_data/profiling_HKU/Omicron20/profiling_shared_4/mlev2_mid.rds shared 5 amd 64 mid ubf</v>
      </c>
      <c r="R17" s="1" t="str">
        <f t="shared" si="10"/>
        <v>scripts/model_fitting/profiling_HKU/2.plot_profile_n.sh shared 5</v>
      </c>
      <c r="S17" s="1" t="s">
        <v>176</v>
      </c>
      <c r="T17" s="2">
        <v>45526</v>
      </c>
      <c r="U17" s="1" t="s">
        <v>168</v>
      </c>
    </row>
    <row r="18" spans="1:23" s="21" customFormat="1" ht="51" x14ac:dyDescent="0.2">
      <c r="A18" s="15" t="s">
        <v>23</v>
      </c>
      <c r="B18" s="1" t="str">
        <f t="shared" si="7"/>
        <v>profiling_unit_5</v>
      </c>
      <c r="C18" s="13">
        <v>17</v>
      </c>
      <c r="D18" s="1">
        <v>5</v>
      </c>
      <c r="E18" s="1" t="s">
        <v>4</v>
      </c>
      <c r="F18" s="1" t="s">
        <v>134</v>
      </c>
      <c r="G18" s="1" t="str">
        <f t="shared" si="14"/>
        <v>profiling_shared_5</v>
      </c>
      <c r="H18" s="1" t="str">
        <f t="shared" si="3"/>
        <v>v2</v>
      </c>
      <c r="I18" s="1">
        <f t="shared" si="12"/>
        <v>-4597984.6071265005</v>
      </c>
      <c r="J18" s="1">
        <f t="shared" si="8"/>
        <v>29</v>
      </c>
      <c r="K18" s="1" t="s">
        <v>140</v>
      </c>
      <c r="L18" s="1" t="str">
        <f t="shared" si="13"/>
        <v>bpf</v>
      </c>
      <c r="M18" s="1">
        <v>-5588087.0359424902</v>
      </c>
      <c r="N18" s="1">
        <v>-4681501.4903815798</v>
      </c>
      <c r="O18" s="1" t="s">
        <v>18</v>
      </c>
      <c r="P18" s="1" t="s">
        <v>18</v>
      </c>
      <c r="Q18" s="1" t="str">
        <f t="shared" si="9"/>
        <v>scripts/model_fitting/profiling_HKU/1.profile_n.sh results/model_data/profiling_HKU/Omicron20/profiling_shared_5/mlev2_mid.rds unit 5 amd 64 mid bpf</v>
      </c>
      <c r="R18" s="1" t="str">
        <f t="shared" si="10"/>
        <v>scripts/model_fitting/profiling_HKU/2.plot_profile_n.sh unit 5</v>
      </c>
      <c r="S18" s="1" t="s">
        <v>175</v>
      </c>
      <c r="T18" s="2">
        <v>45526</v>
      </c>
      <c r="U18" s="1" t="s">
        <v>179</v>
      </c>
    </row>
    <row r="19" spans="1:23" ht="51" x14ac:dyDescent="0.2">
      <c r="A19" s="15" t="s">
        <v>23</v>
      </c>
      <c r="B19" s="1" t="str">
        <f t="shared" ref="B19:B20" si="16">_xlfn.CONCAT("profiling_", F19, "_", D19, "")</f>
        <v>profiling_unit_6</v>
      </c>
      <c r="C19" s="13">
        <v>18</v>
      </c>
      <c r="D19" s="1">
        <v>6</v>
      </c>
      <c r="E19" s="1" t="s">
        <v>4</v>
      </c>
      <c r="F19" s="1" t="s">
        <v>134</v>
      </c>
      <c r="G19" s="1" t="str">
        <f t="shared" si="14"/>
        <v>profiling_unit_5</v>
      </c>
      <c r="H19" s="1" t="str">
        <f t="shared" si="3"/>
        <v>v2</v>
      </c>
      <c r="I19" s="1">
        <f t="shared" si="12"/>
        <v>-4681501.4903815798</v>
      </c>
      <c r="J19" s="1">
        <f t="shared" ref="J19:J20" si="17">_xlfn.SWITCH(F19, "unit", 29, "shared", 20)</f>
        <v>29</v>
      </c>
      <c r="K19" s="1" t="s">
        <v>140</v>
      </c>
      <c r="L19" s="1" t="s">
        <v>148</v>
      </c>
      <c r="M19" s="1">
        <v>-4578928.2197098602</v>
      </c>
      <c r="N19" s="1">
        <v>-4497672.9254965503</v>
      </c>
      <c r="O19" s="1">
        <v>-4347826.0482433503</v>
      </c>
      <c r="P19" s="1" t="s">
        <v>18</v>
      </c>
      <c r="Q19" s="1" t="str">
        <f t="shared" si="9"/>
        <v>scripts/model_fitting/profiling_HKU/1.profile_n.sh results/model_data/profiling_HKU/Omicron20/profiling_unit_5/mlev2_mid.rds unit 6 amd 64 mid ubf</v>
      </c>
      <c r="R19" s="1" t="str">
        <f t="shared" si="10"/>
        <v>scripts/model_fitting/profiling_HKU/2.plot_profile_n.sh unit 6</v>
      </c>
      <c r="S19" s="1" t="s">
        <v>178</v>
      </c>
      <c r="T19" s="2">
        <v>45526</v>
      </c>
      <c r="U19" s="1" t="s">
        <v>180</v>
      </c>
    </row>
    <row r="20" spans="1:23" ht="51" x14ac:dyDescent="0.2">
      <c r="A20" s="16" t="s">
        <v>24</v>
      </c>
      <c r="B20" s="1" t="str">
        <f t="shared" si="16"/>
        <v>profiling_shared_6</v>
      </c>
      <c r="C20" s="13">
        <v>19</v>
      </c>
      <c r="D20" s="1">
        <v>6</v>
      </c>
      <c r="E20" s="1" t="s">
        <v>4</v>
      </c>
      <c r="F20" s="1" t="s">
        <v>135</v>
      </c>
      <c r="G20" s="1" t="str">
        <f t="shared" ref="G20:G21" si="18">B19</f>
        <v>profiling_unit_6</v>
      </c>
      <c r="H20" s="1" t="str">
        <f t="shared" si="3"/>
        <v>v3</v>
      </c>
      <c r="I20" s="1">
        <f t="shared" si="12"/>
        <v>-4347826.0482433503</v>
      </c>
      <c r="J20" s="1">
        <f t="shared" si="17"/>
        <v>20</v>
      </c>
      <c r="K20" s="1" t="s">
        <v>140</v>
      </c>
      <c r="L20" s="1" t="str">
        <f t="shared" ref="L20" si="19">IF(E20="Local search", IF(F20="unit", "ibpf", "iubf"), IF(F20="unit", "bpf", "ubf"))</f>
        <v>ubf</v>
      </c>
      <c r="M20" s="1">
        <v>-4150046.5872556302</v>
      </c>
      <c r="N20" s="1">
        <v>-4172395.8508744701</v>
      </c>
      <c r="O20" s="1">
        <v>-4090414.1736830501</v>
      </c>
      <c r="P20" s="1" t="s">
        <v>18</v>
      </c>
      <c r="Q20" s="1" t="str">
        <f t="shared" si="9"/>
        <v>scripts/model_fitting/profiling_HKU/1.profile_n.sh results/model_data/profiling_HKU/Omicron20/profiling_unit_6/mlev3_mid.rds shared 6 amd 64 mid ubf</v>
      </c>
      <c r="R20" s="1" t="str">
        <f t="shared" si="10"/>
        <v>scripts/model_fitting/profiling_HKU/2.plot_profile_n.sh shared 6</v>
      </c>
      <c r="S20" s="1" t="s">
        <v>182</v>
      </c>
      <c r="T20" s="2">
        <v>45527</v>
      </c>
      <c r="U20" s="1"/>
    </row>
    <row r="21" spans="1:23" ht="51" x14ac:dyDescent="0.2">
      <c r="A21" s="15" t="s">
        <v>23</v>
      </c>
      <c r="B21" s="1" t="str">
        <f t="shared" ref="B21:B22" si="20">_xlfn.CONCAT("profiling_", F21, "_", D21, "")</f>
        <v>profiling_unit_7</v>
      </c>
      <c r="C21" s="13">
        <v>20</v>
      </c>
      <c r="D21" s="1">
        <v>7</v>
      </c>
      <c r="E21" s="1" t="s">
        <v>4</v>
      </c>
      <c r="F21" s="1" t="s">
        <v>134</v>
      </c>
      <c r="G21" s="1" t="str">
        <f t="shared" si="18"/>
        <v>profiling_shared_6</v>
      </c>
      <c r="H21" s="1" t="str">
        <f t="shared" si="3"/>
        <v>v3</v>
      </c>
      <c r="I21" s="1">
        <f t="shared" si="12"/>
        <v>-4090414.1736830501</v>
      </c>
      <c r="J21" s="1">
        <f t="shared" ref="J21:J22" si="21">_xlfn.SWITCH(F21, "unit", 29, "shared", 20)</f>
        <v>29</v>
      </c>
      <c r="K21" s="1" t="s">
        <v>140</v>
      </c>
      <c r="L21" s="1" t="s">
        <v>148</v>
      </c>
      <c r="M21" s="1">
        <v>-4578632.7641178202</v>
      </c>
      <c r="N21" s="1">
        <v>-4054969.5419447999</v>
      </c>
      <c r="O21" s="1">
        <v>-4251940.61308013</v>
      </c>
      <c r="P21" s="1" t="s">
        <v>18</v>
      </c>
      <c r="Q21" s="1" t="str">
        <f t="shared" si="9"/>
        <v>scripts/model_fitting/profiling_HKU/1.profile_n.sh results/model_data/profiling_HKU/Omicron20/profiling_shared_6/mlev3_mid.rds unit 7 amd 64 mid ubf</v>
      </c>
      <c r="R21" s="1" t="str">
        <f t="shared" si="10"/>
        <v>scripts/model_fitting/profiling_HKU/2.plot_profile_n.sh unit 7</v>
      </c>
      <c r="S21" s="1" t="s">
        <v>183</v>
      </c>
      <c r="T21" s="2">
        <v>45527</v>
      </c>
      <c r="U21" s="1" t="s">
        <v>186</v>
      </c>
    </row>
    <row r="22" spans="1:23" ht="51" x14ac:dyDescent="0.2">
      <c r="A22" s="16" t="s">
        <v>24</v>
      </c>
      <c r="B22" s="1" t="str">
        <f t="shared" si="20"/>
        <v>profiling_shared_7</v>
      </c>
      <c r="C22" s="13">
        <v>21</v>
      </c>
      <c r="D22" s="1">
        <v>7</v>
      </c>
      <c r="E22" s="1" t="s">
        <v>4</v>
      </c>
      <c r="F22" s="1" t="s">
        <v>135</v>
      </c>
      <c r="G22" s="1" t="str">
        <f t="shared" ref="G22:G23" si="22">B21</f>
        <v>profiling_unit_7</v>
      </c>
      <c r="H22" s="1" t="str">
        <f t="shared" si="3"/>
        <v>v2</v>
      </c>
      <c r="I22" s="1">
        <f t="shared" si="12"/>
        <v>-4054969.5419447999</v>
      </c>
      <c r="J22" s="1">
        <f t="shared" si="21"/>
        <v>20</v>
      </c>
      <c r="K22" s="1" t="s">
        <v>140</v>
      </c>
      <c r="L22" s="1" t="str">
        <f t="shared" ref="L22" si="23">IF(E22="Local search", IF(F22="unit", "ibpf", "iubf"), IF(F22="unit", "bpf", "ubf"))</f>
        <v>ubf</v>
      </c>
      <c r="M22" s="1">
        <v>-4577992.7897136603</v>
      </c>
      <c r="N22" s="1">
        <v>-3936750.7998997001</v>
      </c>
      <c r="O22" s="1">
        <v>-4330973.0956135504</v>
      </c>
      <c r="P22" s="1" t="s">
        <v>18</v>
      </c>
      <c r="Q22" s="1" t="str">
        <f t="shared" si="9"/>
        <v>scripts/model_fitting/profiling_HKU/1.profile_n.sh results/model_data/profiling_HKU/Omicron20/profiling_unit_7/mlev2_mid.rds shared 7 amd 64 mid ubf</v>
      </c>
      <c r="R22" s="1" t="str">
        <f t="shared" si="10"/>
        <v>scripts/model_fitting/profiling_HKU/2.plot_profile_n.sh shared 7</v>
      </c>
      <c r="S22" s="1" t="s">
        <v>185</v>
      </c>
      <c r="T22" s="2">
        <v>45527</v>
      </c>
      <c r="U22" s="1" t="s">
        <v>188</v>
      </c>
    </row>
    <row r="23" spans="1:23" ht="238" x14ac:dyDescent="0.2">
      <c r="A23" s="15" t="s">
        <v>23</v>
      </c>
      <c r="B23" s="1" t="str">
        <f t="shared" ref="B23:B24" si="24">_xlfn.CONCAT("profiling_", F23, "_", D23, "")</f>
        <v>profiling_unit_8</v>
      </c>
      <c r="C23" s="13">
        <v>22</v>
      </c>
      <c r="D23" s="1">
        <v>8</v>
      </c>
      <c r="E23" s="1" t="s">
        <v>4</v>
      </c>
      <c r="F23" s="1" t="s">
        <v>134</v>
      </c>
      <c r="G23" s="1" t="str">
        <f t="shared" si="22"/>
        <v>profiling_shared_7</v>
      </c>
      <c r="H23" s="1" t="str">
        <f t="shared" si="3"/>
        <v>v2</v>
      </c>
      <c r="I23" s="1">
        <f t="shared" si="12"/>
        <v>-3936750.7998997001</v>
      </c>
      <c r="J23" s="1">
        <f t="shared" ref="J23:J24" si="25">_xlfn.SWITCH(F23, "unit", 29, "shared", 20)</f>
        <v>29</v>
      </c>
      <c r="K23" s="1" t="s">
        <v>140</v>
      </c>
      <c r="L23" s="1" t="s">
        <v>148</v>
      </c>
      <c r="M23" s="1">
        <v>-4169964.15562631</v>
      </c>
      <c r="N23" s="1">
        <v>-3850692.2355868001</v>
      </c>
      <c r="O23" s="1">
        <v>-4220424.2829158697</v>
      </c>
      <c r="P23" s="1" t="s">
        <v>18</v>
      </c>
      <c r="Q23" s="1" t="str">
        <f t="shared" si="9"/>
        <v>scripts/model_fitting/profiling_HKU/1.profile_n.sh results/model_data/profiling_HKU/Omicron20/profiling_shared_7/mlev2_mid.rds unit 8 amd 64 mid ubf</v>
      </c>
      <c r="R23" s="1" t="str">
        <f t="shared" si="10"/>
        <v>scripts/model_fitting/profiling_HKU/2.plot_profile_n.sh unit 8</v>
      </c>
      <c r="S23" s="1" t="s">
        <v>190</v>
      </c>
      <c r="T23" s="2">
        <v>45528</v>
      </c>
      <c r="U23" s="1"/>
      <c r="V23" s="22" t="s">
        <v>191</v>
      </c>
      <c r="W23" s="22" t="s">
        <v>189</v>
      </c>
    </row>
    <row r="24" spans="1:23" ht="51" x14ac:dyDescent="0.2">
      <c r="A24" s="16" t="s">
        <v>24</v>
      </c>
      <c r="B24" s="1" t="str">
        <f t="shared" si="24"/>
        <v>profiling_shared_8</v>
      </c>
      <c r="C24" s="13">
        <v>23</v>
      </c>
      <c r="D24" s="1">
        <v>8</v>
      </c>
      <c r="E24" s="1" t="s">
        <v>4</v>
      </c>
      <c r="F24" s="1" t="s">
        <v>135</v>
      </c>
      <c r="G24" s="1" t="str">
        <f t="shared" ref="G24" si="26">B23</f>
        <v>profiling_unit_8</v>
      </c>
      <c r="H24" s="1" t="str">
        <f t="shared" si="3"/>
        <v>v2</v>
      </c>
      <c r="I24" s="1">
        <v>-4446036.3966425899</v>
      </c>
      <c r="J24" s="1">
        <f t="shared" si="25"/>
        <v>20</v>
      </c>
      <c r="K24" s="1" t="s">
        <v>140</v>
      </c>
      <c r="L24" s="1" t="str">
        <f t="shared" ref="L24" si="27">IF(E24="Local search", IF(F24="unit", "ibpf", "iubf"), IF(F24="unit", "bpf", "ubf"))</f>
        <v>ubf</v>
      </c>
      <c r="M24" s="1">
        <v>-6192888.6181318704</v>
      </c>
      <c r="N24" s="1">
        <v>-3978877.1548683601</v>
      </c>
      <c r="O24" s="1">
        <v>-6145029.0170503203</v>
      </c>
      <c r="P24" s="1" t="s">
        <v>18</v>
      </c>
      <c r="Q24" s="1" t="str">
        <f>_xlfn.CONCAT("scripts/model_fitting/profiling_HKU/1.profile_n.sh ","results/model_data/profiling_HKU/Omicron20/",B23,"/mle",IF(H24="local","",H24),"_",K23,"_mod.rds ",F24," ",D24," amd ",_xlfn.SWITCH(K24,"low",32,"mid",64,"high",128), " ", K24, " ", L24)</f>
        <v>scripts/model_fitting/profiling_HKU/1.profile_n.sh results/model_data/profiling_HKU/Omicron20/profiling_unit_8/mlev2_mid_mod.rds shared 8 amd 64 mid ubf</v>
      </c>
      <c r="R24" s="1" t="str">
        <f t="shared" si="10"/>
        <v>scripts/model_fitting/profiling_HKU/2.plot_profile_n.sh shared 8</v>
      </c>
      <c r="S24" s="1" t="s">
        <v>194</v>
      </c>
      <c r="T24" s="2">
        <v>45529</v>
      </c>
      <c r="U24" s="1" t="s">
        <v>192</v>
      </c>
    </row>
    <row r="25" spans="1:23" ht="85" x14ac:dyDescent="0.2">
      <c r="A25" s="17" t="s">
        <v>141</v>
      </c>
      <c r="B25" s="1" t="str">
        <f>_xlfn.CONCAT(B24, "_local_", D25)</f>
        <v>profiling_shared_8_local_1</v>
      </c>
      <c r="C25" s="13">
        <v>24</v>
      </c>
      <c r="D25" s="1">
        <v>1</v>
      </c>
      <c r="E25" s="1" t="s">
        <v>5</v>
      </c>
      <c r="F25" s="1" t="s">
        <v>136</v>
      </c>
      <c r="G25" s="1" t="str">
        <f t="shared" ref="G25:G30" si="28">B24</f>
        <v>profiling_shared_8</v>
      </c>
      <c r="H25" s="1" t="str">
        <f t="shared" si="3"/>
        <v>v2</v>
      </c>
      <c r="I25" s="1">
        <f>IF(H25="V1",M24,IF(H25="V2",N24, IF(H25="V3",  O24, P24)))</f>
        <v>-3978877.1548683601</v>
      </c>
      <c r="J25" s="1">
        <v>42</v>
      </c>
      <c r="K25" s="1" t="s">
        <v>140</v>
      </c>
      <c r="L25" s="1" t="str">
        <f>IF(E25="Local search", IF(F25="unit", "ibpf", "iubf"), IF(F25="unit", "bpf", "ubf"))</f>
        <v>iubf</v>
      </c>
      <c r="M25" s="1" t="s">
        <v>18</v>
      </c>
      <c r="N25" s="1" t="s">
        <v>18</v>
      </c>
      <c r="O25" s="1" t="s">
        <v>18</v>
      </c>
      <c r="P25" s="1">
        <v>-4094451.4355614102</v>
      </c>
      <c r="Q25" s="1" t="str">
        <f>_xlfn.CONCAT("scripts/model_fitting/profiling_HKU/3.local_n.sh ", "results/model_data/profiling_HKU/Omicron20/", B24, "/mle", IF(H25="local","",H25), "_", K24, ".rds ", F25, " ", D25, " amd ", 32, " ", K25, " ", L25)</f>
        <v>scripts/model_fitting/profiling_HKU/3.local_n.sh results/model_data/profiling_HKU/Omicron20/profiling_shared_8/mlev2_mid.rds all 1 amd 32 mid iubf</v>
      </c>
      <c r="R25" s="1" t="str">
        <f>_xlfn.CONCAT("scripts/model_fitting/profiling_HKU/4.plot_local_n.sh ", "results/model_data/profiling_HKU/Omicron20/", B25, "/ ")</f>
        <v xml:space="preserve">scripts/model_fitting/profiling_HKU/4.plot_local_n.sh results/model_data/profiling_HKU/Omicron20/profiling_shared_8_local_1/ </v>
      </c>
      <c r="S25" s="1" t="s">
        <v>195</v>
      </c>
      <c r="T25" s="2">
        <v>45530</v>
      </c>
    </row>
    <row r="26" spans="1:23" ht="68" x14ac:dyDescent="0.2">
      <c r="A26" s="15" t="s">
        <v>23</v>
      </c>
      <c r="B26" s="1" t="str">
        <f t="shared" ref="B26:B27" si="29">_xlfn.CONCAT("profiling_", F26, "_", D26, "")</f>
        <v>profiling_unit_9</v>
      </c>
      <c r="C26" s="13">
        <v>25</v>
      </c>
      <c r="D26" s="1">
        <v>9</v>
      </c>
      <c r="E26" s="1" t="s">
        <v>4</v>
      </c>
      <c r="F26" s="1" t="s">
        <v>134</v>
      </c>
      <c r="G26" s="1" t="str">
        <f t="shared" si="28"/>
        <v>profiling_shared_8_local_1</v>
      </c>
      <c r="H26" s="1" t="str">
        <f t="shared" si="3"/>
        <v>local</v>
      </c>
      <c r="I26" s="1">
        <f t="shared" ref="I26:I27" si="30">IF(H26="V1",M25,IF(H26="V2",N25, IF(H26="V3",  O25, P25)))</f>
        <v>-4094451.4355614102</v>
      </c>
      <c r="J26" s="1">
        <f t="shared" ref="J26:J27" si="31">_xlfn.SWITCH(F26, "unit", 29, "shared", 20)</f>
        <v>29</v>
      </c>
      <c r="K26" s="1" t="s">
        <v>187</v>
      </c>
      <c r="L26" s="1" t="s">
        <v>148</v>
      </c>
      <c r="M26" s="1">
        <v>-3556405.1781199099</v>
      </c>
      <c r="N26" s="1">
        <v>-3666370.3590282202</v>
      </c>
      <c r="O26" s="1">
        <v>-3555804.35019761</v>
      </c>
      <c r="P26" s="1" t="s">
        <v>18</v>
      </c>
      <c r="Q26" s="1" t="str">
        <f t="shared" ref="Q26:Q27" si="32">_xlfn.CONCAT("scripts/model_fitting/profiling_HKU/1.profile_n.sh ","results/model_data/profiling_HKU/Omicron20/",B25,"/mle",IF(H26="local","",H26),"_",K25,".rds ",F26," ",D26," amd ",_xlfn.SWITCH(K26,"low",32,"mid",64,"high",128), " ", K26, " ", L26)</f>
        <v>scripts/model_fitting/profiling_HKU/1.profile_n.sh results/model_data/profiling_HKU/Omicron20/profiling_shared_8_local_1/mle_mid.rds unit 9 amd 128 high ubf</v>
      </c>
      <c r="R26" s="1" t="str">
        <f>_xlfn.CONCAT("scripts/model_fitting/profiling_HKU/2.plot_profile_n.sh ", F26, " ", D26)</f>
        <v>scripts/model_fitting/profiling_HKU/2.plot_profile_n.sh unit 9</v>
      </c>
      <c r="S26" s="1" t="s">
        <v>193</v>
      </c>
      <c r="T26" s="2">
        <v>45531</v>
      </c>
      <c r="U26" s="1"/>
      <c r="V26" s="22" t="s">
        <v>196</v>
      </c>
    </row>
    <row r="27" spans="1:23" ht="102" x14ac:dyDescent="0.2">
      <c r="A27" s="16" t="s">
        <v>24</v>
      </c>
      <c r="B27" s="1" t="str">
        <f t="shared" si="29"/>
        <v>profiling_shared_9</v>
      </c>
      <c r="C27" s="13">
        <v>26</v>
      </c>
      <c r="D27" s="1">
        <v>9</v>
      </c>
      <c r="E27" s="1" t="s">
        <v>4</v>
      </c>
      <c r="F27" s="1" t="s">
        <v>135</v>
      </c>
      <c r="G27" s="1" t="str">
        <f t="shared" si="28"/>
        <v>profiling_unit_9</v>
      </c>
      <c r="H27" s="1" t="str">
        <f t="shared" si="3"/>
        <v>v3</v>
      </c>
      <c r="I27" s="1">
        <f t="shared" si="30"/>
        <v>-3555804.35019761</v>
      </c>
      <c r="J27" s="1">
        <f t="shared" si="31"/>
        <v>20</v>
      </c>
      <c r="K27" s="1" t="s">
        <v>187</v>
      </c>
      <c r="L27" s="1" t="str">
        <f t="shared" ref="L27" si="33">IF(E27="Local search", IF(F27="unit", "ibpf", "iubf"), IF(F27="unit", "bpf", "ubf"))</f>
        <v>ubf</v>
      </c>
      <c r="M27" s="1">
        <v>-3686085.31407351</v>
      </c>
      <c r="N27" s="1">
        <v>-3495904.94300257</v>
      </c>
      <c r="O27" s="1">
        <v>-3545694.9574055499</v>
      </c>
      <c r="P27" s="1" t="s">
        <v>18</v>
      </c>
      <c r="Q27" s="1" t="str">
        <f t="shared" si="32"/>
        <v>scripts/model_fitting/profiling_HKU/1.profile_n.sh results/model_data/profiling_HKU/Omicron20/profiling_unit_9/mlev3_high.rds shared 9 amd 128 high ubf</v>
      </c>
      <c r="R27" s="1" t="str">
        <f>_xlfn.CONCAT("scripts/model_fitting/profiling_HKU/2.plot_profile_n.sh ", F27, " ", D27)</f>
        <v>scripts/model_fitting/profiling_HKU/2.plot_profile_n.sh shared 9</v>
      </c>
      <c r="S27" s="1" t="s">
        <v>197</v>
      </c>
      <c r="T27" s="2">
        <v>45532</v>
      </c>
      <c r="U27" s="1" t="s">
        <v>206</v>
      </c>
      <c r="V27" s="22" t="s">
        <v>201</v>
      </c>
    </row>
    <row r="28" spans="1:23" ht="51" x14ac:dyDescent="0.2">
      <c r="A28" s="16" t="s">
        <v>24</v>
      </c>
      <c r="B28" s="1" t="str">
        <f t="shared" ref="B28:B29" si="34">_xlfn.CONCAT("profiling_", F28, "_", D28, "")</f>
        <v>profiling_shared_10</v>
      </c>
      <c r="C28" s="13">
        <v>27</v>
      </c>
      <c r="D28" s="1">
        <v>10</v>
      </c>
      <c r="E28" s="1" t="s">
        <v>4</v>
      </c>
      <c r="F28" s="1" t="s">
        <v>135</v>
      </c>
      <c r="G28" s="1" t="str">
        <f t="shared" si="28"/>
        <v>profiling_shared_9</v>
      </c>
      <c r="H28" s="1" t="s">
        <v>200</v>
      </c>
      <c r="I28" s="1">
        <f t="shared" ref="I28:I30" si="35">IF(H28="V1",M27,IF(H28="V2",N27, IF(H28="V3",  O27, P27)))</f>
        <v>-3545694.9574055499</v>
      </c>
      <c r="J28" s="1">
        <f t="shared" ref="J28:J29" si="36">_xlfn.SWITCH(F28, "unit", 29, "shared", 20)</f>
        <v>20</v>
      </c>
      <c r="K28" s="1" t="s">
        <v>187</v>
      </c>
      <c r="L28" s="1" t="str">
        <f t="shared" ref="L28" si="37">IF(E28="Local search", IF(F28="unit", "ibpf", "iubf"), IF(F28="unit", "bpf", "ubf"))</f>
        <v>ubf</v>
      </c>
      <c r="M28" s="1">
        <v>-5392473.2945079496</v>
      </c>
      <c r="N28" s="1">
        <v>-3205316.6911173398</v>
      </c>
      <c r="O28" s="1">
        <v>-5325396.9233810101</v>
      </c>
      <c r="P28" s="1" t="s">
        <v>18</v>
      </c>
      <c r="Q28" s="1" t="str">
        <f t="shared" ref="Q28:Q29" si="38">_xlfn.CONCAT("scripts/model_fitting/profiling_HKU/1.profile_n.sh ","results/model_data/profiling_HKU/Omicron20/",B27,"/mle",IF(H28="local","",H28),"_",K27,".rds ",F28," ",D28," amd ",_xlfn.SWITCH(K28,"low",32,"mid",64,"high",128), " ", K28, " ", L28)</f>
        <v>scripts/model_fitting/profiling_HKU/1.profile_n.sh results/model_data/profiling_HKU/Omicron20/profiling_shared_9/mlev3_high.rds shared 10 amd 128 high ubf</v>
      </c>
      <c r="R28" s="1" t="str">
        <f>_xlfn.CONCAT("scripts/model_fitting/profiling_HKU/2.plot_profile_n.sh ", F28, " ", D28)</f>
        <v>scripts/model_fitting/profiling_HKU/2.plot_profile_n.sh shared 10</v>
      </c>
      <c r="S28" s="1" t="s">
        <v>202</v>
      </c>
      <c r="T28" s="2">
        <v>45533</v>
      </c>
      <c r="U28" s="1" t="s">
        <v>213</v>
      </c>
    </row>
    <row r="29" spans="1:23" ht="51" x14ac:dyDescent="0.2">
      <c r="A29" s="15" t="s">
        <v>23</v>
      </c>
      <c r="B29" s="1" t="str">
        <f t="shared" si="34"/>
        <v>profiling_unit_10</v>
      </c>
      <c r="C29" s="13">
        <v>28</v>
      </c>
      <c r="D29" s="1">
        <v>10</v>
      </c>
      <c r="E29" s="1" t="s">
        <v>4</v>
      </c>
      <c r="F29" s="1" t="s">
        <v>134</v>
      </c>
      <c r="G29" s="1" t="str">
        <f t="shared" si="28"/>
        <v>profiling_shared_10</v>
      </c>
      <c r="H29" s="1" t="str">
        <f t="shared" ref="H29:H30" si="39">_xlfn.SWITCH(MATCH(MAX(M28:P28), M28:P28, 0), 1, "v1", 2, "v2", 3,"v3", 4, "local" )</f>
        <v>v2</v>
      </c>
      <c r="I29" s="1">
        <f t="shared" si="35"/>
        <v>-3205316.6911173398</v>
      </c>
      <c r="J29" s="1">
        <f t="shared" si="36"/>
        <v>29</v>
      </c>
      <c r="K29" s="1" t="s">
        <v>187</v>
      </c>
      <c r="L29" s="1" t="s">
        <v>148</v>
      </c>
      <c r="M29" s="1">
        <v>-3036891.4101763698</v>
      </c>
      <c r="N29" s="1">
        <v>-3069048.3171891202</v>
      </c>
      <c r="O29" s="1">
        <v>-3054892.1631207098</v>
      </c>
      <c r="P29" s="1" t="s">
        <v>18</v>
      </c>
      <c r="Q29" s="1" t="str">
        <f t="shared" si="38"/>
        <v>scripts/model_fitting/profiling_HKU/1.profile_n.sh results/model_data/profiling_HKU/Omicron20/profiling_shared_10/mlev2_high.rds unit 10 amd 128 high ubf</v>
      </c>
      <c r="R29" s="1" t="str">
        <f>_xlfn.CONCAT("scripts/model_fitting/profiling_HKU/2.plot_profile_n.sh ", F29, " ", D29)</f>
        <v>scripts/model_fitting/profiling_HKU/2.plot_profile_n.sh unit 10</v>
      </c>
      <c r="S29" s="1" t="s">
        <v>212</v>
      </c>
      <c r="T29" s="2">
        <v>45534</v>
      </c>
      <c r="U29" s="1"/>
    </row>
    <row r="30" spans="1:23" s="21" customFormat="1" ht="85" x14ac:dyDescent="0.2">
      <c r="A30" s="18" t="s">
        <v>141</v>
      </c>
      <c r="B30" s="19" t="str">
        <f>_xlfn.CONCAT(B29, "_local_", D30)</f>
        <v>profiling_unit_10_local_1</v>
      </c>
      <c r="C30" s="13">
        <v>29</v>
      </c>
      <c r="D30" s="19">
        <v>1</v>
      </c>
      <c r="E30" s="19" t="s">
        <v>5</v>
      </c>
      <c r="F30" s="19" t="s">
        <v>135</v>
      </c>
      <c r="G30" s="19" t="str">
        <f t="shared" si="28"/>
        <v>profiling_unit_10</v>
      </c>
      <c r="H30" s="19" t="str">
        <f t="shared" si="39"/>
        <v>v1</v>
      </c>
      <c r="I30" s="19">
        <f t="shared" si="35"/>
        <v>-3036891.4101763698</v>
      </c>
      <c r="J30" s="19">
        <v>46</v>
      </c>
      <c r="K30" s="19" t="s">
        <v>187</v>
      </c>
      <c r="L30" s="19" t="str">
        <f>IF(E30="Local search", IF(F30="unit", "ibpf", "iubf"), IF(F30="unit", "bpf", "ubf"))</f>
        <v>iubf</v>
      </c>
      <c r="M30" s="19" t="s">
        <v>18</v>
      </c>
      <c r="N30" s="19" t="s">
        <v>18</v>
      </c>
      <c r="O30" s="19" t="s">
        <v>18</v>
      </c>
      <c r="P30" s="19">
        <v>-3152592.5176762999</v>
      </c>
      <c r="Q30" s="19" t="str">
        <f>_xlfn.CONCAT("scripts/model_fitting/profiling_HKU/3.local_n.sh ", "results/model_data/profiling_HKU/Omicron20/", G30, "/mle", IF(H30="local","",H30), "_", K29, ".rds ", F30, " ", D30, " amd ", 32, " ", K30, " ", L30)</f>
        <v>scripts/model_fitting/profiling_HKU/3.local_n.sh results/model_data/profiling_HKU/Omicron20/profiling_unit_10/mlev1_high.rds shared 1 amd 32 high iubf</v>
      </c>
      <c r="R30" s="19" t="str">
        <f>_xlfn.CONCAT("scripts/model_fitting/profiling_HKU/4.plot_local_n.sh ", "results/model_data/profiling_HKU/Omicron20/", B30, "/ ")</f>
        <v xml:space="preserve">scripts/model_fitting/profiling_HKU/4.plot_local_n.sh results/model_data/profiling_HKU/Omicron20/profiling_unit_10_local_1/ </v>
      </c>
      <c r="S30" s="19" t="s">
        <v>215</v>
      </c>
      <c r="T30" s="20">
        <v>45535</v>
      </c>
      <c r="U30" s="23" t="s">
        <v>214</v>
      </c>
      <c r="V30" s="19"/>
    </row>
    <row r="31" spans="1:23" ht="51" x14ac:dyDescent="0.2">
      <c r="A31" s="16" t="s">
        <v>24</v>
      </c>
      <c r="B31" s="1" t="str">
        <f t="shared" ref="B31" si="40">_xlfn.CONCAT("profiling_", F31, "_", D31, "")</f>
        <v>profiling_shared_11</v>
      </c>
      <c r="C31" s="13">
        <v>30</v>
      </c>
      <c r="D31" s="1">
        <v>11</v>
      </c>
      <c r="E31" s="1" t="s">
        <v>4</v>
      </c>
      <c r="F31" s="1" t="s">
        <v>135</v>
      </c>
      <c r="G31" s="1" t="str">
        <f>B29</f>
        <v>profiling_unit_10</v>
      </c>
      <c r="H31" s="1" t="str">
        <f>_xlfn.SWITCH(MATCH(MAX(M29:P29), M29:P29, 0), 1, "v1", 2, "v2", 3,"v3", 4, "local" )</f>
        <v>v1</v>
      </c>
      <c r="I31" s="1">
        <v>-3036891.4101763698</v>
      </c>
      <c r="J31" s="1">
        <f t="shared" ref="J31" si="41">_xlfn.SWITCH(F31, "unit", 29, "shared", 20)</f>
        <v>20</v>
      </c>
      <c r="K31" s="1" t="s">
        <v>187</v>
      </c>
      <c r="L31" s="1" t="str">
        <f t="shared" ref="L31" si="42">IF(E31="Local search", IF(F31="unit", "ibpf", "iubf"), IF(F31="unit", "bpf", "ubf"))</f>
        <v>ubf</v>
      </c>
      <c r="M31" s="5">
        <v>-3137774.2411768599</v>
      </c>
      <c r="N31" s="1">
        <v>-2958095.5001193602</v>
      </c>
      <c r="O31" s="1">
        <v>-3057076.9811406499</v>
      </c>
      <c r="P31" s="1" t="s">
        <v>18</v>
      </c>
      <c r="Q31" s="1" t="str">
        <f>_xlfn.CONCAT("scripts/model_fitting/profiling_HKU/1.profile_n.sh ","results/model_data/profiling_HKU/Omicron20/",G31,"/mle",IF(H31="local","",H31),"_",K30,".rds ",F31," ",D31," amd ",_xlfn.SWITCH(K31,"low",32,"mid",64,"high",128), " ", K31, " ", L31)</f>
        <v>scripts/model_fitting/profiling_HKU/1.profile_n.sh results/model_data/profiling_HKU/Omicron20/profiling_unit_10/mlev1_high.rds shared 11 amd 128 high ubf</v>
      </c>
      <c r="R31" s="1" t="str">
        <f>_xlfn.CONCAT("scripts/model_fitting/profiling_HKU/2.plot_profile_n.sh ", F31, " ", D31)</f>
        <v>scripts/model_fitting/profiling_HKU/2.plot_profile_n.sh shared 11</v>
      </c>
      <c r="S31" s="1" t="s">
        <v>216</v>
      </c>
      <c r="T31" s="2">
        <v>45536</v>
      </c>
      <c r="U31" s="1" t="s">
        <v>217</v>
      </c>
      <c r="V31" s="1"/>
      <c r="W31" s="13" t="s">
        <v>219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A5ACA-A2A9-8743-B67D-A8AD2F3FCC8A}">
  <dimension ref="A1:W55"/>
  <sheetViews>
    <sheetView tabSelected="1" topLeftCell="L1" zoomScale="65" zoomScaleNormal="80" workbookViewId="0">
      <pane ySplit="1" topLeftCell="A33" activePane="bottomLeft" state="frozen"/>
      <selection activeCell="C1" sqref="C1"/>
      <selection pane="bottomLeft" activeCell="A42" sqref="A42:XFD42"/>
    </sheetView>
  </sheetViews>
  <sheetFormatPr baseColWidth="10" defaultRowHeight="16" x14ac:dyDescent="0.2"/>
  <cols>
    <col min="1" max="1" width="20.33203125" style="1" bestFit="1" customWidth="1"/>
    <col min="2" max="2" width="34.83203125" style="1" bestFit="1" customWidth="1"/>
    <col min="3" max="3" width="9.1640625" style="1" bestFit="1" customWidth="1"/>
    <col min="4" max="4" width="8.5" style="1" bestFit="1" customWidth="1"/>
    <col min="5" max="5" width="11.5" style="1" bestFit="1" customWidth="1"/>
    <col min="6" max="6" width="42.1640625" style="1" customWidth="1"/>
    <col min="7" max="7" width="13.1640625" style="1" bestFit="1" customWidth="1"/>
    <col min="8" max="8" width="15.1640625" style="1" bestFit="1" customWidth="1"/>
    <col min="9" max="9" width="24.83203125" style="1" bestFit="1" customWidth="1"/>
    <col min="10" max="10" width="22" style="1" bestFit="1" customWidth="1"/>
    <col min="11" max="11" width="19.33203125" style="1" bestFit="1" customWidth="1"/>
    <col min="12" max="12" width="22.83203125" style="1" bestFit="1" customWidth="1"/>
    <col min="13" max="13" width="64.5" style="1" bestFit="1" customWidth="1"/>
    <col min="14" max="14" width="28.5" style="1" customWidth="1"/>
    <col min="15" max="15" width="6.5" style="1" customWidth="1"/>
    <col min="16" max="16" width="20" style="1" customWidth="1"/>
    <col min="17" max="17" width="14.83203125" style="1" customWidth="1"/>
    <col min="18" max="18" width="9" style="1" customWidth="1"/>
    <col min="19" max="19" width="9.5" style="1" customWidth="1"/>
    <col min="20" max="20" width="10.33203125" style="1" bestFit="1" customWidth="1"/>
    <col min="21" max="21" width="16.6640625" style="1" customWidth="1"/>
    <col min="22" max="22" width="21.6640625" style="1" customWidth="1"/>
    <col min="23" max="23" width="29.83203125" style="1" customWidth="1"/>
    <col min="24" max="16384" width="10.83203125" style="1"/>
  </cols>
  <sheetData>
    <row r="1" spans="1:23" ht="51" x14ac:dyDescent="0.2">
      <c r="A1" s="1" t="s">
        <v>22</v>
      </c>
      <c r="B1" s="1" t="s">
        <v>0</v>
      </c>
      <c r="C1" s="1" t="s">
        <v>3</v>
      </c>
      <c r="D1" s="1" t="s">
        <v>48</v>
      </c>
      <c r="E1" s="1" t="s">
        <v>1</v>
      </c>
      <c r="F1" s="1" t="s">
        <v>11</v>
      </c>
      <c r="G1" s="5" t="s">
        <v>13</v>
      </c>
      <c r="H1" s="1" t="s">
        <v>8</v>
      </c>
      <c r="I1" s="1" t="s">
        <v>2</v>
      </c>
      <c r="J1" s="1" t="s">
        <v>9</v>
      </c>
      <c r="K1" s="1" t="s">
        <v>10</v>
      </c>
      <c r="L1" s="1" t="s">
        <v>17</v>
      </c>
      <c r="M1" s="1" t="s">
        <v>44</v>
      </c>
      <c r="N1" s="1" t="s">
        <v>7</v>
      </c>
      <c r="O1" s="1" t="s">
        <v>14</v>
      </c>
      <c r="P1" s="1" t="s">
        <v>16</v>
      </c>
      <c r="Q1" s="1" t="s">
        <v>33</v>
      </c>
      <c r="R1" s="1" t="s">
        <v>15</v>
      </c>
      <c r="S1" s="1" t="s">
        <v>34</v>
      </c>
      <c r="T1" s="1" t="s">
        <v>26</v>
      </c>
      <c r="U1" s="1" t="s">
        <v>49</v>
      </c>
      <c r="V1" s="1" t="s">
        <v>85</v>
      </c>
      <c r="W1" s="1" t="s">
        <v>97</v>
      </c>
    </row>
    <row r="2" spans="1:23" ht="68" x14ac:dyDescent="0.2">
      <c r="A2" s="25" t="s">
        <v>23</v>
      </c>
      <c r="B2" s="1" t="str">
        <f>_xlfn.CONCAT("profiling_beta_", D2, "_Omicron20")</f>
        <v>profiling_beta_1_Omicron20</v>
      </c>
      <c r="C2" s="1">
        <v>1</v>
      </c>
      <c r="D2" s="4">
        <v>1</v>
      </c>
      <c r="E2" s="1" t="s">
        <v>4</v>
      </c>
      <c r="F2" s="1" t="s">
        <v>12</v>
      </c>
      <c r="G2" s="1" t="s">
        <v>18</v>
      </c>
      <c r="H2" s="1" t="s">
        <v>6</v>
      </c>
      <c r="I2" s="1" t="s">
        <v>28</v>
      </c>
      <c r="J2" s="1">
        <v>-7609169.2716751704</v>
      </c>
      <c r="K2" s="1">
        <v>-8035656.1218052898</v>
      </c>
      <c r="L2" s="1" t="s">
        <v>18</v>
      </c>
      <c r="M2" s="1" t="s">
        <v>31</v>
      </c>
      <c r="N2" s="1" t="s">
        <v>29</v>
      </c>
      <c r="O2" s="1">
        <v>29</v>
      </c>
      <c r="P2" s="1" t="s">
        <v>27</v>
      </c>
      <c r="Q2" s="1">
        <v>3.9</v>
      </c>
      <c r="R2" s="1" t="s">
        <v>30</v>
      </c>
      <c r="S2" s="1">
        <v>2.9</v>
      </c>
      <c r="T2" s="2">
        <v>45503</v>
      </c>
    </row>
    <row r="3" spans="1:23" ht="153" x14ac:dyDescent="0.2">
      <c r="A3" s="25"/>
      <c r="B3" s="1" t="str">
        <f>_xlfn.CONCAT("profiling_beta_", D2, "_Omicron20_local_1")</f>
        <v>profiling_beta_1_Omicron20_local_1</v>
      </c>
      <c r="C3" s="1">
        <v>2</v>
      </c>
      <c r="D3" s="4">
        <v>1</v>
      </c>
      <c r="E3" s="1" t="s">
        <v>5</v>
      </c>
      <c r="F3" s="1" t="str">
        <f>_xlfn.CONCAT(B3, " (MLE v1)")</f>
        <v>profiling_beta_1_Omicron20_local_1 (MLE v1)</v>
      </c>
      <c r="G3" s="1">
        <f>J2</f>
        <v>-7609169.2716751704</v>
      </c>
      <c r="H3" s="1" t="s">
        <v>6</v>
      </c>
      <c r="I3" s="1" t="s">
        <v>32</v>
      </c>
      <c r="J3" s="1" t="s">
        <v>18</v>
      </c>
      <c r="K3" s="1" t="s">
        <v>18</v>
      </c>
      <c r="L3" s="1">
        <v>-7157603.8215185497</v>
      </c>
      <c r="M3" s="1" t="str">
        <f>_xlfn.CONCAT("scripts/model_fitting/profiling_HKU/3.local_beta_n.sh ", D2, " amd 64")</f>
        <v>scripts/model_fitting/profiling_HKU/3.local_beta_n.sh 1 amd 64</v>
      </c>
      <c r="N3" s="1" t="s">
        <v>35</v>
      </c>
      <c r="O3" s="1">
        <v>1</v>
      </c>
      <c r="P3" s="1" t="s">
        <v>36</v>
      </c>
      <c r="Q3" s="1">
        <v>3.9</v>
      </c>
      <c r="R3" s="3">
        <v>0.58333333333333337</v>
      </c>
      <c r="S3" s="1">
        <v>2.9</v>
      </c>
      <c r="T3" s="2">
        <v>45504</v>
      </c>
    </row>
    <row r="4" spans="1:23" ht="51" x14ac:dyDescent="0.2">
      <c r="A4" s="25"/>
      <c r="B4" s="1" t="str">
        <f>_xlfn.CONCAT("profiling_beta_", D4, "_Omicron20")</f>
        <v>profiling_beta_2_Omicron20</v>
      </c>
      <c r="C4" s="1">
        <v>3</v>
      </c>
      <c r="D4" s="4">
        <v>2</v>
      </c>
      <c r="E4" s="1" t="s">
        <v>4</v>
      </c>
      <c r="F4" s="1" t="str">
        <f>_xlfn.CONCAT(B3, " (MLE v3)")</f>
        <v>profiling_beta_1_Omicron20_local_1 (MLE v3)</v>
      </c>
      <c r="G4" s="1">
        <f>L3</f>
        <v>-7157603.8215185497</v>
      </c>
      <c r="H4" s="1" t="s">
        <v>6</v>
      </c>
      <c r="I4" s="1" t="s">
        <v>19</v>
      </c>
      <c r="J4" s="1">
        <v>-7082548.8732271604</v>
      </c>
      <c r="K4" s="1">
        <v>-7015054.3211220503</v>
      </c>
      <c r="L4" s="1" t="s">
        <v>18</v>
      </c>
      <c r="M4" s="1" t="str">
        <f>_xlfn.CONCAT("scripts/model_fitting/profiling_HKU/1.profile_beta_n.sh results/model_data/profiling_HKU/", B3, "/mle_mid.rds ", D4, " amd 32")</f>
        <v>scripts/model_fitting/profiling_HKU/1.profile_beta_n.sh results/model_data/profiling_HKU/profiling_beta_1_Omicron20_local_1/mle_mid.rds 2 amd 32</v>
      </c>
      <c r="N4" s="1" t="s">
        <v>39</v>
      </c>
      <c r="O4" s="1">
        <v>29</v>
      </c>
      <c r="P4" s="1" t="s">
        <v>37</v>
      </c>
      <c r="Q4" s="1">
        <v>3.2</v>
      </c>
      <c r="R4" s="1" t="s">
        <v>38</v>
      </c>
      <c r="S4" s="1">
        <v>3.1</v>
      </c>
      <c r="T4" s="2">
        <v>45505</v>
      </c>
      <c r="U4" s="1" t="s">
        <v>50</v>
      </c>
    </row>
    <row r="5" spans="1:23" s="6" customFormat="1" ht="34" x14ac:dyDescent="0.2">
      <c r="A5" s="25"/>
      <c r="B5" s="6" t="str">
        <f>_xlfn.CONCAT("profiling_beta_", D4, "_Omicron20_local_1")</f>
        <v>profiling_beta_2_Omicron20_local_1</v>
      </c>
      <c r="C5" s="10">
        <v>4</v>
      </c>
      <c r="D5" s="7">
        <v>2</v>
      </c>
      <c r="E5" s="6" t="s">
        <v>5</v>
      </c>
      <c r="F5" s="6" t="str">
        <f>_xlfn.CONCAT(B2, " (MLE v2)")</f>
        <v>profiling_beta_1_Omicron20 (MLE v2)</v>
      </c>
      <c r="G5" s="6">
        <f>K4</f>
        <v>-7015054.3211220503</v>
      </c>
      <c r="H5" s="6" t="s">
        <v>6</v>
      </c>
      <c r="I5" s="6" t="s">
        <v>84</v>
      </c>
      <c r="J5" s="6" t="s">
        <v>18</v>
      </c>
      <c r="K5" s="6" t="s">
        <v>18</v>
      </c>
      <c r="L5" s="6">
        <v>-7227246.9670032896</v>
      </c>
      <c r="M5" s="6" t="str">
        <f>_xlfn.CONCAT("scripts/model_fitting/profiling_HKU/3.local_beta_n.sh ", D4, " amd 64")</f>
        <v>scripts/model_fitting/profiling_HKU/3.local_beta_n.sh 2 amd 64</v>
      </c>
      <c r="N5" s="6" t="s">
        <v>40</v>
      </c>
      <c r="O5" s="6">
        <v>2</v>
      </c>
      <c r="P5" s="6" t="s">
        <v>45</v>
      </c>
      <c r="Q5" s="6">
        <v>3.9</v>
      </c>
      <c r="R5" s="8" t="s">
        <v>46</v>
      </c>
      <c r="S5" s="6">
        <v>2.9</v>
      </c>
      <c r="T5" s="9">
        <v>45505</v>
      </c>
    </row>
    <row r="6" spans="1:23" ht="51" x14ac:dyDescent="0.2">
      <c r="A6" s="25"/>
      <c r="B6" s="1" t="str">
        <f t="shared" ref="B6:B13" si="0">_xlfn.CONCAT("profiling_beta_", D6, "_Omicron20")</f>
        <v>profiling_beta_3_Omicron20</v>
      </c>
      <c r="C6" s="1">
        <v>5</v>
      </c>
      <c r="D6" s="4">
        <v>3</v>
      </c>
      <c r="E6" s="1" t="s">
        <v>4</v>
      </c>
      <c r="F6" s="1" t="str">
        <f>_xlfn.CONCAT(B4, " (MLE v2)")</f>
        <v>profiling_beta_2_Omicron20 (MLE v2)</v>
      </c>
      <c r="G6" s="1">
        <f>K4</f>
        <v>-7015054.3211220503</v>
      </c>
      <c r="H6" s="1" t="s">
        <v>6</v>
      </c>
      <c r="I6" s="1" t="s">
        <v>19</v>
      </c>
      <c r="J6" s="1">
        <v>-7566064.4845015602</v>
      </c>
      <c r="K6" s="1">
        <v>-7004093.2269261396</v>
      </c>
      <c r="L6" s="1" t="s">
        <v>18</v>
      </c>
      <c r="M6" s="1" t="str">
        <f>_xlfn.CONCAT("scripts/model_fitting/profiling_HKU/1.profile_beta_n.sh results/model_data/profiling_HKU/", B4, "/mlev2_mid.rds ", D6, " amd 64")</f>
        <v>scripts/model_fitting/profiling_HKU/1.profile_beta_n.sh results/model_data/profiling_HKU/profiling_beta_2_Omicron20/mlev2_mid.rds 3 amd 64</v>
      </c>
      <c r="N6" s="1" t="s">
        <v>42</v>
      </c>
      <c r="O6" s="1">
        <v>29</v>
      </c>
      <c r="P6" s="1" t="s">
        <v>41</v>
      </c>
      <c r="Q6" s="1">
        <v>3.5</v>
      </c>
      <c r="R6" s="1" t="s">
        <v>47</v>
      </c>
      <c r="S6" s="1">
        <v>2.9</v>
      </c>
      <c r="T6" s="2">
        <v>45506</v>
      </c>
      <c r="U6" s="1" t="s">
        <v>51</v>
      </c>
    </row>
    <row r="7" spans="1:23" ht="51" x14ac:dyDescent="0.2">
      <c r="A7" s="25"/>
      <c r="B7" s="1" t="str">
        <f t="shared" si="0"/>
        <v>profiling_beta_4_Omicron20</v>
      </c>
      <c r="C7" s="1">
        <v>6</v>
      </c>
      <c r="D7" s="4">
        <v>4</v>
      </c>
      <c r="E7" s="1" t="s">
        <v>4</v>
      </c>
      <c r="F7" s="1" t="str">
        <f t="shared" ref="F7:F23" si="1">_xlfn.CONCAT(B6, " (MLE v2)")</f>
        <v>profiling_beta_3_Omicron20 (MLE v2)</v>
      </c>
      <c r="G7" s="1">
        <f t="shared" ref="G7:G23" si="2">K6</f>
        <v>-7004093.2269261396</v>
      </c>
      <c r="H7" s="1" t="s">
        <v>6</v>
      </c>
      <c r="I7" s="1" t="s">
        <v>19</v>
      </c>
      <c r="J7" s="1">
        <v>-7228929.8024760103</v>
      </c>
      <c r="K7" s="1">
        <v>-6912281.2305391803</v>
      </c>
      <c r="L7" s="1" t="s">
        <v>18</v>
      </c>
      <c r="M7" s="1" t="str">
        <f t="shared" ref="M7:M13" si="3">_xlfn.CONCAT("scripts/model_fitting/profiling_HKU/1.profile_beta_n.sh results/model_data/profiling_HKU/", B6, "/mlev2_mid.rds ", D7, " amd 64")</f>
        <v>scripts/model_fitting/profiling_HKU/1.profile_beta_n.sh results/model_data/profiling_HKU/profiling_beta_3_Omicron20/mlev2_mid.rds 4 amd 64</v>
      </c>
      <c r="N7" s="1" t="s">
        <v>43</v>
      </c>
      <c r="O7" s="1">
        <v>29</v>
      </c>
      <c r="P7" s="1" t="s">
        <v>27</v>
      </c>
      <c r="Q7" s="1">
        <v>3.5</v>
      </c>
      <c r="R7" s="1" t="s">
        <v>30</v>
      </c>
      <c r="S7" s="1">
        <v>2.9</v>
      </c>
      <c r="T7" s="2">
        <v>45506</v>
      </c>
      <c r="U7" s="1" t="s">
        <v>52</v>
      </c>
    </row>
    <row r="8" spans="1:23" ht="51" x14ac:dyDescent="0.2">
      <c r="A8" s="25"/>
      <c r="B8" s="1" t="str">
        <f t="shared" si="0"/>
        <v>profiling_beta_5_Omicron20</v>
      </c>
      <c r="C8" s="1">
        <v>7</v>
      </c>
      <c r="D8" s="4">
        <v>5</v>
      </c>
      <c r="E8" s="1" t="s">
        <v>4</v>
      </c>
      <c r="F8" s="1" t="str">
        <f t="shared" si="1"/>
        <v>profiling_beta_4_Omicron20 (MLE v2)</v>
      </c>
      <c r="G8" s="1">
        <f t="shared" si="2"/>
        <v>-6912281.2305391803</v>
      </c>
      <c r="H8" s="1" t="s">
        <v>6</v>
      </c>
      <c r="I8" s="1" t="s">
        <v>19</v>
      </c>
      <c r="J8" s="1">
        <v>-7174739.2795245703</v>
      </c>
      <c r="K8" s="1">
        <v>-6856002.3390234597</v>
      </c>
      <c r="L8" s="1" t="s">
        <v>18</v>
      </c>
      <c r="M8" s="1" t="str">
        <f t="shared" si="3"/>
        <v>scripts/model_fitting/profiling_HKU/1.profile_beta_n.sh results/model_data/profiling_HKU/profiling_beta_4_Omicron20/mlev2_mid.rds 5 amd 64</v>
      </c>
      <c r="N8" s="1" t="s">
        <v>53</v>
      </c>
      <c r="O8" s="1">
        <v>29</v>
      </c>
      <c r="P8" s="1" t="s">
        <v>41</v>
      </c>
      <c r="Q8" s="1">
        <v>3.5</v>
      </c>
      <c r="R8" s="1" t="s">
        <v>30</v>
      </c>
      <c r="S8" s="1">
        <v>2.9</v>
      </c>
      <c r="T8" s="2">
        <v>45506</v>
      </c>
      <c r="U8" s="1" t="s">
        <v>54</v>
      </c>
    </row>
    <row r="9" spans="1:23" ht="51" x14ac:dyDescent="0.2">
      <c r="A9" s="25"/>
      <c r="B9" s="1" t="str">
        <f t="shared" si="0"/>
        <v>profiling_beta_6_Omicron20</v>
      </c>
      <c r="C9" s="1">
        <v>8</v>
      </c>
      <c r="D9" s="4">
        <v>6</v>
      </c>
      <c r="E9" s="1" t="s">
        <v>4</v>
      </c>
      <c r="F9" s="1" t="str">
        <f t="shared" si="1"/>
        <v>profiling_beta_5_Omicron20 (MLE v2)</v>
      </c>
      <c r="G9" s="1">
        <f t="shared" si="2"/>
        <v>-6856002.3390234597</v>
      </c>
      <c r="H9" s="1" t="s">
        <v>6</v>
      </c>
      <c r="I9" s="1" t="s">
        <v>19</v>
      </c>
      <c r="J9" s="1">
        <v>-6968394.9136962099</v>
      </c>
      <c r="K9" s="1">
        <v>-6849610.0660988204</v>
      </c>
      <c r="L9" s="1" t="s">
        <v>18</v>
      </c>
      <c r="M9" s="1" t="str">
        <f t="shared" si="3"/>
        <v>scripts/model_fitting/profiling_HKU/1.profile_beta_n.sh results/model_data/profiling_HKU/profiling_beta_5_Omicron20/mlev2_mid.rds 6 amd 64</v>
      </c>
      <c r="N9" s="1" t="s">
        <v>55</v>
      </c>
      <c r="O9" s="1">
        <v>29</v>
      </c>
      <c r="P9" s="1" t="s">
        <v>41</v>
      </c>
      <c r="Q9" s="1">
        <v>3.5</v>
      </c>
      <c r="R9" s="1" t="s">
        <v>30</v>
      </c>
      <c r="S9" s="1">
        <v>2.9</v>
      </c>
      <c r="T9" s="2">
        <v>45506</v>
      </c>
      <c r="U9" s="1" t="s">
        <v>56</v>
      </c>
    </row>
    <row r="10" spans="1:23" ht="51" x14ac:dyDescent="0.2">
      <c r="A10" s="25"/>
      <c r="B10" s="1" t="str">
        <f t="shared" si="0"/>
        <v>profiling_beta_7_Omicron20</v>
      </c>
      <c r="C10" s="1">
        <v>9</v>
      </c>
      <c r="D10" s="4">
        <v>7</v>
      </c>
      <c r="E10" s="1" t="s">
        <v>4</v>
      </c>
      <c r="F10" s="1" t="str">
        <f t="shared" si="1"/>
        <v>profiling_beta_6_Omicron20 (MLE v2)</v>
      </c>
      <c r="G10" s="1">
        <f t="shared" si="2"/>
        <v>-6849610.0660988204</v>
      </c>
      <c r="H10" s="1" t="s">
        <v>6</v>
      </c>
      <c r="I10" s="1" t="s">
        <v>19</v>
      </c>
      <c r="J10" s="1">
        <v>-7214361.9397799503</v>
      </c>
      <c r="K10" s="1">
        <v>-6758642.0304277902</v>
      </c>
      <c r="L10" s="1" t="s">
        <v>18</v>
      </c>
      <c r="M10" s="1" t="str">
        <f t="shared" si="3"/>
        <v>scripts/model_fitting/profiling_HKU/1.profile_beta_n.sh results/model_data/profiling_HKU/profiling_beta_6_Omicron20/mlev2_mid.rds 7 amd 64</v>
      </c>
      <c r="N10" s="1" t="s">
        <v>58</v>
      </c>
      <c r="O10" s="1">
        <v>29</v>
      </c>
      <c r="P10" s="1" t="s">
        <v>41</v>
      </c>
      <c r="Q10" s="1">
        <v>3.5</v>
      </c>
      <c r="R10" s="1" t="s">
        <v>30</v>
      </c>
      <c r="S10" s="1">
        <v>2.9</v>
      </c>
      <c r="T10" s="2">
        <v>45507</v>
      </c>
      <c r="U10" s="1" t="s">
        <v>57</v>
      </c>
    </row>
    <row r="11" spans="1:23" ht="51" x14ac:dyDescent="0.2">
      <c r="A11" s="25"/>
      <c r="B11" s="1" t="str">
        <f t="shared" si="0"/>
        <v>profiling_beta_8_Omicron20</v>
      </c>
      <c r="C11" s="1">
        <v>10</v>
      </c>
      <c r="D11" s="4">
        <v>8</v>
      </c>
      <c r="E11" s="1" t="s">
        <v>4</v>
      </c>
      <c r="F11" s="1" t="str">
        <f t="shared" si="1"/>
        <v>profiling_beta_7_Omicron20 (MLE v2)</v>
      </c>
      <c r="G11" s="1">
        <f t="shared" si="2"/>
        <v>-6758642.0304277902</v>
      </c>
      <c r="H11" s="1" t="s">
        <v>6</v>
      </c>
      <c r="I11" s="1" t="s">
        <v>19</v>
      </c>
      <c r="J11" s="1">
        <v>-7084254.7545848796</v>
      </c>
      <c r="K11" s="1">
        <v>-6705548.0331667298</v>
      </c>
      <c r="L11" s="1" t="s">
        <v>18</v>
      </c>
      <c r="M11" s="1" t="str">
        <f t="shared" si="3"/>
        <v>scripts/model_fitting/profiling_HKU/1.profile_beta_n.sh results/model_data/profiling_HKU/profiling_beta_7_Omicron20/mlev2_mid.rds 8 amd 64</v>
      </c>
      <c r="N11" s="1" t="s">
        <v>59</v>
      </c>
      <c r="O11" s="1">
        <v>29</v>
      </c>
      <c r="P11" s="1" t="s">
        <v>41</v>
      </c>
      <c r="Q11" s="1">
        <v>3.5</v>
      </c>
      <c r="R11" s="1" t="s">
        <v>30</v>
      </c>
      <c r="S11" s="1">
        <v>2.9</v>
      </c>
      <c r="T11" s="2">
        <v>45507</v>
      </c>
      <c r="U11" s="1" t="s">
        <v>60</v>
      </c>
    </row>
    <row r="12" spans="1:23" ht="51" x14ac:dyDescent="0.2">
      <c r="A12" s="25"/>
      <c r="B12" s="1" t="str">
        <f t="shared" si="0"/>
        <v>profiling_beta_9_Omicron20</v>
      </c>
      <c r="C12" s="1">
        <v>11</v>
      </c>
      <c r="D12" s="4">
        <v>9</v>
      </c>
      <c r="E12" s="1" t="s">
        <v>4</v>
      </c>
      <c r="F12" s="1" t="str">
        <f t="shared" si="1"/>
        <v>profiling_beta_8_Omicron20 (MLE v2)</v>
      </c>
      <c r="G12" s="1">
        <f t="shared" si="2"/>
        <v>-6705548.0331667298</v>
      </c>
      <c r="H12" s="1" t="s">
        <v>6</v>
      </c>
      <c r="I12" s="1" t="s">
        <v>19</v>
      </c>
      <c r="J12" s="1">
        <v>-7110658.0919198999</v>
      </c>
      <c r="K12" s="1">
        <v>-6636483.6254891204</v>
      </c>
      <c r="L12" s="1" t="s">
        <v>18</v>
      </c>
      <c r="M12" s="1" t="str">
        <f t="shared" si="3"/>
        <v>scripts/model_fitting/profiling_HKU/1.profile_beta_n.sh results/model_data/profiling_HKU/profiling_beta_8_Omicron20/mlev2_mid.rds 9 amd 64</v>
      </c>
      <c r="N12" s="1" t="s">
        <v>61</v>
      </c>
      <c r="O12" s="1">
        <v>29</v>
      </c>
      <c r="P12" s="1" t="s">
        <v>45</v>
      </c>
      <c r="Q12" s="1">
        <v>3.5</v>
      </c>
      <c r="R12" s="1" t="s">
        <v>30</v>
      </c>
      <c r="S12" s="1">
        <v>2.9</v>
      </c>
      <c r="T12" s="2">
        <v>45508</v>
      </c>
      <c r="U12" s="1" t="s">
        <v>54</v>
      </c>
    </row>
    <row r="13" spans="1:23" ht="51" x14ac:dyDescent="0.2">
      <c r="A13" s="25"/>
      <c r="B13" s="1" t="str">
        <f t="shared" si="0"/>
        <v>profiling_beta_10_Omicron20</v>
      </c>
      <c r="C13" s="1">
        <v>12</v>
      </c>
      <c r="D13" s="4">
        <v>10</v>
      </c>
      <c r="E13" s="1" t="s">
        <v>4</v>
      </c>
      <c r="F13" s="1" t="str">
        <f t="shared" si="1"/>
        <v>profiling_beta_9_Omicron20 (MLE v2)</v>
      </c>
      <c r="G13" s="1">
        <f t="shared" si="2"/>
        <v>-6636483.6254891204</v>
      </c>
      <c r="H13" s="1" t="s">
        <v>6</v>
      </c>
      <c r="I13" s="1" t="s">
        <v>19</v>
      </c>
      <c r="J13" s="1">
        <v>-7028882.5320859104</v>
      </c>
      <c r="K13" s="1">
        <v>-6632913.1732408097</v>
      </c>
      <c r="L13" s="1" t="s">
        <v>18</v>
      </c>
      <c r="M13" s="1" t="str">
        <f t="shared" si="3"/>
        <v>scripts/model_fitting/profiling_HKU/1.profile_beta_n.sh results/model_data/profiling_HKU/profiling_beta_9_Omicron20/mlev2_mid.rds 10 amd 64</v>
      </c>
      <c r="N13" s="1" t="s">
        <v>62</v>
      </c>
      <c r="O13" s="1">
        <v>29</v>
      </c>
      <c r="P13" s="1" t="s">
        <v>45</v>
      </c>
      <c r="Q13" s="1">
        <v>3.5</v>
      </c>
      <c r="R13" s="1" t="s">
        <v>30</v>
      </c>
      <c r="S13" s="1">
        <v>2.9</v>
      </c>
      <c r="T13" s="2">
        <v>45508</v>
      </c>
      <c r="U13" s="1" t="s">
        <v>63</v>
      </c>
    </row>
    <row r="14" spans="1:23" ht="51" x14ac:dyDescent="0.2">
      <c r="A14" s="25" t="s">
        <v>24</v>
      </c>
      <c r="B14" s="1" t="str">
        <f t="shared" ref="B14:B22" si="4">_xlfn.CONCAT("profiling_shared_", D14, "_Omicron20")</f>
        <v>profiling_shared_1_Omicron20</v>
      </c>
      <c r="C14" s="1">
        <v>13</v>
      </c>
      <c r="D14" s="4">
        <v>1</v>
      </c>
      <c r="E14" s="1" t="s">
        <v>4</v>
      </c>
      <c r="F14" s="1" t="str">
        <f t="shared" si="1"/>
        <v>profiling_beta_10_Omicron20 (MLE v2)</v>
      </c>
      <c r="G14" s="1">
        <f t="shared" si="2"/>
        <v>-6632913.1732408097</v>
      </c>
      <c r="H14" s="1" t="s">
        <v>20</v>
      </c>
      <c r="I14" s="1" t="s">
        <v>19</v>
      </c>
      <c r="J14" s="1">
        <v>-6948295.6846196298</v>
      </c>
      <c r="K14" s="1">
        <v>-6165623.2485838002</v>
      </c>
      <c r="L14" s="1" t="s">
        <v>18</v>
      </c>
      <c r="M14" s="1" t="str">
        <f t="shared" ref="M14:M22" si="5">_xlfn.CONCAT("scripts/model_fitting/profiling_HKU/5.profile_shared_n.sh results/model_data/profiling_HKU/", B13, "/mlev2_mid.rds ", D14, " amd 64")</f>
        <v>scripts/model_fitting/profiling_HKU/5.profile_shared_n.sh results/model_data/profiling_HKU/profiling_beta_10_Omicron20/mlev2_mid.rds 1 amd 64</v>
      </c>
      <c r="N14" s="1" t="s">
        <v>64</v>
      </c>
      <c r="O14" s="1">
        <v>20</v>
      </c>
      <c r="P14" s="1" t="s">
        <v>41</v>
      </c>
      <c r="Q14" s="1">
        <v>3.5</v>
      </c>
      <c r="R14" s="1" t="s">
        <v>30</v>
      </c>
      <c r="S14" s="1">
        <v>2.9</v>
      </c>
      <c r="T14" s="2">
        <v>45508</v>
      </c>
      <c r="U14" s="1" t="s">
        <v>67</v>
      </c>
    </row>
    <row r="15" spans="1:23" ht="51" x14ac:dyDescent="0.2">
      <c r="A15" s="25"/>
      <c r="B15" s="1" t="str">
        <f t="shared" si="4"/>
        <v>profiling_shared_2_Omicron20</v>
      </c>
      <c r="C15" s="1">
        <v>14</v>
      </c>
      <c r="D15" s="4">
        <v>2</v>
      </c>
      <c r="E15" s="1" t="s">
        <v>4</v>
      </c>
      <c r="F15" s="1" t="str">
        <f t="shared" si="1"/>
        <v>profiling_shared_1_Omicron20 (MLE v2)</v>
      </c>
      <c r="G15" s="1">
        <f t="shared" si="2"/>
        <v>-6165623.2485838002</v>
      </c>
      <c r="H15" s="1" t="s">
        <v>20</v>
      </c>
      <c r="I15" s="1" t="s">
        <v>19</v>
      </c>
      <c r="J15" s="1">
        <v>-6904335.14674793</v>
      </c>
      <c r="K15" s="1">
        <v>-5773705.1219753204</v>
      </c>
      <c r="L15" s="1" t="s">
        <v>18</v>
      </c>
      <c r="M15" s="1" t="str">
        <f t="shared" si="5"/>
        <v>scripts/model_fitting/profiling_HKU/5.profile_shared_n.sh results/model_data/profiling_HKU/profiling_shared_1_Omicron20/mlev2_mid.rds 2 amd 64</v>
      </c>
      <c r="N15" s="1" t="s">
        <v>65</v>
      </c>
      <c r="O15" s="1">
        <v>20</v>
      </c>
      <c r="P15" s="1" t="s">
        <v>41</v>
      </c>
      <c r="Q15" s="1">
        <v>3.5</v>
      </c>
      <c r="R15" s="1" t="s">
        <v>66</v>
      </c>
      <c r="S15" s="1">
        <v>2.9</v>
      </c>
      <c r="T15" s="2">
        <v>45508</v>
      </c>
      <c r="U15" s="1" t="s">
        <v>68</v>
      </c>
    </row>
    <row r="16" spans="1:23" ht="51" x14ac:dyDescent="0.2">
      <c r="A16" s="25"/>
      <c r="B16" s="1" t="str">
        <f t="shared" si="4"/>
        <v>profiling_shared_3_Omicron20</v>
      </c>
      <c r="C16" s="1">
        <v>15</v>
      </c>
      <c r="D16" s="4">
        <v>3</v>
      </c>
      <c r="E16" s="1" t="s">
        <v>4</v>
      </c>
      <c r="F16" s="1" t="str">
        <f t="shared" si="1"/>
        <v>profiling_shared_2_Omicron20 (MLE v2)</v>
      </c>
      <c r="G16" s="1">
        <f t="shared" si="2"/>
        <v>-5773705.1219753204</v>
      </c>
      <c r="H16" s="1" t="s">
        <v>20</v>
      </c>
      <c r="I16" s="1" t="s">
        <v>19</v>
      </c>
      <c r="J16" s="1">
        <v>-6841417.0670801401</v>
      </c>
      <c r="K16" s="1">
        <v>-5312160.8043756997</v>
      </c>
      <c r="L16" s="1" t="s">
        <v>18</v>
      </c>
      <c r="M16" s="1" t="str">
        <f t="shared" si="5"/>
        <v>scripts/model_fitting/profiling_HKU/5.profile_shared_n.sh results/model_data/profiling_HKU/profiling_shared_2_Omicron20/mlev2_mid.rds 3 amd 64</v>
      </c>
      <c r="N16" s="1" t="s">
        <v>69</v>
      </c>
      <c r="O16" s="1">
        <v>20</v>
      </c>
      <c r="P16" s="1" t="s">
        <v>45</v>
      </c>
      <c r="Q16" s="1">
        <v>3.5</v>
      </c>
      <c r="R16" s="1" t="s">
        <v>66</v>
      </c>
      <c r="S16" s="1">
        <v>2.9</v>
      </c>
      <c r="T16" s="2">
        <v>45509</v>
      </c>
      <c r="U16" s="1" t="s">
        <v>70</v>
      </c>
    </row>
    <row r="17" spans="1:22" ht="51" x14ac:dyDescent="0.2">
      <c r="A17" s="25"/>
      <c r="B17" s="1" t="str">
        <f t="shared" si="4"/>
        <v>profiling_shared_4_Omicron20</v>
      </c>
      <c r="C17" s="1">
        <v>16</v>
      </c>
      <c r="D17" s="4">
        <v>4</v>
      </c>
      <c r="E17" s="1" t="s">
        <v>4</v>
      </c>
      <c r="F17" s="1" t="str">
        <f t="shared" si="1"/>
        <v>profiling_shared_3_Omicron20 (MLE v2)</v>
      </c>
      <c r="G17" s="1">
        <f t="shared" si="2"/>
        <v>-5312160.8043756997</v>
      </c>
      <c r="H17" s="1" t="s">
        <v>20</v>
      </c>
      <c r="I17" s="1" t="s">
        <v>19</v>
      </c>
      <c r="J17" s="1">
        <v>-5596198.0064681303</v>
      </c>
      <c r="K17" s="1">
        <v>-5067067.8357700501</v>
      </c>
      <c r="L17" s="1" t="s">
        <v>18</v>
      </c>
      <c r="M17" s="1" t="str">
        <f t="shared" si="5"/>
        <v>scripts/model_fitting/profiling_HKU/5.profile_shared_n.sh results/model_data/profiling_HKU/profiling_shared_3_Omicron20/mlev2_mid.rds 4 amd 64</v>
      </c>
      <c r="N17" s="1" t="s">
        <v>71</v>
      </c>
      <c r="O17" s="1">
        <v>20</v>
      </c>
      <c r="P17" s="1" t="s">
        <v>45</v>
      </c>
      <c r="Q17" s="1">
        <v>3.5</v>
      </c>
      <c r="R17" s="1" t="s">
        <v>66</v>
      </c>
      <c r="S17" s="1">
        <v>2.9</v>
      </c>
      <c r="T17" s="2">
        <v>45509</v>
      </c>
      <c r="U17" s="1" t="s">
        <v>72</v>
      </c>
    </row>
    <row r="18" spans="1:22" ht="51" x14ac:dyDescent="0.2">
      <c r="A18" s="25"/>
      <c r="B18" s="1" t="str">
        <f t="shared" si="4"/>
        <v>profiling_shared_5_Omicron20</v>
      </c>
      <c r="C18" s="1">
        <v>17</v>
      </c>
      <c r="D18" s="4">
        <v>5</v>
      </c>
      <c r="E18" s="1" t="s">
        <v>4</v>
      </c>
      <c r="F18" s="1" t="str">
        <f t="shared" si="1"/>
        <v>profiling_shared_4_Omicron20 (MLE v2)</v>
      </c>
      <c r="G18" s="1">
        <f t="shared" si="2"/>
        <v>-5067067.8357700501</v>
      </c>
      <c r="H18" s="1" t="s">
        <v>20</v>
      </c>
      <c r="I18" s="1" t="s">
        <v>19</v>
      </c>
      <c r="J18" s="1">
        <v>-6161907.0795206698</v>
      </c>
      <c r="K18" s="1">
        <v>-4810693.65917922</v>
      </c>
      <c r="L18" s="1" t="s">
        <v>18</v>
      </c>
      <c r="M18" s="1" t="str">
        <f t="shared" si="5"/>
        <v>scripts/model_fitting/profiling_HKU/5.profile_shared_n.sh results/model_data/profiling_HKU/profiling_shared_4_Omicron20/mlev2_mid.rds 5 amd 64</v>
      </c>
      <c r="N18" s="1" t="s">
        <v>73</v>
      </c>
      <c r="O18" s="1">
        <v>20</v>
      </c>
      <c r="P18" s="1" t="s">
        <v>45</v>
      </c>
      <c r="Q18" s="1">
        <v>3.5</v>
      </c>
      <c r="R18" s="1" t="s">
        <v>66</v>
      </c>
      <c r="S18" s="1">
        <v>2.9</v>
      </c>
      <c r="T18" s="2">
        <v>45509</v>
      </c>
      <c r="U18" s="1" t="s">
        <v>74</v>
      </c>
    </row>
    <row r="19" spans="1:22" ht="51" x14ac:dyDescent="0.2">
      <c r="A19" s="25"/>
      <c r="B19" s="1" t="str">
        <f t="shared" si="4"/>
        <v>profiling_shared_6_Omicron20</v>
      </c>
      <c r="C19" s="1">
        <v>18</v>
      </c>
      <c r="D19" s="4">
        <v>6</v>
      </c>
      <c r="E19" s="1" t="s">
        <v>4</v>
      </c>
      <c r="F19" s="1" t="str">
        <f t="shared" si="1"/>
        <v>profiling_shared_5_Omicron20 (MLE v2)</v>
      </c>
      <c r="G19" s="1">
        <f t="shared" si="2"/>
        <v>-4810693.65917922</v>
      </c>
      <c r="H19" s="1" t="s">
        <v>20</v>
      </c>
      <c r="I19" s="1" t="s">
        <v>19</v>
      </c>
      <c r="J19" s="1">
        <v>-5645742.5003804397</v>
      </c>
      <c r="K19" s="1">
        <v>-4737701.2685620198</v>
      </c>
      <c r="L19" s="1" t="s">
        <v>18</v>
      </c>
      <c r="M19" s="1" t="str">
        <f t="shared" si="5"/>
        <v>scripts/model_fitting/profiling_HKU/5.profile_shared_n.sh results/model_data/profiling_HKU/profiling_shared_5_Omicron20/mlev2_mid.rds 6 amd 64</v>
      </c>
      <c r="N19" s="1" t="s">
        <v>75</v>
      </c>
      <c r="O19" s="1">
        <v>20</v>
      </c>
      <c r="P19" s="1" t="s">
        <v>45</v>
      </c>
      <c r="Q19" s="1">
        <v>3.5</v>
      </c>
      <c r="R19" s="1" t="s">
        <v>66</v>
      </c>
      <c r="S19" s="1">
        <v>2.9</v>
      </c>
      <c r="T19" s="2">
        <v>45509</v>
      </c>
      <c r="U19" s="1" t="s">
        <v>76</v>
      </c>
    </row>
    <row r="20" spans="1:22" ht="51" x14ac:dyDescent="0.2">
      <c r="A20" s="25"/>
      <c r="B20" s="1" t="str">
        <f t="shared" si="4"/>
        <v>profiling_shared_7_Omicron20</v>
      </c>
      <c r="C20" s="1">
        <v>19</v>
      </c>
      <c r="D20" s="4">
        <v>7</v>
      </c>
      <c r="E20" s="1" t="s">
        <v>4</v>
      </c>
      <c r="F20" s="1" t="str">
        <f t="shared" si="1"/>
        <v>profiling_shared_6_Omicron20 (MLE v2)</v>
      </c>
      <c r="G20" s="1">
        <f t="shared" si="2"/>
        <v>-4737701.2685620198</v>
      </c>
      <c r="H20" s="1" t="s">
        <v>20</v>
      </c>
      <c r="I20" s="1" t="s">
        <v>19</v>
      </c>
      <c r="J20" s="1">
        <v>-4929503.6409513596</v>
      </c>
      <c r="K20" s="1">
        <v>-4624889.3332896</v>
      </c>
      <c r="L20" s="1" t="s">
        <v>18</v>
      </c>
      <c r="M20" s="1" t="str">
        <f t="shared" si="5"/>
        <v>scripts/model_fitting/profiling_HKU/5.profile_shared_n.sh results/model_data/profiling_HKU/profiling_shared_6_Omicron20/mlev2_mid.rds 7 amd 64</v>
      </c>
      <c r="N20" s="1" t="s">
        <v>77</v>
      </c>
      <c r="O20" s="1">
        <v>20</v>
      </c>
      <c r="P20" s="1" t="s">
        <v>45</v>
      </c>
      <c r="Q20" s="1">
        <v>3.5</v>
      </c>
      <c r="R20" s="1" t="s">
        <v>66</v>
      </c>
      <c r="S20" s="1">
        <v>2.9</v>
      </c>
      <c r="T20" s="2">
        <v>45510</v>
      </c>
      <c r="U20" s="1" t="s">
        <v>78</v>
      </c>
    </row>
    <row r="21" spans="1:22" ht="51" x14ac:dyDescent="0.2">
      <c r="A21" s="25"/>
      <c r="B21" s="1" t="str">
        <f t="shared" si="4"/>
        <v>profiling_shared_8_Omicron20</v>
      </c>
      <c r="C21" s="1">
        <v>20</v>
      </c>
      <c r="D21" s="4">
        <v>8</v>
      </c>
      <c r="E21" s="1" t="s">
        <v>4</v>
      </c>
      <c r="F21" s="1" t="str">
        <f t="shared" si="1"/>
        <v>profiling_shared_7_Omicron20 (MLE v2)</v>
      </c>
      <c r="G21" s="1">
        <f t="shared" si="2"/>
        <v>-4624889.3332896</v>
      </c>
      <c r="H21" s="1" t="s">
        <v>20</v>
      </c>
      <c r="I21" s="1" t="s">
        <v>19</v>
      </c>
      <c r="J21" s="1">
        <v>-5482761.8438223302</v>
      </c>
      <c r="K21" s="1">
        <v>-4560171.9203081401</v>
      </c>
      <c r="L21" s="1" t="s">
        <v>18</v>
      </c>
      <c r="M21" s="1" t="str">
        <f t="shared" si="5"/>
        <v>scripts/model_fitting/profiling_HKU/5.profile_shared_n.sh results/model_data/profiling_HKU/profiling_shared_7_Omicron20/mlev2_mid.rds 8 amd 64</v>
      </c>
      <c r="N21" s="1" t="s">
        <v>79</v>
      </c>
      <c r="O21" s="1">
        <v>20</v>
      </c>
      <c r="P21" s="1" t="s">
        <v>45</v>
      </c>
      <c r="Q21" s="1">
        <v>3.5</v>
      </c>
      <c r="R21" s="1" t="s">
        <v>66</v>
      </c>
      <c r="S21" s="1">
        <v>2.9</v>
      </c>
      <c r="T21" s="2">
        <v>45510</v>
      </c>
      <c r="U21" s="1" t="s">
        <v>72</v>
      </c>
    </row>
    <row r="22" spans="1:22" ht="51" x14ac:dyDescent="0.2">
      <c r="A22" s="25"/>
      <c r="B22" s="1" t="str">
        <f t="shared" si="4"/>
        <v>profiling_shared_9_Omicron20</v>
      </c>
      <c r="C22" s="1">
        <v>21</v>
      </c>
      <c r="D22" s="4">
        <v>9</v>
      </c>
      <c r="E22" s="1" t="s">
        <v>4</v>
      </c>
      <c r="F22" s="1" t="str">
        <f t="shared" si="1"/>
        <v>profiling_shared_8_Omicron20 (MLE v2)</v>
      </c>
      <c r="G22" s="1">
        <f t="shared" si="2"/>
        <v>-4560171.9203081401</v>
      </c>
      <c r="H22" s="1" t="s">
        <v>20</v>
      </c>
      <c r="I22" s="1" t="s">
        <v>19</v>
      </c>
      <c r="J22" s="1">
        <v>-5248756.92527242</v>
      </c>
      <c r="K22" s="1">
        <v>-4499170.8377499199</v>
      </c>
      <c r="L22" s="1" t="s">
        <v>18</v>
      </c>
      <c r="M22" s="1" t="str">
        <f t="shared" si="5"/>
        <v>scripts/model_fitting/profiling_HKU/5.profile_shared_n.sh results/model_data/profiling_HKU/profiling_shared_8_Omicron20/mlev2_mid.rds 9 amd 64</v>
      </c>
      <c r="N22" s="1" t="s">
        <v>82</v>
      </c>
      <c r="O22" s="1">
        <v>20</v>
      </c>
      <c r="P22" s="1" t="s">
        <v>45</v>
      </c>
      <c r="Q22" s="1">
        <v>3.5</v>
      </c>
      <c r="R22" s="1" t="s">
        <v>66</v>
      </c>
      <c r="S22" s="1">
        <v>2.9</v>
      </c>
      <c r="T22" s="2">
        <v>45510</v>
      </c>
      <c r="U22" s="1" t="s">
        <v>80</v>
      </c>
    </row>
    <row r="23" spans="1:22" ht="51" x14ac:dyDescent="0.2">
      <c r="A23" s="25"/>
      <c r="B23" s="1" t="str">
        <f>_xlfn.CONCAT("profiling_shared_", D23, "_Omicron20")</f>
        <v>profiling_shared_10_Omicron20</v>
      </c>
      <c r="C23" s="1">
        <v>22</v>
      </c>
      <c r="D23" s="4">
        <v>10</v>
      </c>
      <c r="E23" s="1" t="s">
        <v>4</v>
      </c>
      <c r="F23" s="1" t="str">
        <f t="shared" si="1"/>
        <v>profiling_shared_9_Omicron20 (MLE v2)</v>
      </c>
      <c r="G23" s="1">
        <f t="shared" si="2"/>
        <v>-4499170.8377499199</v>
      </c>
      <c r="H23" s="1" t="s">
        <v>20</v>
      </c>
      <c r="I23" s="1" t="s">
        <v>19</v>
      </c>
      <c r="J23" s="1">
        <v>-4611408.29926736</v>
      </c>
      <c r="K23" s="1">
        <v>-4423520.6961223604</v>
      </c>
      <c r="L23" s="1" t="s">
        <v>18</v>
      </c>
      <c r="M23" s="1" t="str">
        <f>_xlfn.CONCAT("scripts/model_fitting/profiling_HKU/5.profile_shared_n.sh results/model_data/profiling_HKU/", B22, "/mlev2_mid.rds ", D23, " amd 64")</f>
        <v>scripts/model_fitting/profiling_HKU/5.profile_shared_n.sh results/model_data/profiling_HKU/profiling_shared_9_Omicron20/mlev2_mid.rds 10 amd 64</v>
      </c>
      <c r="N23" s="1" t="s">
        <v>81</v>
      </c>
      <c r="O23" s="1">
        <v>20</v>
      </c>
      <c r="P23" s="1" t="s">
        <v>41</v>
      </c>
      <c r="Q23" s="1">
        <v>3.5</v>
      </c>
      <c r="R23" s="1" t="s">
        <v>66</v>
      </c>
      <c r="S23" s="1">
        <v>2.9</v>
      </c>
      <c r="T23" s="2">
        <v>45511</v>
      </c>
      <c r="U23" s="1" t="s">
        <v>83</v>
      </c>
    </row>
    <row r="24" spans="1:22" s="10" customFormat="1" ht="85" x14ac:dyDescent="0.2">
      <c r="A24" s="25"/>
      <c r="B24" s="10" t="str">
        <f>_xlfn.CONCAT("profiling_shared_", D24, "_Omicron20_local_1")</f>
        <v>profiling_shared_10_Omicron20_local_1</v>
      </c>
      <c r="C24" s="10">
        <v>23</v>
      </c>
      <c r="D24" s="11">
        <v>10</v>
      </c>
      <c r="E24" s="10" t="s">
        <v>5</v>
      </c>
      <c r="F24" s="10" t="str">
        <f>_xlfn.CONCAT(B23, " (MLE v2)")</f>
        <v>profiling_shared_10_Omicron20 (MLE v2)</v>
      </c>
      <c r="G24" s="10">
        <f>K22</f>
        <v>-4499170.8377499199</v>
      </c>
      <c r="H24" s="10" t="s">
        <v>20</v>
      </c>
      <c r="I24" s="10" t="s">
        <v>87</v>
      </c>
      <c r="J24" s="10" t="s">
        <v>18</v>
      </c>
      <c r="K24" s="10" t="s">
        <v>18</v>
      </c>
      <c r="L24" s="10">
        <v>-4843604.91413684</v>
      </c>
      <c r="M24" s="10" t="str">
        <f>_xlfn.CONCAT("scripts/model_fitting/profiling_HKU/7.local_shared_n.sh ", D23, " amd 32")</f>
        <v>scripts/model_fitting/profiling_HKU/7.local_shared_n.sh 10 amd 32</v>
      </c>
      <c r="N24" s="10" t="s">
        <v>88</v>
      </c>
      <c r="O24" s="10">
        <v>8</v>
      </c>
      <c r="P24" s="10" t="s">
        <v>45</v>
      </c>
      <c r="Q24" s="10">
        <v>3.9</v>
      </c>
      <c r="R24" s="10" t="s">
        <v>86</v>
      </c>
      <c r="S24" s="10">
        <v>3.1</v>
      </c>
      <c r="T24" s="12">
        <v>45511</v>
      </c>
    </row>
    <row r="25" spans="1:22" ht="51" x14ac:dyDescent="0.2">
      <c r="A25" s="25" t="s">
        <v>25</v>
      </c>
      <c r="B25" s="1" t="str">
        <f>_xlfn.CONCAT("profiling_all_", D25, "_Omicron20")</f>
        <v>profiling_all_1_Omicron20</v>
      </c>
      <c r="C25" s="1">
        <v>24</v>
      </c>
      <c r="D25" s="4">
        <v>1</v>
      </c>
      <c r="E25" s="1" t="s">
        <v>4</v>
      </c>
      <c r="F25" s="1" t="str">
        <f>_xlfn.CONCAT(B23, " (MLE v2)")</f>
        <v>profiling_shared_10_Omicron20 (MLE v2)</v>
      </c>
      <c r="G25" s="1">
        <f>K23</f>
        <v>-4423520.6961223604</v>
      </c>
      <c r="H25" s="1" t="s">
        <v>21</v>
      </c>
      <c r="I25" s="1" t="s">
        <v>19</v>
      </c>
      <c r="J25" s="1">
        <v>-4794719.4568231096</v>
      </c>
      <c r="K25" s="1">
        <v>-4344507.6389022898</v>
      </c>
      <c r="L25" s="1" t="s">
        <v>18</v>
      </c>
      <c r="M25" s="1" t="str">
        <f>_xlfn.CONCAT("scripts/model_fitting/profiling_HKU/9.profile_all_n.sh  results/model_data/profiling_HKU/",B23, "/mlev2_mid.rds ", D25, " amd 64")</f>
        <v>scripts/model_fitting/profiling_HKU/9.profile_all_n.sh  results/model_data/profiling_HKU/profiling_shared_10_Omicron20/mlev2_mid.rds 1 amd 64</v>
      </c>
      <c r="N25" s="1" t="s">
        <v>91</v>
      </c>
      <c r="O25" s="1">
        <v>49</v>
      </c>
      <c r="P25" s="1" t="s">
        <v>41</v>
      </c>
      <c r="Q25" s="1">
        <v>3.9</v>
      </c>
      <c r="R25" s="1" t="s">
        <v>66</v>
      </c>
      <c r="S25" s="1">
        <v>2.9</v>
      </c>
      <c r="T25" s="2">
        <v>45511</v>
      </c>
      <c r="U25" s="1" t="s">
        <v>90</v>
      </c>
    </row>
    <row r="26" spans="1:22" s="6" customFormat="1" ht="119" x14ac:dyDescent="0.2">
      <c r="A26" s="25"/>
      <c r="B26" s="6" t="str">
        <f>_xlfn.CONCAT("profiling_all_", D26, "_Omicron20")</f>
        <v>profiling_all_2_Omicron20</v>
      </c>
      <c r="C26" s="10">
        <v>25</v>
      </c>
      <c r="D26" s="7">
        <v>2</v>
      </c>
      <c r="E26" s="6" t="s">
        <v>4</v>
      </c>
      <c r="F26" s="6" t="str">
        <f>_xlfn.CONCAT(B25, " (MLE v2)")</f>
        <v>profiling_all_1_Omicron20 (MLE v2)</v>
      </c>
      <c r="G26" s="6">
        <f>K25</f>
        <v>-4344507.6389022898</v>
      </c>
      <c r="H26" s="6" t="s">
        <v>21</v>
      </c>
      <c r="I26" s="6" t="s">
        <v>19</v>
      </c>
      <c r="J26" s="6">
        <v>-11052340.218124701</v>
      </c>
      <c r="K26" s="6">
        <v>-6045045.5990874497</v>
      </c>
      <c r="L26" s="6" t="s">
        <v>18</v>
      </c>
      <c r="M26" s="6" t="str">
        <f>_xlfn.CONCAT("scripts/model_fitting/profiling_HKU/9.profile_all_n.sh  results/model_data/profiling_HKU/",B25, "/mlev2_mid.rds ", D26, " amd 64")</f>
        <v>scripts/model_fitting/profiling_HKU/9.profile_all_n.sh  results/model_data/profiling_HKU/profiling_all_1_Omicron20/mlev2_mid.rds 2 amd 64</v>
      </c>
      <c r="N26" s="6" t="s">
        <v>93</v>
      </c>
      <c r="O26" s="6">
        <v>49</v>
      </c>
      <c r="P26" s="6" t="s">
        <v>41</v>
      </c>
      <c r="Q26" s="6">
        <v>3.9</v>
      </c>
      <c r="R26" s="6" t="s">
        <v>66</v>
      </c>
      <c r="S26" s="6">
        <v>2.9</v>
      </c>
      <c r="T26" s="9">
        <v>45512</v>
      </c>
      <c r="U26" s="6" t="s">
        <v>78</v>
      </c>
      <c r="V26" s="10" t="s">
        <v>89</v>
      </c>
    </row>
    <row r="27" spans="1:22" ht="102" x14ac:dyDescent="0.2">
      <c r="A27" s="25"/>
      <c r="B27" s="1" t="str">
        <f>_xlfn.CONCAT("profiling_all_", D25, "_Omicron20_local_1")</f>
        <v>profiling_all_1_Omicron20_local_1</v>
      </c>
      <c r="C27" s="1">
        <v>26</v>
      </c>
      <c r="D27" s="4">
        <v>1</v>
      </c>
      <c r="E27" s="1" t="s">
        <v>5</v>
      </c>
      <c r="F27" s="1" t="str">
        <f>_xlfn.CONCAT(B25, " (MLE v2)")</f>
        <v>profiling_all_1_Omicron20 (MLE v2)</v>
      </c>
      <c r="G27" s="1">
        <f>K25</f>
        <v>-4344507.6389022898</v>
      </c>
      <c r="H27" s="1" t="s">
        <v>21</v>
      </c>
      <c r="I27" s="1" t="s">
        <v>92</v>
      </c>
      <c r="J27" s="1" t="s">
        <v>18</v>
      </c>
      <c r="K27" s="1" t="s">
        <v>18</v>
      </c>
      <c r="L27" s="1">
        <v>-5545052.2373772403</v>
      </c>
      <c r="M27" s="1" t="str">
        <f>_xlfn.CONCAT("scripts/model_fitting/profiling_HKU/11.local_all_n.sh ", D25, " amd 32")</f>
        <v>scripts/model_fitting/profiling_HKU/11.local_all_n.sh 1 amd 32</v>
      </c>
      <c r="N27" s="1" t="s">
        <v>94</v>
      </c>
      <c r="O27" s="1">
        <v>10</v>
      </c>
      <c r="P27" s="1" t="s">
        <v>37</v>
      </c>
      <c r="Q27" s="1">
        <v>3.9</v>
      </c>
      <c r="R27" s="13" t="s">
        <v>95</v>
      </c>
      <c r="S27" s="13">
        <v>3.1</v>
      </c>
      <c r="T27" s="14">
        <v>45512</v>
      </c>
      <c r="V27" s="1" t="s">
        <v>96</v>
      </c>
    </row>
    <row r="28" spans="1:22" ht="85" x14ac:dyDescent="0.2">
      <c r="A28" s="4" t="s">
        <v>24</v>
      </c>
      <c r="B28" s="1" t="str">
        <f>_xlfn.CONCAT("profiling_shared_", D28, "_Omicron20")</f>
        <v>profiling_shared_11_Omicron20</v>
      </c>
      <c r="C28" s="1">
        <v>27</v>
      </c>
      <c r="D28" s="4">
        <v>11</v>
      </c>
      <c r="E28" s="1" t="s">
        <v>4</v>
      </c>
      <c r="F28" s="1" t="str">
        <f>_xlfn.CONCAT(B27, " (MLE v3)")</f>
        <v>profiling_all_1_Omicron20_local_1 (MLE v3)</v>
      </c>
      <c r="G28" s="1">
        <f>L27</f>
        <v>-5545052.2373772403</v>
      </c>
      <c r="H28" s="1" t="s">
        <v>20</v>
      </c>
      <c r="I28" s="1" t="s">
        <v>19</v>
      </c>
      <c r="J28" s="1">
        <v>-6892134.2878890196</v>
      </c>
      <c r="K28" s="1">
        <v>-5287902.9864896201</v>
      </c>
      <c r="L28" s="1" t="s">
        <v>18</v>
      </c>
      <c r="M28" s="1" t="str">
        <f>_xlfn.CONCAT("scripts/model_fitting/profiling_HKU/5.profile_shared_n.sh  results/model_data/profiling_HKU/",B27, "/mle_mid.rds ", D28, " amd 64")</f>
        <v>scripts/model_fitting/profiling_HKU/5.profile_shared_n.sh  results/model_data/profiling_HKU/profiling_all_1_Omicron20_local_1/mle_mid.rds 11 amd 64</v>
      </c>
      <c r="N28" s="1" t="s">
        <v>98</v>
      </c>
      <c r="O28" s="1">
        <v>20</v>
      </c>
      <c r="P28" s="1" t="s">
        <v>41</v>
      </c>
      <c r="Q28" s="1">
        <v>3.9</v>
      </c>
      <c r="R28" s="1" t="s">
        <v>66</v>
      </c>
      <c r="S28" s="1">
        <v>2.9</v>
      </c>
      <c r="T28" s="14">
        <v>45512</v>
      </c>
      <c r="U28" s="1" t="s">
        <v>70</v>
      </c>
      <c r="V28" s="1" t="s">
        <v>121</v>
      </c>
    </row>
    <row r="29" spans="1:22" ht="51" x14ac:dyDescent="0.2">
      <c r="A29" s="4" t="s">
        <v>24</v>
      </c>
      <c r="B29" s="1" t="str">
        <f>_xlfn.CONCAT("profiling_shared_", D29, "_Omicron20")</f>
        <v>profiling_shared_12_Omicron20</v>
      </c>
      <c r="C29" s="1">
        <v>28</v>
      </c>
      <c r="D29" s="4">
        <v>12</v>
      </c>
      <c r="E29" s="1" t="s">
        <v>4</v>
      </c>
      <c r="F29" s="1" t="str">
        <f>_xlfn.CONCAT(B28, " (MLE v2)")</f>
        <v>profiling_shared_11_Omicron20 (MLE v2)</v>
      </c>
      <c r="G29" s="1">
        <f t="shared" ref="G29" si="6">K28</f>
        <v>-5287902.9864896201</v>
      </c>
      <c r="H29" s="1" t="s">
        <v>20</v>
      </c>
      <c r="I29" s="1" t="s">
        <v>19</v>
      </c>
      <c r="J29" s="1">
        <v>-5351127.09620809</v>
      </c>
      <c r="K29" s="1">
        <v>-5207584.4697533697</v>
      </c>
      <c r="L29" s="1" t="s">
        <v>18</v>
      </c>
      <c r="M29" s="1" t="str">
        <f>_xlfn.CONCAT("scripts/model_fitting/profiling_HKU/5.profile_shared_n.sh  results/model_data/profiling_HKU/",B28, "/mlev2_mid.rds ", D29, " amd 64")</f>
        <v>scripts/model_fitting/profiling_HKU/5.profile_shared_n.sh  results/model_data/profiling_HKU/profiling_shared_11_Omicron20/mlev2_mid.rds 12 amd 64</v>
      </c>
      <c r="N29" s="1" t="s">
        <v>101</v>
      </c>
      <c r="O29" s="1">
        <v>20</v>
      </c>
      <c r="P29" s="1" t="s">
        <v>41</v>
      </c>
      <c r="Q29" s="1">
        <v>3.9</v>
      </c>
      <c r="R29" s="1" t="s">
        <v>66</v>
      </c>
      <c r="S29" s="1">
        <v>2.9</v>
      </c>
      <c r="T29" s="14">
        <v>45512</v>
      </c>
      <c r="U29" s="1" t="s">
        <v>99</v>
      </c>
    </row>
    <row r="30" spans="1:22" ht="51" x14ac:dyDescent="0.2">
      <c r="A30" s="4" t="s">
        <v>24</v>
      </c>
      <c r="B30" s="1" t="str">
        <f>_xlfn.CONCAT("profiling_shared_", D30, "_Omicron20")</f>
        <v>profiling_shared_13_Omicron20</v>
      </c>
      <c r="C30" s="1">
        <v>29</v>
      </c>
      <c r="D30" s="4">
        <v>13</v>
      </c>
      <c r="E30" s="1" t="s">
        <v>4</v>
      </c>
      <c r="F30" s="1" t="str">
        <f>_xlfn.CONCAT(B33, " (MLE v2)")</f>
        <v>profiling_beta_12_Omicron20 (MLE v2)</v>
      </c>
      <c r="G30" s="1">
        <f>K29</f>
        <v>-5207584.4697533697</v>
      </c>
      <c r="H30" s="1" t="s">
        <v>20</v>
      </c>
      <c r="I30" s="1" t="s">
        <v>19</v>
      </c>
      <c r="J30" s="1">
        <v>-5425336.3695920799</v>
      </c>
      <c r="K30" s="1">
        <v>-5207584.4697533697</v>
      </c>
      <c r="L30" s="1" t="s">
        <v>18</v>
      </c>
      <c r="M30" s="1" t="str">
        <f>_xlfn.CONCAT("scripts/model_fitting/profiling_HKU/5.profile_shared_n.sh  results/model_data/profiling_HKU/",B29, "/mlev2_mid.rds ", D30, " amd 64")</f>
        <v>scripts/model_fitting/profiling_HKU/5.profile_shared_n.sh  results/model_data/profiling_HKU/profiling_shared_12_Omicron20/mlev2_mid.rds 13 amd 64</v>
      </c>
      <c r="N30" s="1" t="s">
        <v>102</v>
      </c>
      <c r="O30" s="1">
        <v>20</v>
      </c>
      <c r="P30" s="1" t="s">
        <v>41</v>
      </c>
      <c r="Q30" s="1">
        <v>3.9</v>
      </c>
      <c r="R30" s="1" t="s">
        <v>66</v>
      </c>
      <c r="S30" s="1">
        <v>2.9</v>
      </c>
      <c r="T30" s="14">
        <v>45513</v>
      </c>
      <c r="U30" s="1" t="s">
        <v>100</v>
      </c>
    </row>
    <row r="31" spans="1:22" ht="153" x14ac:dyDescent="0.2">
      <c r="A31" s="4" t="s">
        <v>23</v>
      </c>
      <c r="B31" s="1" t="str">
        <f>_xlfn.CONCAT("profiling_shared_", D31, "_Omicron20_local_1")</f>
        <v>profiling_shared_13_Omicron20_local_1</v>
      </c>
      <c r="C31" s="1">
        <v>30</v>
      </c>
      <c r="D31" s="4">
        <v>13</v>
      </c>
      <c r="E31" s="1" t="s">
        <v>5</v>
      </c>
      <c r="F31" s="1" t="str">
        <f>_xlfn.CONCAT(B30, " (MLE v2)")</f>
        <v>profiling_shared_13_Omicron20 (MLE v2)</v>
      </c>
      <c r="G31" s="1">
        <f>K30</f>
        <v>-5207584.4697533697</v>
      </c>
      <c r="H31" s="1" t="s">
        <v>6</v>
      </c>
      <c r="I31" s="1" t="s">
        <v>92</v>
      </c>
      <c r="J31" s="1" t="s">
        <v>18</v>
      </c>
      <c r="K31" s="1" t="s">
        <v>18</v>
      </c>
      <c r="L31" s="1">
        <v>-5243474.7935812399</v>
      </c>
      <c r="M31" s="1" t="str">
        <f>_xlfn.CONCAT("scripts/model_fitting/profiling_HKU/3.local_beta_n.sh ",D31," amd 32 results/model_data/profiling_HKU/",B30,"/mlev2_mid.rds")</f>
        <v>scripts/model_fitting/profiling_HKU/3.local_beta_n.sh 13 amd 32 results/model_data/profiling_HKU/profiling_shared_13_Omicron20/mlev2_mid.rds</v>
      </c>
      <c r="N31" s="1" t="s">
        <v>105</v>
      </c>
      <c r="O31" s="1">
        <v>10</v>
      </c>
      <c r="P31" s="1" t="s">
        <v>37</v>
      </c>
      <c r="Q31" s="1">
        <v>3.9</v>
      </c>
      <c r="R31" s="13" t="s">
        <v>95</v>
      </c>
      <c r="S31" s="13">
        <v>3.1</v>
      </c>
      <c r="T31" s="14">
        <v>45513</v>
      </c>
      <c r="V31" s="1" t="s">
        <v>103</v>
      </c>
    </row>
    <row r="32" spans="1:22" ht="204" x14ac:dyDescent="0.2">
      <c r="A32" s="4" t="s">
        <v>23</v>
      </c>
      <c r="B32" s="1" t="str">
        <f t="shared" ref="B32" si="7">_xlfn.CONCAT("profiling_beta_", D32, "_Omicron20")</f>
        <v>profiling_beta_11_Omicron20</v>
      </c>
      <c r="C32" s="1">
        <v>31</v>
      </c>
      <c r="D32" s="4">
        <v>11</v>
      </c>
      <c r="E32" s="1" t="s">
        <v>4</v>
      </c>
      <c r="F32" s="1" t="str">
        <f t="shared" ref="F32" si="8">_xlfn.CONCAT(B28, " (MLE v2)")</f>
        <v>profiling_shared_11_Omicron20 (MLE v2)</v>
      </c>
      <c r="G32" s="1">
        <f>L31</f>
        <v>-5243474.7935812399</v>
      </c>
      <c r="H32" s="1" t="s">
        <v>6</v>
      </c>
      <c r="I32" s="1" t="s">
        <v>19</v>
      </c>
      <c r="J32" s="1">
        <v>-5617065.7883539796</v>
      </c>
      <c r="K32" s="1">
        <v>-5019414.8887993796</v>
      </c>
      <c r="L32" s="1" t="s">
        <v>18</v>
      </c>
      <c r="M32" s="1" t="str">
        <f>_xlfn.CONCAT("scripts/model_fitting/profiling_HKU/1.profile_beta_n.sh results/model_data/profiling_HKU/", B31, "/mle_mid.rds ", D32, " amd 64")</f>
        <v>scripts/model_fitting/profiling_HKU/1.profile_beta_n.sh results/model_data/profiling_HKU/profiling_shared_13_Omicron20_local_1/mle_mid.rds 11 amd 64</v>
      </c>
      <c r="N32" s="1" t="s">
        <v>107</v>
      </c>
      <c r="O32" s="1">
        <v>29</v>
      </c>
      <c r="P32" s="1" t="s">
        <v>41</v>
      </c>
      <c r="Q32" s="1">
        <v>3.9</v>
      </c>
      <c r="R32" s="1" t="s">
        <v>66</v>
      </c>
      <c r="S32" s="1">
        <v>2.9</v>
      </c>
      <c r="T32" s="14">
        <v>45514</v>
      </c>
      <c r="U32" s="1" t="s">
        <v>106</v>
      </c>
      <c r="V32" s="1" t="s">
        <v>104</v>
      </c>
    </row>
    <row r="33" spans="1:23" ht="68" customHeight="1" x14ac:dyDescent="0.2">
      <c r="A33" s="4" t="s">
        <v>23</v>
      </c>
      <c r="B33" s="1" t="str">
        <f t="shared" ref="B33" si="9">_xlfn.CONCAT("profiling_beta_", D33, "_Omicron20")</f>
        <v>profiling_beta_12_Omicron20</v>
      </c>
      <c r="C33" s="1">
        <v>32</v>
      </c>
      <c r="D33" s="4">
        <v>12</v>
      </c>
      <c r="E33" s="1" t="s">
        <v>4</v>
      </c>
      <c r="F33" s="1" t="str">
        <f>_xlfn.CONCAT(B32, " (MLE v2)")</f>
        <v>profiling_beta_11_Omicron20 (MLE v2)</v>
      </c>
      <c r="G33" s="1">
        <f>K32</f>
        <v>-5019414.8887993796</v>
      </c>
      <c r="H33" s="1" t="s">
        <v>6</v>
      </c>
      <c r="I33" s="1" t="s">
        <v>19</v>
      </c>
      <c r="J33" s="1">
        <v>-5507430.3882895699</v>
      </c>
      <c r="K33" s="1">
        <v>-4953550.7360339202</v>
      </c>
      <c r="L33" s="1" t="s">
        <v>18</v>
      </c>
      <c r="M33" s="1" t="str">
        <f>_xlfn.CONCAT("scripts/model_fitting/profiling_HKU/1.profile_beta_n.sh results/model_data/profiling_HKU/",B32, "/mlev2_mid.rds ", D33, " amd 64")</f>
        <v>scripts/model_fitting/profiling_HKU/1.profile_beta_n.sh results/model_data/profiling_HKU/profiling_beta_11_Omicron20/mlev2_mid.rds 12 amd 64</v>
      </c>
      <c r="N33" s="1" t="s">
        <v>109</v>
      </c>
      <c r="O33" s="1">
        <v>29</v>
      </c>
      <c r="P33" s="1" t="s">
        <v>41</v>
      </c>
      <c r="Q33" s="1">
        <v>3.9</v>
      </c>
      <c r="R33" s="1" t="s">
        <v>66</v>
      </c>
      <c r="S33" s="1">
        <v>2.9</v>
      </c>
      <c r="T33" s="14">
        <v>45515</v>
      </c>
      <c r="U33" s="1" t="s">
        <v>108</v>
      </c>
    </row>
    <row r="34" spans="1:23" ht="51" x14ac:dyDescent="0.2">
      <c r="A34" s="4" t="s">
        <v>23</v>
      </c>
      <c r="B34" s="1" t="str">
        <f t="shared" ref="B34" si="10">_xlfn.CONCAT("profiling_beta_", D34, "_Omicron20")</f>
        <v>profiling_beta_13_Omicron20</v>
      </c>
      <c r="C34" s="1">
        <v>33</v>
      </c>
      <c r="D34" s="4">
        <v>13</v>
      </c>
      <c r="E34" s="1" t="s">
        <v>4</v>
      </c>
      <c r="F34" s="1" t="str">
        <f>_xlfn.CONCAT(B30, " (MLE v2)")</f>
        <v>profiling_shared_13_Omicron20 (MLE v2)</v>
      </c>
      <c r="G34" s="1">
        <f>K33</f>
        <v>-4953550.7360339202</v>
      </c>
      <c r="H34" s="1" t="s">
        <v>6</v>
      </c>
      <c r="I34" s="1" t="s">
        <v>19</v>
      </c>
      <c r="J34" s="1">
        <v>-5712316.4902556101</v>
      </c>
      <c r="K34" s="1">
        <v>-4953550.7360339202</v>
      </c>
      <c r="L34" s="1" t="s">
        <v>18</v>
      </c>
      <c r="M34" s="1" t="str">
        <f>_xlfn.CONCAT("scripts/model_fitting/profiling_HKU/1.profile_beta_n.sh results/model_data/profiling_HKU/",B33, "/mlev2_mid.rds ", D34, " amd 32")</f>
        <v>scripts/model_fitting/profiling_HKU/1.profile_beta_n.sh results/model_data/profiling_HKU/profiling_beta_12_Omicron20/mlev2_mid.rds 13 amd 32</v>
      </c>
      <c r="N34" s="1" t="s">
        <v>110</v>
      </c>
      <c r="O34" s="1">
        <v>29</v>
      </c>
      <c r="P34" s="1" t="s">
        <v>41</v>
      </c>
      <c r="Q34" s="1">
        <v>3.9</v>
      </c>
      <c r="R34" s="1" t="s">
        <v>111</v>
      </c>
      <c r="S34" s="1">
        <v>2.9</v>
      </c>
      <c r="T34" s="14">
        <v>45515</v>
      </c>
      <c r="U34" s="1" t="s">
        <v>100</v>
      </c>
    </row>
    <row r="35" spans="1:23" s="10" customFormat="1" ht="51" x14ac:dyDescent="0.2">
      <c r="A35" s="11" t="s">
        <v>24</v>
      </c>
      <c r="B35" s="10" t="str">
        <f>_xlfn.CONCAT("profiling_shared_", D35, "_Omicron20")</f>
        <v>profiling_shared_14_Omicron20</v>
      </c>
      <c r="C35" s="10">
        <v>34</v>
      </c>
      <c r="D35" s="11">
        <v>14</v>
      </c>
      <c r="E35" s="10" t="s">
        <v>4</v>
      </c>
      <c r="F35" s="10" t="str">
        <f>_xlfn.CONCAT(B34, " (MLE v2)")</f>
        <v>profiling_beta_13_Omicron20 (MLE v2)</v>
      </c>
      <c r="G35" s="10">
        <f>K34</f>
        <v>-4953550.7360339202</v>
      </c>
      <c r="H35" s="10" t="s">
        <v>20</v>
      </c>
      <c r="I35" s="10" t="s">
        <v>19</v>
      </c>
      <c r="J35" s="10">
        <v>-6691840.8519423297</v>
      </c>
      <c r="K35" s="10">
        <v>-5025009.57969853</v>
      </c>
      <c r="L35" s="10" t="s">
        <v>18</v>
      </c>
      <c r="M35" s="10" t="str">
        <f>_xlfn.CONCAT("scripts/model_fitting/profiling_HKU/5.profile_shared_n.sh  results/model_data/profiling_HKU/",B34, "/mlev2_mid.rds ", D35, " amd 32")</f>
        <v>scripts/model_fitting/profiling_HKU/5.profile_shared_n.sh  results/model_data/profiling_HKU/profiling_beta_13_Omicron20/mlev2_mid.rds 14 amd 32</v>
      </c>
      <c r="N35" s="10" t="s">
        <v>112</v>
      </c>
      <c r="O35" s="10">
        <v>20</v>
      </c>
      <c r="P35" s="10" t="s">
        <v>45</v>
      </c>
      <c r="Q35" s="10">
        <v>3.5</v>
      </c>
      <c r="R35" s="10" t="s">
        <v>66</v>
      </c>
      <c r="S35" s="10">
        <v>2.9</v>
      </c>
      <c r="T35" s="12">
        <v>45515</v>
      </c>
      <c r="U35" s="10" t="s">
        <v>113</v>
      </c>
    </row>
    <row r="36" spans="1:23" ht="85" x14ac:dyDescent="0.2">
      <c r="A36" s="4" t="s">
        <v>25</v>
      </c>
      <c r="B36" s="13" t="str">
        <f>_xlfn.CONCAT("profiling_beta_", D36, "_Omicron20_local_1")</f>
        <v>profiling_beta_13_Omicron20_local_1</v>
      </c>
      <c r="C36" s="1">
        <v>35</v>
      </c>
      <c r="D36" s="4">
        <v>13</v>
      </c>
      <c r="E36" s="1" t="s">
        <v>5</v>
      </c>
      <c r="F36" s="1" t="str">
        <f>_xlfn.CONCAT(B34, " (MLE v2)")</f>
        <v>profiling_beta_13_Omicron20 (MLE v2)</v>
      </c>
      <c r="G36" s="1">
        <f>K34</f>
        <v>-4953550.7360339202</v>
      </c>
      <c r="H36" s="1" t="s">
        <v>21</v>
      </c>
      <c r="I36" s="1" t="s">
        <v>115</v>
      </c>
      <c r="J36" s="1" t="s">
        <v>18</v>
      </c>
      <c r="K36" s="1" t="s">
        <v>18</v>
      </c>
      <c r="L36" s="1">
        <v>-5141633.0156757897</v>
      </c>
      <c r="M36" s="1" t="str">
        <f>_xlfn.CONCAT("scripts/model_fitting/profiling_HKU/11.local_all_n.sh ",D36," amd 32 results/model_data/profiling_HKU/",B34,"/mlev2_mid.rds")</f>
        <v>scripts/model_fitting/profiling_HKU/11.local_all_n.sh 13 amd 32 results/model_data/profiling_HKU/profiling_beta_13_Omicron20/mlev2_mid.rds</v>
      </c>
      <c r="N36" s="1" t="s">
        <v>114</v>
      </c>
      <c r="O36" s="1">
        <v>10</v>
      </c>
      <c r="P36" s="1" t="s">
        <v>37</v>
      </c>
      <c r="Q36" s="1">
        <v>3.9</v>
      </c>
      <c r="T36" s="14">
        <v>45516</v>
      </c>
      <c r="W36" s="13" t="str">
        <f>_xlfn.CONCAT("scripts/model_fitting/profiling_HKU/12.plot_local_all_n.sh ", D36, " results/model_data/profiling_HKU/", B36, "")</f>
        <v>scripts/model_fitting/profiling_HKU/12.plot_local_all_n.sh 13 results/model_data/profiling_HKU/profiling_beta_13_Omicron20_local_1</v>
      </c>
    </row>
    <row r="37" spans="1:23" ht="51" x14ac:dyDescent="0.2">
      <c r="A37" s="4" t="s">
        <v>23</v>
      </c>
      <c r="B37" s="1" t="str">
        <f t="shared" ref="B37" si="11">_xlfn.CONCAT("profiling_beta_", D37, "_Omicron20")</f>
        <v>profiling_beta_14_Omicron20</v>
      </c>
      <c r="C37" s="1">
        <v>36</v>
      </c>
      <c r="D37" s="4">
        <v>14</v>
      </c>
      <c r="E37" s="1" t="s">
        <v>4</v>
      </c>
      <c r="F37" s="1" t="str">
        <f>_xlfn.CONCAT(B36, " (MLE v3)")</f>
        <v>profiling_beta_13_Omicron20_local_1 (MLE v3)</v>
      </c>
      <c r="G37" s="1">
        <f>L36</f>
        <v>-5141633.0156757897</v>
      </c>
      <c r="H37" s="1" t="s">
        <v>6</v>
      </c>
      <c r="I37" s="1" t="s">
        <v>19</v>
      </c>
      <c r="J37" s="1">
        <v>-5140646.3325647498</v>
      </c>
      <c r="K37" s="1">
        <v>-4972758.3215795504</v>
      </c>
      <c r="L37" s="1" t="s">
        <v>18</v>
      </c>
      <c r="M37" s="1" t="str">
        <f>_xlfn.CONCAT("scripts/model_fitting/profiling_HKU/1.profile_beta_n.sh results/model_data/profiling_HKU/",B36, "/mle_mid.rds ", D37, " amd 32")</f>
        <v>scripts/model_fitting/profiling_HKU/1.profile_beta_n.sh results/model_data/profiling_HKU/profiling_beta_13_Omicron20_local_1/mle_mid.rds 14 amd 32</v>
      </c>
      <c r="N37" s="1" t="s">
        <v>117</v>
      </c>
      <c r="T37" s="14">
        <v>45516</v>
      </c>
      <c r="U37" s="1" t="s">
        <v>116</v>
      </c>
      <c r="W37" s="13" t="str">
        <f>_xlfn.CONCAT("scripts/model_fitting/profiling_HKU/2.plot_profile_beta_n.sh ", D37)</f>
        <v>scripts/model_fitting/profiling_HKU/2.plot_profile_beta_n.sh 14</v>
      </c>
    </row>
    <row r="38" spans="1:23" ht="68" x14ac:dyDescent="0.2">
      <c r="A38" s="4" t="s">
        <v>24</v>
      </c>
      <c r="B38" s="1" t="str">
        <f>_xlfn.CONCAT("profiling_shared_", D38, "_Omicron20")</f>
        <v>profiling_shared_15_Omicron20</v>
      </c>
      <c r="C38" s="1">
        <v>37</v>
      </c>
      <c r="D38" s="4">
        <v>15</v>
      </c>
      <c r="E38" s="1" t="s">
        <v>4</v>
      </c>
      <c r="F38" s="1" t="str">
        <f>_xlfn.CONCAT(B36, " (MLE v2)")</f>
        <v>profiling_beta_13_Omicron20_local_1 (MLE v2)</v>
      </c>
      <c r="G38" s="1">
        <f>K37</f>
        <v>-4972758.3215795504</v>
      </c>
      <c r="H38" s="1" t="s">
        <v>118</v>
      </c>
      <c r="I38" s="1" t="s">
        <v>19</v>
      </c>
      <c r="J38" s="1">
        <v>-5276459.2375546703</v>
      </c>
      <c r="K38" s="1">
        <v>-4962206.8929007202</v>
      </c>
      <c r="L38" s="1" t="s">
        <v>18</v>
      </c>
      <c r="M38" s="1" t="str">
        <f>_xlfn.CONCAT("scripts/model_fitting/profiling_HKU/5.profile_shared_n.sh  results/model_data/profiling_HKU/",B37, "/mlev2_mid.rds ", D38, " amd 32")</f>
        <v>scripts/model_fitting/profiling_HKU/5.profile_shared_n.sh  results/model_data/profiling_HKU/profiling_beta_14_Omicron20/mlev2_mid.rds 15 amd 32</v>
      </c>
      <c r="N38" s="1" t="s">
        <v>119</v>
      </c>
      <c r="T38" s="14">
        <v>45516</v>
      </c>
      <c r="U38" s="1" t="s">
        <v>78</v>
      </c>
      <c r="V38" s="1" t="s">
        <v>120</v>
      </c>
      <c r="W38" s="13" t="str">
        <f>_xlfn.CONCAT("scripts/model_fitting/profiling_HKU/6.plot_profile_shared_n.sh ", D38)</f>
        <v>scripts/model_fitting/profiling_HKU/6.plot_profile_shared_n.sh 15</v>
      </c>
    </row>
    <row r="39" spans="1:23" ht="51" x14ac:dyDescent="0.2">
      <c r="A39" s="4" t="s">
        <v>24</v>
      </c>
      <c r="B39" s="1" t="str">
        <f>_xlfn.CONCAT("profiling_shared_", D39, "_Omicron20")</f>
        <v>profiling_shared_16_Omicron20</v>
      </c>
      <c r="C39" s="1">
        <v>38</v>
      </c>
      <c r="D39" s="4">
        <v>16</v>
      </c>
      <c r="E39" s="1" t="s">
        <v>4</v>
      </c>
      <c r="F39" s="1" t="str">
        <f>_xlfn.CONCAT(B37, " (MLE v2)")</f>
        <v>profiling_beta_14_Omicron20 (MLE v2)</v>
      </c>
      <c r="G39" s="1">
        <f>K38</f>
        <v>-4962206.8929007202</v>
      </c>
      <c r="H39" s="1" t="s">
        <v>20</v>
      </c>
      <c r="I39" s="1" t="s">
        <v>19</v>
      </c>
      <c r="J39" s="1">
        <v>-5638873.2434335696</v>
      </c>
      <c r="K39" s="1">
        <v>-4809328.59338482</v>
      </c>
      <c r="L39" s="1" t="s">
        <v>18</v>
      </c>
      <c r="M39" s="1" t="str">
        <f>_xlfn.CONCAT("scripts/model_fitting/profiling_HKU/5.profile_shared_n.sh  results/model_data/profiling_HKU/",B38, "/mlev2_mid.rds ", D39, " amd 32")</f>
        <v>scripts/model_fitting/profiling_HKU/5.profile_shared_n.sh  results/model_data/profiling_HKU/profiling_shared_15_Omicron20/mlev2_mid.rds 16 amd 32</v>
      </c>
      <c r="N39" s="1" t="s">
        <v>122</v>
      </c>
      <c r="T39" s="14">
        <v>45516</v>
      </c>
      <c r="U39" s="1" t="s">
        <v>123</v>
      </c>
      <c r="W39" s="13" t="str">
        <f>_xlfn.CONCAT("scripts/model_fitting/profiling_HKU/6.plot_profile_shared_n.sh ", D39)</f>
        <v>scripts/model_fitting/profiling_HKU/6.plot_profile_shared_n.sh 16</v>
      </c>
    </row>
    <row r="40" spans="1:23" ht="85" x14ac:dyDescent="0.2">
      <c r="A40" s="4" t="s">
        <v>25</v>
      </c>
      <c r="B40" s="13" t="str">
        <f>_xlfn.CONCAT("profiling_shared_", D40, "_Omicron20_local_1")</f>
        <v>profiling_shared_16_Omicron20_local_1</v>
      </c>
      <c r="C40" s="1">
        <v>39</v>
      </c>
      <c r="D40" s="4">
        <v>16</v>
      </c>
      <c r="E40" s="1" t="s">
        <v>5</v>
      </c>
      <c r="F40" s="1" t="str">
        <f>_xlfn.CONCAT(B39, " (MLE v2)")</f>
        <v>profiling_shared_16_Omicron20 (MLE v2)</v>
      </c>
      <c r="G40" s="1">
        <f>K39</f>
        <v>-4809328.59338482</v>
      </c>
      <c r="H40" s="1" t="s">
        <v>21</v>
      </c>
      <c r="I40" s="1" t="s">
        <v>125</v>
      </c>
      <c r="J40" s="1" t="s">
        <v>18</v>
      </c>
      <c r="K40" s="1" t="s">
        <v>18</v>
      </c>
      <c r="L40" s="1">
        <v>-4918833.2130759899</v>
      </c>
      <c r="M40" s="1" t="str">
        <f>_xlfn.CONCAT("scripts/model_fitting/profiling_HKU/11.local_all_n.sh ",D40," amd 32 results/model_data/profiling_HKU/",B39,"/mlev2_mid.rds")</f>
        <v>scripts/model_fitting/profiling_HKU/11.local_all_n.sh 16 amd 32 results/model_data/profiling_HKU/profiling_shared_16_Omicron20/mlev2_mid.rds</v>
      </c>
      <c r="N40" s="1" t="s">
        <v>124</v>
      </c>
      <c r="O40" s="1">
        <v>10</v>
      </c>
      <c r="P40" s="1" t="s">
        <v>37</v>
      </c>
      <c r="Q40" s="1">
        <v>3.9</v>
      </c>
      <c r="T40" s="14">
        <v>45517</v>
      </c>
      <c r="W40" s="13" t="str">
        <f>_xlfn.CONCAT("scripts/model_fitting/profiling_HKU/12.plot_local_all_n.sh ", D40, " results/model_data/profiling_HKU/", B40, "")</f>
        <v>scripts/model_fitting/profiling_HKU/12.plot_local_all_n.sh 16 results/model_data/profiling_HKU/profiling_shared_16_Omicron20_local_1</v>
      </c>
    </row>
    <row r="41" spans="1:23" ht="51" x14ac:dyDescent="0.2">
      <c r="A41" s="4" t="s">
        <v>23</v>
      </c>
      <c r="B41" s="1" t="str">
        <f t="shared" ref="B41" si="12">_xlfn.CONCAT("profiling_beta_", D41, "_Omicron20")</f>
        <v>profiling_beta_15_Omicron20</v>
      </c>
      <c r="C41" s="1">
        <v>40</v>
      </c>
      <c r="D41" s="4">
        <v>15</v>
      </c>
      <c r="E41" s="1" t="s">
        <v>4</v>
      </c>
      <c r="F41" s="1" t="str">
        <f>_xlfn.CONCAT(B40, " (MLE v3)")</f>
        <v>profiling_shared_16_Omicron20_local_1 (MLE v3)</v>
      </c>
      <c r="G41" s="1">
        <f>L40</f>
        <v>-4918833.2130759899</v>
      </c>
      <c r="H41" s="1" t="s">
        <v>6</v>
      </c>
      <c r="I41" s="1" t="s">
        <v>19</v>
      </c>
      <c r="J41" s="1">
        <v>-5185956.4632139504</v>
      </c>
      <c r="K41" s="1">
        <v>-4766847.2532600602</v>
      </c>
      <c r="L41" s="1" t="s">
        <v>18</v>
      </c>
      <c r="M41" s="1" t="str">
        <f>_xlfn.CONCAT("scripts/model_fitting/profiling_HKU/1.profile_beta_n.sh results/model_data/profiling_HKU/",B40, "/mle_mid.rds ", D41, " amd 32")</f>
        <v>scripts/model_fitting/profiling_HKU/1.profile_beta_n.sh results/model_data/profiling_HKU/profiling_shared_16_Omicron20_local_1/mle_mid.rds 15 amd 32</v>
      </c>
      <c r="N41" s="1" t="s">
        <v>127</v>
      </c>
      <c r="T41" s="14">
        <v>45518</v>
      </c>
      <c r="U41" s="1" t="s">
        <v>126</v>
      </c>
      <c r="W41" s="13" t="str">
        <f>_xlfn.CONCAT("scripts/model_fitting/profiling_HKU/2.plot_profile_beta_n.sh ", D41)</f>
        <v>scripts/model_fitting/profiling_HKU/2.plot_profile_beta_n.sh 15</v>
      </c>
    </row>
    <row r="42" spans="1:23" s="10" customFormat="1" x14ac:dyDescent="0.2">
      <c r="A42" s="11"/>
      <c r="D42" s="11"/>
      <c r="T42" s="12"/>
    </row>
    <row r="43" spans="1:23" x14ac:dyDescent="0.2">
      <c r="A43" s="4"/>
      <c r="D43" s="4"/>
    </row>
    <row r="44" spans="1:23" x14ac:dyDescent="0.2">
      <c r="A44" s="4"/>
      <c r="D44" s="4"/>
    </row>
    <row r="45" spans="1:23" x14ac:dyDescent="0.2">
      <c r="A45" s="4"/>
      <c r="D45" s="4"/>
    </row>
    <row r="46" spans="1:23" x14ac:dyDescent="0.2">
      <c r="A46" s="4"/>
      <c r="D46" s="4"/>
    </row>
    <row r="50" spans="1:4" x14ac:dyDescent="0.2">
      <c r="A50" s="4"/>
      <c r="D50" s="4"/>
    </row>
    <row r="51" spans="1:4" x14ac:dyDescent="0.2">
      <c r="A51" s="4"/>
      <c r="D51" s="4"/>
    </row>
    <row r="54" spans="1:4" x14ac:dyDescent="0.2">
      <c r="A54" s="25"/>
    </row>
    <row r="55" spans="1:4" x14ac:dyDescent="0.2">
      <c r="A55" s="25"/>
    </row>
  </sheetData>
  <mergeCells count="4">
    <mergeCell ref="A54:A55"/>
    <mergeCell ref="A2:A13"/>
    <mergeCell ref="A14:A24"/>
    <mergeCell ref="A25:A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520C9-D0C7-EF48-817A-66CFD607459B}">
  <dimension ref="A1:W12"/>
  <sheetViews>
    <sheetView topLeftCell="A5" zoomScale="75" workbookViewId="0">
      <selection activeCell="A12" sqref="A12:XFD12"/>
    </sheetView>
  </sheetViews>
  <sheetFormatPr baseColWidth="10" defaultRowHeight="16" x14ac:dyDescent="0.2"/>
  <cols>
    <col min="2" max="2" width="23.5" customWidth="1"/>
    <col min="3" max="4" width="11" bestFit="1" customWidth="1"/>
    <col min="7" max="7" width="28.5" customWidth="1"/>
    <col min="9" max="9" width="13.6640625" bestFit="1" customWidth="1"/>
    <col min="10" max="10" width="11" bestFit="1" customWidth="1"/>
    <col min="13" max="14" width="13.6640625" bestFit="1" customWidth="1"/>
    <col min="16" max="16" width="13.6640625" bestFit="1" customWidth="1"/>
    <col min="17" max="17" width="50.33203125" customWidth="1"/>
    <col min="18" max="18" width="31.83203125" customWidth="1"/>
    <col min="22" max="22" width="22.83203125" customWidth="1"/>
  </cols>
  <sheetData>
    <row r="1" spans="1:23" ht="136" x14ac:dyDescent="0.2">
      <c r="A1" s="1" t="s">
        <v>22</v>
      </c>
      <c r="B1" s="1" t="s">
        <v>0</v>
      </c>
      <c r="C1" s="1" t="s">
        <v>3</v>
      </c>
      <c r="D1" s="1" t="s">
        <v>137</v>
      </c>
      <c r="E1" s="1" t="s">
        <v>1</v>
      </c>
      <c r="F1" s="1" t="s">
        <v>133</v>
      </c>
      <c r="G1" s="1" t="s">
        <v>11</v>
      </c>
      <c r="H1" s="1" t="s">
        <v>130</v>
      </c>
      <c r="I1" s="1" t="s">
        <v>177</v>
      </c>
      <c r="J1" s="1" t="s">
        <v>146</v>
      </c>
      <c r="K1" s="1" t="s">
        <v>131</v>
      </c>
      <c r="L1" s="1" t="s">
        <v>147</v>
      </c>
      <c r="M1" s="1" t="s">
        <v>9</v>
      </c>
      <c r="N1" s="1" t="s">
        <v>10</v>
      </c>
      <c r="O1" s="1" t="s">
        <v>181</v>
      </c>
      <c r="P1" s="1" t="s">
        <v>184</v>
      </c>
      <c r="Q1" s="1" t="s">
        <v>44</v>
      </c>
      <c r="R1" s="1" t="s">
        <v>97</v>
      </c>
      <c r="S1" s="1" t="s">
        <v>7</v>
      </c>
      <c r="T1" s="1" t="s">
        <v>26</v>
      </c>
      <c r="U1" s="1" t="s">
        <v>139</v>
      </c>
      <c r="V1" s="1" t="s">
        <v>85</v>
      </c>
      <c r="W1" s="1" t="s">
        <v>161</v>
      </c>
    </row>
    <row r="2" spans="1:23" ht="85" x14ac:dyDescent="0.2">
      <c r="A2" s="15" t="s">
        <v>23</v>
      </c>
      <c r="B2" s="1" t="str">
        <f>_xlfn.CONCAT("profiling_", F2, "_", D2, "")</f>
        <v>profiling_unit_1</v>
      </c>
      <c r="C2" s="1">
        <v>1</v>
      </c>
      <c r="D2" s="1">
        <v>1</v>
      </c>
      <c r="E2" s="1" t="s">
        <v>4</v>
      </c>
      <c r="F2" s="1" t="s">
        <v>134</v>
      </c>
      <c r="G2" s="1" t="s">
        <v>128</v>
      </c>
      <c r="H2" s="1" t="s">
        <v>129</v>
      </c>
      <c r="I2" s="1" t="s">
        <v>18</v>
      </c>
      <c r="J2" s="1">
        <f>_xlfn.SWITCH(F2, "unit", 29, "shared", 20)</f>
        <v>29</v>
      </c>
      <c r="K2" s="1" t="s">
        <v>132</v>
      </c>
      <c r="L2" s="1" t="s">
        <v>148</v>
      </c>
      <c r="M2" s="1">
        <v>-7924579.9548616204</v>
      </c>
      <c r="N2" s="1">
        <v>-7516558.39426436</v>
      </c>
      <c r="O2" s="1">
        <v>-7713754.7873497801</v>
      </c>
      <c r="P2" s="1" t="s">
        <v>18</v>
      </c>
      <c r="Q2" s="1" t="str">
        <f>_xlfn.CONCAT("scripts/model_fitting/profiling_HKU/1.profile_n.sh ","results/model_data/profiling_HKU/Omicron20/burn_in/profiling_shared_17_Omicron20/mlev2_mid.rds ", F2, " ", D2, " amd ", _xlfn.SWITCH(K2, "low", 32, "mid", 64, "high", 128), " ", K2, " ", L2, " M1")</f>
        <v>scripts/model_fitting/profiling_HKU/1.profile_n.sh results/model_data/profiling_HKU/Omicron20/burn_in/profiling_shared_17_Omicron20/mlev2_mid.rds unit 1 amd 32 low ubf M1</v>
      </c>
      <c r="R2" s="1" t="str">
        <f>_xlfn.CONCAT("scripts/model_fitting/profiling_HKU/2.plot_profile_n.sh ", F2, " ", D2, " M1")</f>
        <v>scripts/model_fitting/profiling_HKU/2.plot_profile_n.sh unit 1 M1</v>
      </c>
      <c r="S2" s="1" t="s">
        <v>199</v>
      </c>
      <c r="T2" s="2">
        <v>45532</v>
      </c>
      <c r="U2" s="1"/>
      <c r="V2" s="1" t="s">
        <v>198</v>
      </c>
    </row>
    <row r="3" spans="1:23" ht="51" x14ac:dyDescent="0.2">
      <c r="A3" s="16" t="s">
        <v>24</v>
      </c>
      <c r="B3" s="1" t="str">
        <f>_xlfn.CONCAT("profiling_", F3, "_", D3, "")</f>
        <v>profiling_shared_1</v>
      </c>
      <c r="C3" s="1">
        <v>2</v>
      </c>
      <c r="D3" s="1">
        <v>1</v>
      </c>
      <c r="E3" s="1" t="s">
        <v>4</v>
      </c>
      <c r="F3" s="1" t="s">
        <v>135</v>
      </c>
      <c r="G3" s="1" t="str">
        <f t="shared" ref="G3:G11" si="0">B2</f>
        <v>profiling_unit_1</v>
      </c>
      <c r="H3" s="1" t="str">
        <f>_xlfn.SWITCH(MATCH(MAX(M2:P2), M2:P2, 0), 1, "v1", 2, "v2", 3,"v3")</f>
        <v>v2</v>
      </c>
      <c r="I3" s="1">
        <f t="shared" ref="I3:I10" si="1">IF(H3="V1",M2,IF(H3="V2",N2, IF(H3="V3",  O2, P2)))</f>
        <v>-7516558.39426436</v>
      </c>
      <c r="J3" s="1">
        <f>_xlfn.SWITCH(F3, "unit", 29, "shared", 20)</f>
        <v>20</v>
      </c>
      <c r="K3" s="1" t="s">
        <v>132</v>
      </c>
      <c r="L3" s="1" t="str">
        <f>IF(E3="Local search", IF(F3="unit", "ibpf", "iubf"), IF(F3="unit", "bpf", "ubf"))</f>
        <v>ubf</v>
      </c>
      <c r="M3" s="1">
        <v>-6689623.5582746202</v>
      </c>
      <c r="N3" s="1">
        <v>-6599206.9040305698</v>
      </c>
      <c r="O3" s="1">
        <v>-7586426.5865941001</v>
      </c>
      <c r="P3" s="1" t="s">
        <v>18</v>
      </c>
      <c r="Q3" s="1" t="str">
        <f>_xlfn.CONCAT("scripts/model_fitting/profiling_HKU/1.profile_n.sh ","results/model_data/profiling_HKU/M1/",B2,"/mle",IF(H3="v3","",H3),"_",K2,".rds ",F3," ",D3," amd ",_xlfn.SWITCH(K3,"low",32,"mid",64,"high",128), " ", K3, " ", L3, " M1")</f>
        <v>scripts/model_fitting/profiling_HKU/1.profile_n.sh results/model_data/profiling_HKU/M1/profiling_unit_1/mlev2_low.rds shared 1 amd 32 low ubf M1</v>
      </c>
      <c r="R3" s="1" t="str">
        <f>_xlfn.CONCAT("scripts/model_fitting/profiling_HKU/2.plot_profile_n.sh ", F3, " ", D3, " M1")</f>
        <v>scripts/model_fitting/profiling_HKU/2.plot_profile_n.sh shared 1 M1</v>
      </c>
      <c r="S3" s="1" t="s">
        <v>204</v>
      </c>
      <c r="T3" s="2">
        <v>45532</v>
      </c>
      <c r="U3" s="1"/>
      <c r="V3" s="1"/>
    </row>
    <row r="4" spans="1:23" ht="85" x14ac:dyDescent="0.2">
      <c r="A4" s="17" t="s">
        <v>141</v>
      </c>
      <c r="B4" s="1" t="str">
        <f>_xlfn.CONCAT(B$3, "_local_", D4)</f>
        <v>profiling_shared_1_local_1</v>
      </c>
      <c r="C4" s="1">
        <v>3</v>
      </c>
      <c r="D4" s="1">
        <v>1</v>
      </c>
      <c r="E4" s="1" t="s">
        <v>5</v>
      </c>
      <c r="F4" s="1" t="s">
        <v>136</v>
      </c>
      <c r="G4" s="1" t="str">
        <f t="shared" si="0"/>
        <v>profiling_shared_1</v>
      </c>
      <c r="H4" s="1" t="str">
        <f>_xlfn.SWITCH(MATCH(MAX(M3:P3), M3:P3, 0), 1, "v1", 2, "v2", 3,"v3")</f>
        <v>v2</v>
      </c>
      <c r="I4" s="1">
        <f t="shared" si="1"/>
        <v>-6599206.9040305698</v>
      </c>
      <c r="J4" s="1">
        <v>23</v>
      </c>
      <c r="K4" s="1" t="s">
        <v>132</v>
      </c>
      <c r="L4" s="1" t="str">
        <f>IF(E4="Local search", IF(F4="unit", "ibpf", "iubf"), IF(F4="unit", "bpf", "ubf"))</f>
        <v>iubf</v>
      </c>
      <c r="M4" s="1" t="s">
        <v>18</v>
      </c>
      <c r="N4" s="1" t="s">
        <v>18</v>
      </c>
      <c r="O4" s="1" t="s">
        <v>18</v>
      </c>
      <c r="P4" s="1">
        <v>-6149245.4130307501</v>
      </c>
      <c r="Q4" s="1" t="str">
        <f>_xlfn.CONCAT("scripts/model_fitting/profiling_HKU/3.local_n.sh ", "results/model_data/profiling_HKU/M1/", B3, "/mle", IF(H4="v3","",H4), "_", K3, ".rds ", F4, " ", D4, " amd ", 32, " ", K4, " ", L4, " M1")</f>
        <v>scripts/model_fitting/profiling_HKU/3.local_n.sh results/model_data/profiling_HKU/M1/profiling_shared_1/mlev2_low.rds all 1 amd 32 low iubf M1</v>
      </c>
      <c r="R4" s="1" t="str">
        <f>_xlfn.CONCAT("scripts/model_fitting/profiling_HKU/4.plot_local_n.sh ", "results/model_data/profiling_HKU/M1/", B4, "/ ", " M1")</f>
        <v>scripts/model_fitting/profiling_HKU/4.plot_local_n.sh results/model_data/profiling_HKU/M1/profiling_shared_1_local_1/  M1</v>
      </c>
      <c r="S4" s="1" t="s">
        <v>203</v>
      </c>
      <c r="T4" s="2">
        <v>45533</v>
      </c>
      <c r="U4" s="1"/>
      <c r="V4" s="1"/>
    </row>
    <row r="5" spans="1:23" ht="85" x14ac:dyDescent="0.2">
      <c r="A5" s="17" t="s">
        <v>141</v>
      </c>
      <c r="B5" s="1" t="str">
        <f>_xlfn.CONCAT(B$3, "_local_", D5)</f>
        <v>profiling_shared_1_local_2</v>
      </c>
      <c r="C5" s="1">
        <v>4</v>
      </c>
      <c r="D5" s="1">
        <v>2</v>
      </c>
      <c r="E5" s="1" t="s">
        <v>5</v>
      </c>
      <c r="F5" s="1" t="s">
        <v>136</v>
      </c>
      <c r="G5" s="1" t="str">
        <f t="shared" si="0"/>
        <v>profiling_shared_1_local_1</v>
      </c>
      <c r="H5" s="1" t="str">
        <f>_xlfn.SWITCH(MATCH(MAX(M4:P4), M4:P4, 0), 1, "v1", 2, "v2", 3,"v3", 4, "local" )</f>
        <v>local</v>
      </c>
      <c r="I5" s="1">
        <f t="shared" si="1"/>
        <v>-6149245.4130307501</v>
      </c>
      <c r="J5" s="1">
        <v>19</v>
      </c>
      <c r="K5" s="1" t="s">
        <v>132</v>
      </c>
      <c r="L5" s="1" t="str">
        <f>IF(E5="Local search", IF(F5="unit", "ibpf", "iubf"), IF(F5="unit", "bpf", "ubf"))</f>
        <v>iubf</v>
      </c>
      <c r="M5" s="1" t="s">
        <v>18</v>
      </c>
      <c r="N5" s="1" t="s">
        <v>18</v>
      </c>
      <c r="O5" s="1" t="s">
        <v>18</v>
      </c>
      <c r="P5" s="1">
        <v>-5884932.2449870603</v>
      </c>
      <c r="Q5" s="1" t="str">
        <f>_xlfn.CONCAT("scripts/model_fitting/profiling_HKU/3.local_n.sh ", "results/model_data/profiling_HKU/M1/", B4, "/mle", IF(H5="local","",H5), "_", K4, ".rds ", F5, " ", D5, " amd ", 32, " ", K5, " ", L5, " M1")</f>
        <v>scripts/model_fitting/profiling_HKU/3.local_n.sh results/model_data/profiling_HKU/M1/profiling_shared_1_local_1/mle_low.rds all 2 amd 32 low iubf M1</v>
      </c>
      <c r="R5" s="1" t="str">
        <f>_xlfn.CONCAT("scripts/model_fitting/profiling_HKU/4.plot_local_n.sh ", "results/model_data/profiling_HKU/M1/", B5, "/ ", " M1")</f>
        <v>scripts/model_fitting/profiling_HKU/4.plot_local_n.sh results/model_data/profiling_HKU/M1/profiling_shared_1_local_2/  M1</v>
      </c>
      <c r="S5" s="1" t="s">
        <v>205</v>
      </c>
      <c r="T5" s="2">
        <v>45533</v>
      </c>
      <c r="U5" s="1"/>
      <c r="V5" s="1"/>
    </row>
    <row r="6" spans="1:23" ht="85" x14ac:dyDescent="0.2">
      <c r="A6" s="17" t="s">
        <v>141</v>
      </c>
      <c r="B6" s="1" t="str">
        <f>_xlfn.CONCAT(B$3, "_local_", D6)</f>
        <v>profiling_shared_1_local_3</v>
      </c>
      <c r="C6" s="1">
        <v>5</v>
      </c>
      <c r="D6" s="1">
        <v>3</v>
      </c>
      <c r="E6" s="1" t="s">
        <v>5</v>
      </c>
      <c r="F6" s="1" t="s">
        <v>136</v>
      </c>
      <c r="G6" s="1" t="str">
        <f t="shared" si="0"/>
        <v>profiling_shared_1_local_2</v>
      </c>
      <c r="H6" s="1" t="str">
        <f t="shared" ref="H6:H10" si="2">_xlfn.SWITCH(MATCH(MAX(M5:P5), M5:P5, 0), 1, "v1", 2, "v2", 3,"v3", 4, "local" )</f>
        <v>local</v>
      </c>
      <c r="I6" s="1">
        <f t="shared" si="1"/>
        <v>-5884932.2449870603</v>
      </c>
      <c r="J6" s="1">
        <v>36</v>
      </c>
      <c r="K6" s="1" t="s">
        <v>132</v>
      </c>
      <c r="L6" s="1" t="s">
        <v>149</v>
      </c>
      <c r="M6" s="1" t="s">
        <v>18</v>
      </c>
      <c r="N6" s="1" t="s">
        <v>18</v>
      </c>
      <c r="O6" s="1" t="s">
        <v>18</v>
      </c>
      <c r="P6" s="1">
        <v>-5857688.4440641804</v>
      </c>
      <c r="Q6" s="1" t="str">
        <f>_xlfn.CONCAT("scripts/model_fitting/profiling_HKU/3.local_n.sh ", "results/model_data/profiling_HKU/M1/", B5, "/mle", IF(H6="local","",H6), "_", K5, ".rds ", F6, " ", D6, " amd ", 32, " ", K6, " ", L6, " M1")</f>
        <v>scripts/model_fitting/profiling_HKU/3.local_n.sh results/model_data/profiling_HKU/M1/profiling_shared_1_local_2/mle_low.rds all 3 amd 32 low ibpf M1</v>
      </c>
      <c r="R6" s="1" t="str">
        <f>_xlfn.CONCAT("scripts/model_fitting/profiling_HKU/4.plot_local_n.sh ", "results/model_data/profiling_HKU/M1/", B6, "/ ", " M1")</f>
        <v>scripts/model_fitting/profiling_HKU/4.plot_local_n.sh results/model_data/profiling_HKU/M1/profiling_shared_1_local_3/  M1</v>
      </c>
      <c r="S6" s="1" t="s">
        <v>207</v>
      </c>
      <c r="T6" s="2">
        <v>45533</v>
      </c>
      <c r="U6" s="1"/>
      <c r="V6" s="1"/>
    </row>
    <row r="7" spans="1:23" ht="85" x14ac:dyDescent="0.2">
      <c r="A7" s="17" t="s">
        <v>141</v>
      </c>
      <c r="B7" s="1" t="str">
        <f>_xlfn.CONCAT(B$3, "_local_", D7)</f>
        <v>profiling_shared_1_local_4</v>
      </c>
      <c r="C7" s="1">
        <v>6</v>
      </c>
      <c r="D7" s="1">
        <v>4</v>
      </c>
      <c r="E7" s="1" t="s">
        <v>5</v>
      </c>
      <c r="F7" s="1" t="s">
        <v>135</v>
      </c>
      <c r="G7" s="1" t="str">
        <f t="shared" si="0"/>
        <v>profiling_shared_1_local_3</v>
      </c>
      <c r="H7" s="1" t="str">
        <f t="shared" si="2"/>
        <v>local</v>
      </c>
      <c r="I7" s="1">
        <f t="shared" si="1"/>
        <v>-5857688.4440641804</v>
      </c>
      <c r="J7" s="1">
        <v>17</v>
      </c>
      <c r="K7" s="1" t="s">
        <v>132</v>
      </c>
      <c r="L7" s="1" t="str">
        <f t="shared" ref="L7:L11" si="3">IF(E7="Local search", IF(F7="unit", "ibpf", "iubf"), IF(F7="unit", "bpf", "ubf"))</f>
        <v>iubf</v>
      </c>
      <c r="M7" s="1" t="s">
        <v>18</v>
      </c>
      <c r="N7" s="1" t="s">
        <v>18</v>
      </c>
      <c r="O7" s="1" t="s">
        <v>18</v>
      </c>
      <c r="P7" s="1">
        <v>-5598670.6603015102</v>
      </c>
      <c r="Q7" s="1" t="str">
        <f>_xlfn.CONCAT("scripts/model_fitting/profiling_HKU/3.local_n.sh ", "results/model_data/profiling_HKU/M1/", B6, "/mle", IF(H7="local","",H7), "_", K6, ".rds ", F7, " ", D7, " amd ", 32, " ", K7, " ", L7, " M1")</f>
        <v>scripts/model_fitting/profiling_HKU/3.local_n.sh results/model_data/profiling_HKU/M1/profiling_shared_1_local_3/mle_low.rds shared 4 amd 32 low iubf M1</v>
      </c>
      <c r="R7" s="1" t="str">
        <f>_xlfn.CONCAT("scripts/model_fitting/profiling_HKU/4.plot_local_n.sh ", "results/model_data/profiling_HKU/M1/", B7, "/ ", " M1")</f>
        <v>scripts/model_fitting/profiling_HKU/4.plot_local_n.sh results/model_data/profiling_HKU/M1/profiling_shared_1_local_4/  M1</v>
      </c>
      <c r="S7" s="1" t="s">
        <v>208</v>
      </c>
      <c r="T7" s="2">
        <v>45533</v>
      </c>
      <c r="U7" s="1"/>
      <c r="V7" s="1"/>
    </row>
    <row r="8" spans="1:23" ht="68" x14ac:dyDescent="0.2">
      <c r="A8" s="15" t="s">
        <v>23</v>
      </c>
      <c r="B8" s="1" t="str">
        <f>_xlfn.CONCAT("profiling_", F8, "_", D8, "")</f>
        <v>profiling_unit_2</v>
      </c>
      <c r="C8" s="1">
        <v>7</v>
      </c>
      <c r="D8" s="1">
        <v>2</v>
      </c>
      <c r="E8" s="1" t="s">
        <v>4</v>
      </c>
      <c r="F8" s="1" t="s">
        <v>134</v>
      </c>
      <c r="G8" s="1" t="str">
        <f t="shared" si="0"/>
        <v>profiling_shared_1_local_4</v>
      </c>
      <c r="H8" s="1" t="str">
        <f t="shared" si="2"/>
        <v>local</v>
      </c>
      <c r="I8" s="1">
        <f t="shared" si="1"/>
        <v>-5598670.6603015102</v>
      </c>
      <c r="J8" s="1">
        <f>_xlfn.SWITCH(F8, "unit", 29, "shared", 20)</f>
        <v>29</v>
      </c>
      <c r="K8" s="1" t="s">
        <v>132</v>
      </c>
      <c r="L8" s="1" t="str">
        <f t="shared" si="3"/>
        <v>bpf</v>
      </c>
      <c r="M8" s="1">
        <v>-6523358.1076143598</v>
      </c>
      <c r="N8" s="1">
        <v>-5494418.5453479197</v>
      </c>
      <c r="O8" s="1">
        <v>-6690661.5532372398</v>
      </c>
      <c r="P8" s="1" t="s">
        <v>18</v>
      </c>
      <c r="Q8" s="1" t="str">
        <f>_xlfn.CONCAT("scripts/model_fitting/profiling_HKU/1.profile_n.sh ","results/model_data/profiling_HKU/M1/",B7,"/mle",IF(H8="local","",H8),"_",K7,".rds ",F8," ",D8," amd ",_xlfn.SWITCH(K8,"low",32,"mid",64,"high",128), " ", K8, " ", L8, " M1")</f>
        <v>scripts/model_fitting/profiling_HKU/1.profile_n.sh results/model_data/profiling_HKU/M1/profiling_shared_1_local_4/mle_low.rds unit 2 amd 32 low bpf M1</v>
      </c>
      <c r="R8" s="1" t="str">
        <f>_xlfn.CONCAT("scripts/model_fitting/profiling_HKU/2.plot_profile_n.sh ", F8, " ", D8, " M1")</f>
        <v>scripts/model_fitting/profiling_HKU/2.plot_profile_n.sh unit 2 M1</v>
      </c>
      <c r="S8" s="1" t="s">
        <v>209</v>
      </c>
      <c r="T8" s="2">
        <v>45533</v>
      </c>
      <c r="U8" s="1"/>
      <c r="V8" s="1"/>
    </row>
    <row r="9" spans="1:23" ht="51" x14ac:dyDescent="0.2">
      <c r="A9" s="16" t="s">
        <v>24</v>
      </c>
      <c r="B9" s="1" t="str">
        <f>_xlfn.CONCAT("profiling_", F9, "_", D9, "")</f>
        <v>profiling_shared_2</v>
      </c>
      <c r="C9" s="1">
        <v>8</v>
      </c>
      <c r="D9" s="1">
        <v>2</v>
      </c>
      <c r="E9" s="1" t="s">
        <v>4</v>
      </c>
      <c r="F9" s="1" t="s">
        <v>135</v>
      </c>
      <c r="G9" s="1" t="str">
        <f t="shared" si="0"/>
        <v>profiling_unit_2</v>
      </c>
      <c r="H9" s="1" t="str">
        <f t="shared" si="2"/>
        <v>v2</v>
      </c>
      <c r="I9" s="1">
        <f t="shared" si="1"/>
        <v>-5494418.5453479197</v>
      </c>
      <c r="J9" s="1">
        <f>_xlfn.SWITCH(F9, "unit", 29, "shared", 20)</f>
        <v>20</v>
      </c>
      <c r="K9" s="1" t="s">
        <v>132</v>
      </c>
      <c r="L9" s="1" t="str">
        <f t="shared" si="3"/>
        <v>ubf</v>
      </c>
      <c r="M9" s="1">
        <v>-5354008.6920487098</v>
      </c>
      <c r="N9" s="1">
        <v>-5300680.7555953497</v>
      </c>
      <c r="O9" s="1">
        <v>-5586872.5725550801</v>
      </c>
      <c r="P9" s="1" t="s">
        <v>18</v>
      </c>
      <c r="Q9" s="1" t="str">
        <f>_xlfn.CONCAT("scripts/model_fitting/profiling_HKU/1.profile_n.sh ","results/model_data/profiling_HKU/M1/",B8,"/mle",IF(H9="local","",H9),"_",K8,".rds ",F9," ",D9," amd ",_xlfn.SWITCH(K9,"low",32,"mid",64,"high",128), " ", K9, " ", L9, " M1")</f>
        <v>scripts/model_fitting/profiling_HKU/1.profile_n.sh results/model_data/profiling_HKU/M1/profiling_unit_2/mlev2_low.rds shared 2 amd 32 low ubf M1</v>
      </c>
      <c r="R9" s="1" t="str">
        <f>_xlfn.CONCAT("scripts/model_fitting/profiling_HKU/2.plot_profile_n.sh ", F9, " ", D9, " M1")</f>
        <v>scripts/model_fitting/profiling_HKU/2.plot_profile_n.sh shared 2 M1</v>
      </c>
      <c r="S9" s="1" t="s">
        <v>210</v>
      </c>
      <c r="T9" s="2">
        <v>45533</v>
      </c>
      <c r="U9" s="1"/>
      <c r="V9" s="1"/>
    </row>
    <row r="10" spans="1:23" ht="85" x14ac:dyDescent="0.2">
      <c r="A10" s="17" t="s">
        <v>141</v>
      </c>
      <c r="B10" s="1" t="str">
        <f>_xlfn.CONCAT(B$9, "_local_", D10)</f>
        <v>profiling_shared_2_local_1</v>
      </c>
      <c r="C10" s="1">
        <v>9</v>
      </c>
      <c r="D10" s="1">
        <v>1</v>
      </c>
      <c r="E10" s="1" t="s">
        <v>5</v>
      </c>
      <c r="F10" s="1" t="s">
        <v>134</v>
      </c>
      <c r="G10" s="1" t="str">
        <f t="shared" si="0"/>
        <v>profiling_shared_2</v>
      </c>
      <c r="H10" s="1" t="str">
        <f t="shared" si="2"/>
        <v>v2</v>
      </c>
      <c r="I10" s="1">
        <f t="shared" si="1"/>
        <v>-5300680.7555953497</v>
      </c>
      <c r="J10" s="1">
        <v>21</v>
      </c>
      <c r="K10" s="1" t="s">
        <v>132</v>
      </c>
      <c r="L10" s="1" t="str">
        <f t="shared" si="3"/>
        <v>ibpf</v>
      </c>
      <c r="M10" s="1" t="s">
        <v>18</v>
      </c>
      <c r="N10" s="1" t="s">
        <v>18</v>
      </c>
      <c r="O10" s="1" t="s">
        <v>18</v>
      </c>
      <c r="P10" s="1">
        <v>-5269777.6102565704</v>
      </c>
      <c r="Q10" s="1" t="str">
        <f>_xlfn.CONCAT("scripts/model_fitting/profiling_HKU/3.local_n.sh ", "results/model_data/profiling_HKU/M1/", B9, "/mle", IF(H10="local","",H10), "_", K9, ".rds ", F10, " ", D10, " amd ", 32, " ", K10, " ", L10, " M1")</f>
        <v>scripts/model_fitting/profiling_HKU/3.local_n.sh results/model_data/profiling_HKU/M1/profiling_shared_2/mlev2_low.rds unit 1 amd 32 low ibpf M1</v>
      </c>
      <c r="R10" s="1" t="str">
        <f>_xlfn.CONCAT("scripts/model_fitting/profiling_HKU/4.plot_local_n.sh ", "results/model_data/profiling_HKU/M1/", B10, "/ ", " M1")</f>
        <v>scripts/model_fitting/profiling_HKU/4.plot_local_n.sh results/model_data/profiling_HKU/M1/profiling_shared_2_local_1/  M1</v>
      </c>
      <c r="S10" s="1" t="s">
        <v>211</v>
      </c>
      <c r="T10" s="2">
        <v>45533</v>
      </c>
      <c r="U10" s="1"/>
    </row>
    <row r="11" spans="1:23" ht="85" x14ac:dyDescent="0.2">
      <c r="A11" s="17" t="s">
        <v>141</v>
      </c>
      <c r="B11" s="1" t="str">
        <f>_xlfn.CONCAT(B$9, "_local_", D11)</f>
        <v>profiling_shared_2_local_2</v>
      </c>
      <c r="C11" s="1">
        <v>10</v>
      </c>
      <c r="D11" s="1">
        <v>2</v>
      </c>
      <c r="E11" s="1" t="s">
        <v>5</v>
      </c>
      <c r="F11" s="1" t="s">
        <v>135</v>
      </c>
      <c r="G11" s="1" t="str">
        <f t="shared" si="0"/>
        <v>profiling_shared_2_local_1</v>
      </c>
      <c r="H11" s="1" t="str">
        <f>_xlfn.SWITCH(MATCH(MAX(M10:P10), M10:P10, 0), 1, "v1", 2, "v2", 3,"v3", 4, "local" )</f>
        <v>local</v>
      </c>
      <c r="I11" s="1">
        <f>IF(H11="V1",M10,IF(H11="V2",N10, IF(H11="V3",  O10, P10)))</f>
        <v>-5269777.6102565704</v>
      </c>
      <c r="J11" s="1">
        <v>30</v>
      </c>
      <c r="K11" s="1" t="s">
        <v>132</v>
      </c>
      <c r="L11" s="1" t="str">
        <f t="shared" si="3"/>
        <v>iubf</v>
      </c>
      <c r="M11" s="1" t="s">
        <v>18</v>
      </c>
      <c r="N11" s="1" t="s">
        <v>18</v>
      </c>
      <c r="O11" s="1" t="s">
        <v>18</v>
      </c>
      <c r="P11" s="1">
        <v>-5221950.2845636699</v>
      </c>
      <c r="Q11" s="1" t="str">
        <f>_xlfn.CONCAT("scripts/model_fitting/profiling_HKU/3.local_n.sh ", "results/model_data/profiling_HKU/M1/", B10, "/mle", IF(H11="local","",H11), "_", K10, ".rds ", F11, " ", D11, " amd ", 32, " ", K11, " ", L11, " M1")</f>
        <v>scripts/model_fitting/profiling_HKU/3.local_n.sh results/model_data/profiling_HKU/M1/profiling_shared_2_local_1/mle_low.rds shared 2 amd 32 low iubf M1</v>
      </c>
      <c r="R11" s="1" t="str">
        <f>_xlfn.CONCAT("scripts/model_fitting/profiling_HKU/4.plot_local_n.sh ", "results/model_data/profiling_HKU/M1/", B11, "/ ", " M1")</f>
        <v>scripts/model_fitting/profiling_HKU/4.plot_local_n.sh results/model_data/profiling_HKU/M1/profiling_shared_2_local_2/  M1</v>
      </c>
      <c r="S11" s="1" t="s">
        <v>218</v>
      </c>
      <c r="T11" s="2">
        <v>45537</v>
      </c>
      <c r="U11" s="1"/>
    </row>
    <row r="12" spans="1:23" x14ac:dyDescent="0.2">
      <c r="A12" s="18"/>
      <c r="B12" s="19"/>
      <c r="C12" s="19"/>
      <c r="D12" s="19"/>
      <c r="E12" s="19"/>
      <c r="F12" s="19"/>
      <c r="G12" s="19"/>
      <c r="H12" s="19"/>
      <c r="I12" s="19"/>
      <c r="J12" s="19"/>
      <c r="K12" s="19"/>
      <c r="L12" s="19"/>
      <c r="M12" s="19"/>
      <c r="N12" s="19"/>
      <c r="O12" s="19"/>
      <c r="P12" s="19"/>
      <c r="Q12" s="19"/>
      <c r="R12"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M0_formal</vt:lpstr>
      <vt:lpstr>M0_burn_in</vt:lpstr>
      <vt:lpstr>M1_formal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Haogao Gu</dc:creator>
  <cp:lastModifiedBy>Haogao Gu</cp:lastModifiedBy>
  <dcterms:created xsi:type="dcterms:W3CDTF">2024-07-27T03:01:42Z</dcterms:created>
  <dcterms:modified xsi:type="dcterms:W3CDTF">2024-12-20T21:27:25Z</dcterms:modified>
</cp:coreProperties>
</file>